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1410" windowWidth="8385" windowHeight="5085" tabRatio="848" activeTab="3"/>
  </bookViews>
  <sheets>
    <sheet name="1" sheetId="1" r:id="rId1"/>
    <sheet name="2" sheetId="2" r:id="rId2"/>
    <sheet name="3" sheetId="3" r:id="rId3"/>
    <sheet name="4" sheetId="4" r:id="rId4"/>
  </sheets>
  <externalReferences>
    <externalReference r:id="rId7"/>
  </externalReferences>
  <definedNames>
    <definedName name="_xlnm.Print_Area" localSheetId="0">'1'!$A$1:$D$21</definedName>
    <definedName name="_xlnm.Print_Area" localSheetId="2">'3'!$A$1:$H$763</definedName>
    <definedName name="_xlnm.Print_Area" localSheetId="3">'4'!$A$1:$M$733</definedName>
  </definedNames>
  <calcPr fullCalcOnLoad="1"/>
</workbook>
</file>

<file path=xl/sharedStrings.xml><?xml version="1.0" encoding="utf-8"?>
<sst xmlns="http://schemas.openxmlformats.org/spreadsheetml/2006/main" count="8011" uniqueCount="802">
  <si>
    <t>01 05 0201 05 0000 510</t>
  </si>
  <si>
    <t>Увеличение прочих остатков денежных средств районного бюджета</t>
  </si>
  <si>
    <t>01 05 0201 05 0000 610</t>
  </si>
  <si>
    <t>Уменьшение прочих остатков денежных средств районного бюджета</t>
  </si>
  <si>
    <t>1 11 05013 05 0000 120</t>
  </si>
  <si>
    <t>Другие вопросы в области культуры, кинематографии</t>
  </si>
  <si>
    <t>1 11 05013 10 0000 120</t>
  </si>
  <si>
    <t>9900000000</t>
  </si>
  <si>
    <t>9990000000</t>
  </si>
  <si>
    <t>9990010010</t>
  </si>
  <si>
    <t>9990010020</t>
  </si>
  <si>
    <t>9990010030</t>
  </si>
  <si>
    <t>9990010040</t>
  </si>
  <si>
    <t>9990093100</t>
  </si>
  <si>
    <t>Осуществление переданных органам государственной власти субъектов РФ в соответствии с п.1 ст.4 ФЗ от 15.11.1997 г. № 143-ФЗ "Об актах гражданского состояния" полномочий РФ по государственной регистрации актов гражданского состояния</t>
  </si>
  <si>
    <t>9990010050</t>
  </si>
  <si>
    <t>9990010060</t>
  </si>
  <si>
    <t>9990010070</t>
  </si>
  <si>
    <t>9990010101</t>
  </si>
  <si>
    <t>9990010102</t>
  </si>
  <si>
    <t>9990010103</t>
  </si>
  <si>
    <t>9990093120</t>
  </si>
  <si>
    <t>0100000000</t>
  </si>
  <si>
    <t>0180000000</t>
  </si>
  <si>
    <t>Подпрограмма № 8 «Молодежь Кировского района"</t>
  </si>
  <si>
    <t>0180020040</t>
  </si>
  <si>
    <t>0180020041</t>
  </si>
  <si>
    <t>Подпрограмма № 9 "Предупреждение развития наркомании в районе"</t>
  </si>
  <si>
    <t>0190000000</t>
  </si>
  <si>
    <t>0300000000</t>
  </si>
  <si>
    <t>0300030360</t>
  </si>
  <si>
    <t>0300030362</t>
  </si>
  <si>
    <t>0700000000</t>
  </si>
  <si>
    <t>9990093040</t>
  </si>
  <si>
    <t>0120000000</t>
  </si>
  <si>
    <t>0120020041</t>
  </si>
  <si>
    <t>0120020040</t>
  </si>
  <si>
    <t>0120020042</t>
  </si>
  <si>
    <t>0120093070</t>
  </si>
  <si>
    <t>0110000000</t>
  </si>
  <si>
    <t>0110020040</t>
  </si>
  <si>
    <t>0110020041</t>
  </si>
  <si>
    <t>0110020042</t>
  </si>
  <si>
    <t>0130000000</t>
  </si>
  <si>
    <t>0130020040</t>
  </si>
  <si>
    <t>0130020041</t>
  </si>
  <si>
    <t>0130020042</t>
  </si>
  <si>
    <t>0140000000</t>
  </si>
  <si>
    <t>0140020040</t>
  </si>
  <si>
    <t>0140020041</t>
  </si>
  <si>
    <t>0140020042</t>
  </si>
  <si>
    <t>0140020043</t>
  </si>
  <si>
    <t>0140020044</t>
  </si>
  <si>
    <t>0110093060</t>
  </si>
  <si>
    <t>0150000000</t>
  </si>
  <si>
    <t>0150020040</t>
  </si>
  <si>
    <t>0160000000</t>
  </si>
  <si>
    <t>0160093080</t>
  </si>
  <si>
    <t>0170000000</t>
  </si>
  <si>
    <t>0170020040</t>
  </si>
  <si>
    <t>Расходы на обеспечение деятельности (оказание услуг, выполнение работ) централизованных бухгалтерий</t>
  </si>
  <si>
    <t>0200000000</t>
  </si>
  <si>
    <t>0200020260</t>
  </si>
  <si>
    <t>0200020261</t>
  </si>
  <si>
    <t>0200020262</t>
  </si>
  <si>
    <t>0300030361</t>
  </si>
  <si>
    <t>0600000000</t>
  </si>
  <si>
    <t>0610000000</t>
  </si>
  <si>
    <t>0610020140</t>
  </si>
  <si>
    <t>0610020141</t>
  </si>
  <si>
    <t>0620020140</t>
  </si>
  <si>
    <t>0630020140</t>
  </si>
  <si>
    <t>0640020140</t>
  </si>
  <si>
    <t>Подпрограмма   № 8 "Молодежь Кировского района"</t>
  </si>
  <si>
    <t>0180020042</t>
  </si>
  <si>
    <t>0200020263</t>
  </si>
  <si>
    <t>9990010104</t>
  </si>
  <si>
    <t>0500000000</t>
  </si>
  <si>
    <t>0500050560</t>
  </si>
  <si>
    <t>Подпрограмма   № 2 "Развитие дошкольных образовательных учреждений"</t>
  </si>
  <si>
    <t>0120093090</t>
  </si>
  <si>
    <t>0400000000</t>
  </si>
  <si>
    <t>0400040460</t>
  </si>
  <si>
    <t>9990010106</t>
  </si>
  <si>
    <t>0610020142</t>
  </si>
  <si>
    <t>Иные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(организация досуга и обеспечения услугами культуры)</t>
  </si>
  <si>
    <t>060000000</t>
  </si>
  <si>
    <t>Субсидии бюджетным учреждениям (МБУ ДОД "ДЮЦ")</t>
  </si>
  <si>
    <t>Субсидии бюджетным учреждениям (МБУ ВПЦ "Патриот")</t>
  </si>
  <si>
    <t>022933040</t>
  </si>
  <si>
    <t>Субсидии бюджетным учреждениям образования</t>
  </si>
  <si>
    <t>за счет средств местного бюджета</t>
  </si>
  <si>
    <t>подразделам, целевым статьям и видам расходов в соответствии с классификацией расходов</t>
  </si>
  <si>
    <t>(тыс. руб.)</t>
  </si>
  <si>
    <t>Код бюджетной классификации Российской Федерации</t>
  </si>
  <si>
    <t>Учреждение: Контрольно-счетная комиссия Кировского муниципального района</t>
  </si>
  <si>
    <t>Итого</t>
  </si>
  <si>
    <t>Пенсионное обеспечение</t>
  </si>
  <si>
    <t>Доплаты к пенсиям государственных служащих субъектов Российской Федерации и муниципальных служащих</t>
  </si>
  <si>
    <t>Раз-дел</t>
  </si>
  <si>
    <t>Под-раз-дел</t>
  </si>
  <si>
    <t>Вид рас-хо-дов</t>
  </si>
  <si>
    <t>ОБЩЕГОСУДАРСТВЕННЫЕ ВОПРОСЫ</t>
  </si>
  <si>
    <t>01</t>
  </si>
  <si>
    <t>00</t>
  </si>
  <si>
    <t>02</t>
  </si>
  <si>
    <t>Непрограммные направления деятельности органов местного самоуправления</t>
  </si>
  <si>
    <t>Мероприятия непрограммных направлений деятельности органов местного самоуправления</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</si>
  <si>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</si>
  <si>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</si>
  <si>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</si>
  <si>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местного самоуправления</t>
  </si>
  <si>
    <t>200</t>
  </si>
  <si>
    <t>300</t>
  </si>
  <si>
    <t>04</t>
  </si>
  <si>
    <t>110</t>
  </si>
  <si>
    <t>06</t>
  </si>
  <si>
    <t>Руководство и управление в сфере установленных функций органов местного самоуправления (КСК)</t>
  </si>
  <si>
    <t>Председатель контрольно-счетной комиссии</t>
  </si>
  <si>
    <t>Резервные фонды</t>
  </si>
  <si>
    <t>11</t>
  </si>
  <si>
    <t>13</t>
  </si>
  <si>
    <t>Субвенции</t>
  </si>
  <si>
    <t>Субвенции на выполнение органами местного самоуправления отдельных государственных полномочий по государственному управлению охраной труда</t>
  </si>
  <si>
    <t>Субвенции на реализацию отдельных государственных полномочий по созданию административных комиссий</t>
  </si>
  <si>
    <t>1 11 05035 05 0000 120</t>
  </si>
  <si>
    <t>Дотации бюджетам муниципальных районов на выравнивание бюджетной обеспеченности</t>
  </si>
  <si>
    <t xml:space="preserve">Субсидии бюджетным учреждениям </t>
  </si>
  <si>
    <t>951</t>
  </si>
  <si>
    <t>Приложение № 1</t>
  </si>
  <si>
    <t>Председатель Думы Кировского муниципального района</t>
  </si>
  <si>
    <t>Субвенции на выплату ежемесячного денежного вознаграждения за классное руководство за счет краевого бюджета</t>
  </si>
  <si>
    <t>Субвенции на реализацию дошкольного, общего и дополнительного образования в муниципальных общеобразовательных учреждениях по основным общеобразовательным программам</t>
  </si>
  <si>
    <t>КУЛЬТУРА, КИНЕМАТОГРАФИЯ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</si>
  <si>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</si>
  <si>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120</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</si>
  <si>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</si>
  <si>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</si>
  <si>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</si>
  <si>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240</t>
  </si>
  <si>
    <t>Уплата налогов, сборов и иных платежей</t>
  </si>
  <si>
    <t>850</t>
  </si>
  <si>
    <t>Иные бюджетные ассигнования</t>
  </si>
  <si>
    <t>800</t>
  </si>
  <si>
    <t>Резервные средства</t>
  </si>
  <si>
    <t>870</t>
  </si>
  <si>
    <t>Исполнение судебных актов</t>
  </si>
  <si>
    <t>830</t>
  </si>
  <si>
    <t>Межбюджетные трансферты</t>
  </si>
  <si>
    <t>500</t>
  </si>
  <si>
    <t>Расходы на выплаты персоналу казенных учреждений</t>
  </si>
  <si>
    <t>Социальное обеспечение и иные выплаты населению</t>
  </si>
  <si>
    <t>Публичные нормативные социальные выплаты гражданам</t>
  </si>
  <si>
    <t>310</t>
  </si>
  <si>
    <t>Социальные выплаты гражданам, кроме публичных нормативных социальных выплат</t>
  </si>
  <si>
    <t>320</t>
  </si>
  <si>
    <t>Обслуживание государственного (муниципального) долга</t>
  </si>
  <si>
    <t>700</t>
  </si>
  <si>
    <t>Дотации</t>
  </si>
  <si>
    <t>510</t>
  </si>
  <si>
    <t>Предоставление субсидий бюджетным, автономным учреждениям и иным некоммерческим организациям</t>
  </si>
  <si>
    <t>600</t>
  </si>
  <si>
    <t>Субсидии бюджетным учреждениям</t>
  </si>
  <si>
    <t>Субсидии бюджетным учреждениям-МБУ  ДОД  "КДШИ"</t>
  </si>
  <si>
    <t>Субсидии бюджетным учреждениям-МБУ  ДОД  "ГДШИ"</t>
  </si>
  <si>
    <t>Мероприятия по развитию и поддержке библиотек</t>
  </si>
  <si>
    <t>СОЦИАЛЬНАЯ ПОЛИТИКА</t>
  </si>
  <si>
    <t>10</t>
  </si>
  <si>
    <t>1 11 05013 13 0000 120</t>
  </si>
  <si>
    <t>Субвенции на компенсацию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</si>
  <si>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ФИЗИЧЕСКАЯ КУЛЬТУРА И СПОРТ</t>
  </si>
  <si>
    <t xml:space="preserve">Мероприятия по развитию физической культуры и спорта </t>
  </si>
  <si>
    <t>ОБСЛУЖИВАНИЕ ГОСУДАРСТВЕННОГО И МУНИЦИПАЛЬНОГО ДОЛГА</t>
  </si>
  <si>
    <t>Процентные платежи помуниципальному долгу</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</si>
  <si>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</si>
  <si>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</si>
  <si>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</si>
  <si>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</si>
  <si>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Дотации на выравнивание бюджетной обеспеченности поселений из районного фонда финансовой поддержки</t>
  </si>
  <si>
    <t>Сельское хозяйство и рыболовство</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</si>
  <si>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</si>
  <si>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Всего расходов</t>
  </si>
  <si>
    <t>за счет средств краевого  бюджета</t>
  </si>
  <si>
    <t>01 03 01 00 05 0000 710</t>
  </si>
  <si>
    <t>01 03 01 00 05 0000 810</t>
  </si>
  <si>
    <t>Субвенции бюджетам муниципальных районов на выполнение передаваемых полномочий субъектов Российской Федерации</t>
  </si>
  <si>
    <t>1 00 00000 00 0000 000</t>
  </si>
  <si>
    <t>НАЛОГОВЫЕ И НЕНАЛОГОВЫЕ ДОХОДЫ</t>
  </si>
  <si>
    <t>1 01 00000 00 0000 000</t>
  </si>
  <si>
    <t>Мероприятия по развитию и поддержке образовательных учреждений</t>
  </si>
  <si>
    <t>Противопожарная безопасность образовательных учреждений</t>
  </si>
  <si>
    <t>Мероприятия по переподготовке и повышению квалификации</t>
  </si>
  <si>
    <t>Расходы на обеспечение деятельности (оказание услуг, выполнение работ) муниципальных  учреждений - прочие учреждения</t>
  </si>
  <si>
    <t>Подпрограмма  № 2 "Развитие дошкольного образования в Кировском муниципальном районе"</t>
  </si>
  <si>
    <t>Подпрограмма  № 3 "Безопасность образовательных учреждений"</t>
  </si>
  <si>
    <t>Санитарно-эпидемиологическая безопасность образовательных учреждений</t>
  </si>
  <si>
    <t>Подпрограмма № 1 "Развитие и поддержка муниципальных образовательных учреждений" образования"</t>
  </si>
  <si>
    <t>Подпрограмма  № 7 "Другие вопросы в области образования"</t>
  </si>
  <si>
    <t>НАЛОГИ НА ПРИБЫЛЬ, ДОХОДЫ</t>
  </si>
  <si>
    <t>Налог на доходы физических лиц</t>
  </si>
  <si>
    <t>1 05 00000 00 0000 000</t>
  </si>
  <si>
    <t>Субсидии бюджетам бюджетной системы Российской Федерации (межбюджетные субсидии)</t>
  </si>
  <si>
    <t>НАЛОГИ НА СОВОКУПНЫЙ ДОХОД</t>
  </si>
  <si>
    <t>Единый налог на вмененный доход для отдельных видов деятельности</t>
  </si>
  <si>
    <t>Единый сельскохозяйственный налог</t>
  </si>
  <si>
    <t>1 08 00000 00 0000 000</t>
  </si>
  <si>
    <t>ГОСУДАРСТВЕННАЯ ПОШЛИНА</t>
  </si>
  <si>
    <t>1 11 00000 00 0000 000</t>
  </si>
  <si>
    <t>1 12 00000 00 0000 000</t>
  </si>
  <si>
    <t>ПЛАТЕЖИ ПРИ ПОЛЬЗОВАНИИ ПРИРОДНЫМИ РЕСУРСАМИ</t>
  </si>
  <si>
    <t>Плата за негативное воздействие на окружающую среду</t>
  </si>
  <si>
    <t xml:space="preserve">1 13 00000 00 0000 000 </t>
  </si>
  <si>
    <t>ДОХОДЫ ОТ ОКАЗАНИЯ ПЛАТНЫХ УСЛУГ И КОМПЕНСАЦИИ ЗАТРАТ ГОСУДАРСТВА</t>
  </si>
  <si>
    <t>1 14 00000 00 0000 000</t>
  </si>
  <si>
    <t>ДОХОДЫ ОТ ПРОДАЖИ МАТЕРИАЛЬНЫХ И НЕМАТЕРИАЛЬНЫХ АКТИВОВ</t>
  </si>
  <si>
    <t>1 16 00000 00 0000 000</t>
  </si>
  <si>
    <t>ШТРАФЫ, САНКЦИИ, ВОЗМЕЩЕНИЕ УЩЕРБА</t>
  </si>
  <si>
    <t>2 00 00000 00 0000 000</t>
  </si>
  <si>
    <t>2 02 00000 00 0000 000</t>
  </si>
  <si>
    <t>Дотации от других бюджетов бюджетной системы Российской Федерации</t>
  </si>
  <si>
    <t>610</t>
  </si>
  <si>
    <t>краевой  бюджет</t>
  </si>
  <si>
    <t>Подпрограмма  № 4 "Развитие внешкольного образования"</t>
  </si>
  <si>
    <t>Подпрограмма № 5 "Переподготовка и повышение квалификации"</t>
  </si>
  <si>
    <t>Руководство и управление в сфере установленных функций  органов местного самоуправления  (ФУ)</t>
  </si>
  <si>
    <t>Подпрограмма  № 1 «Развитие и поддержка муниципальных образовательных учреждений»</t>
  </si>
  <si>
    <t>Иные межбюджетные трансферты</t>
  </si>
  <si>
    <t>ВСЕГО ДОХОДОВ:</t>
  </si>
  <si>
    <t>Наименование налога    (сбора)</t>
  </si>
  <si>
    <t>01 02 00 00 00 0000 000</t>
  </si>
  <si>
    <t>Кредиты   кредитных организаций в валюте Российской Федерации</t>
  </si>
  <si>
    <t>01 02 00 00 05 0000 710</t>
  </si>
  <si>
    <t>Получение кредитов от кредитных организаций районным бюджетом в валюте Российской Федерации</t>
  </si>
  <si>
    <t>01 02 00 00 05 0000 810</t>
  </si>
  <si>
    <t>Погашение районным бюджетом кредитов от кредитных организаций в валюте Российской Федерации</t>
  </si>
  <si>
    <t>01 03 00 00 00 0000 000</t>
  </si>
  <si>
    <t>Бюджетные кредиты от других бюджетов бюджетной системы Российской Федерации</t>
  </si>
  <si>
    <t>Дотации на выравнивание бюджетной обеспеченности поселений из бюджета муниципального района</t>
  </si>
  <si>
    <t>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</si>
  <si>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Ед.изм.</t>
  </si>
  <si>
    <t>Получение бюджетных кредитов от других бюджетов бюджетной системы Российской Федерации районным бюджетом в валюте Российской Федерации</t>
  </si>
  <si>
    <t>Погашение районным бюджетом бюджетных кредитов от других бюджетов бюджетной системы Российской Федерации в валюте Российской Федерации</t>
  </si>
  <si>
    <t>ИТОГО ИСТОЧНИКОВ</t>
  </si>
  <si>
    <t>0000000000</t>
  </si>
  <si>
    <t>9999959300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</si>
  <si>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</si>
  <si>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111 05025 05 0000 120</t>
  </si>
  <si>
    <t>1 17 05000 00 0000 180</t>
  </si>
  <si>
    <t>ПРОЧИЕ НЕНАЛОГОВЫЕ ДОХОДЫ</t>
  </si>
  <si>
    <t>1 17 05050 05 0000 180</t>
  </si>
  <si>
    <t>730</t>
  </si>
  <si>
    <t>Прочие неналоговые доходы бюджетов муниципальных районов</t>
  </si>
  <si>
    <t>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входящих в их состав</t>
  </si>
  <si>
    <t>Функционирование Правительства Российской Федерации, высших исполнительных органов государственной власти субъектов Российской Федерации,      и органов местного самоуправления</t>
  </si>
  <si>
    <t>1 11 05075 05 0000 120</t>
  </si>
  <si>
    <t>Доходы от сдачи в аренду имущества, составляющего казну муниципальных районов (за исключением земельных участков)</t>
  </si>
  <si>
    <t>Субсидии бюджетным учреждениям (МБУ "КДЦ")</t>
  </si>
  <si>
    <t>Дотации бюджетам муниципальных районов на поддержку мер по обеспечению сбалансированности бюджетов</t>
  </si>
  <si>
    <t>Прочие субсидии бюджетам муниципальных районов</t>
  </si>
  <si>
    <t>тыс. руб.</t>
  </si>
  <si>
    <t>Массовый спорт</t>
  </si>
  <si>
    <t>Прочие межбюджетные трансферты общего характера</t>
  </si>
  <si>
    <t>Наименование</t>
  </si>
  <si>
    <t>Ведомство</t>
  </si>
  <si>
    <t>Целевая статья</t>
  </si>
  <si>
    <t>Вид расх</t>
  </si>
  <si>
    <t>в том числе:</t>
  </si>
  <si>
    <t>местный бюджет</t>
  </si>
  <si>
    <t>Учреждение: Администрация Кировского муниципального района</t>
  </si>
  <si>
    <t>Функционирование высшего должностного лица субъекта Российской Федерации и муниципального образования</t>
  </si>
  <si>
    <t>Процентные платежи по долговым обязательствам</t>
  </si>
  <si>
    <t>Другие общегосударственные вопросы</t>
  </si>
  <si>
    <t xml:space="preserve">Непрограммные направления деятельности органов местного самоуправления </t>
  </si>
  <si>
    <t>01 05 00 00 00 0000 000</t>
  </si>
  <si>
    <t>Изменение остатков средств на счетах по учету средств</t>
  </si>
  <si>
    <t>Другие вопросы в области национальной экономики</t>
  </si>
  <si>
    <t>Коммунальное хозяйство</t>
  </si>
  <si>
    <t>Поддержка коммунального хозяйства</t>
  </si>
  <si>
    <t xml:space="preserve">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</si>
  <si>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Другие вопросы в области жилищно-коммунального хозяйства</t>
  </si>
  <si>
    <t>Другие вопросы в области образования</t>
  </si>
  <si>
    <t xml:space="preserve">Оценка недвижимости, признание прав и регулирование отношений по государственной и муниципальной собственности </t>
  </si>
  <si>
    <t>530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</si>
  <si>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</si>
  <si>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</si>
  <si>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</si>
  <si>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Мероприятия по предупреждению и ликвидации последствий черезвычайных ситуаций и стихийных бедствий</t>
  </si>
  <si>
    <t>НАЦИОНАЛЬНАЯ ЭКОНОМИКА</t>
  </si>
  <si>
    <t>08</t>
  </si>
  <si>
    <t>Дорожное хозяйство (дорожные фонды)</t>
  </si>
  <si>
    <t>Содержание автомобильных дорог на территории Кировского района</t>
  </si>
  <si>
    <t>12</t>
  </si>
  <si>
    <t>Подпрограмма  № 5 "Переподготовка и повышение квалификации"</t>
  </si>
  <si>
    <t>Субсидии юридическим лицам (кроме некоммерческих организаций), индивидуальным предпринимателям, физическим лицам</t>
  </si>
  <si>
    <t>810</t>
  </si>
  <si>
    <t>ЖИЛИЩНО-КОММУНАЛЬНОЕ ХОЗЯЙСТВО</t>
  </si>
  <si>
    <t>05</t>
  </si>
  <si>
    <t>Руководство и управление в сфере установленных функций органов государственной власти Приморского края</t>
  </si>
  <si>
    <t>ОБРАЗОВАНИЕ</t>
  </si>
  <si>
    <t>07</t>
  </si>
  <si>
    <t>Благоустройство</t>
  </si>
  <si>
    <t>Захоронение</t>
  </si>
  <si>
    <t>Прочие мероприятия по благоустройству</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</si>
  <si>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</si>
  <si>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Учреждение: Дума Кировского муниципального района</t>
  </si>
  <si>
    <t>Обеспечение деятельности финансовых, налоговых и таможенных органов и органов финансового (финансово-бюджетного) надзора</t>
  </si>
  <si>
    <t>Субвенции бюджетам субъектов Российской Федерации и муниципальных образований</t>
  </si>
  <si>
    <t>Дошкольное образование</t>
  </si>
  <si>
    <t>Мероприятия в сфере образования</t>
  </si>
  <si>
    <t>Охрана семьи и детства</t>
  </si>
  <si>
    <t>1 01 02000 01 0000 110</t>
  </si>
  <si>
    <t>1 12 01000 01 0000 120</t>
  </si>
  <si>
    <t>к решению Думы Кировского</t>
  </si>
  <si>
    <t>муниципального района</t>
  </si>
  <si>
    <t>РАСПРЕДЕЛЕНИЕ</t>
  </si>
  <si>
    <t>000</t>
  </si>
  <si>
    <t>001</t>
  </si>
  <si>
    <t>006</t>
  </si>
  <si>
    <t>003</t>
  </si>
  <si>
    <t>002</t>
  </si>
  <si>
    <t>Глава муниципального образования</t>
  </si>
  <si>
    <t>Обслуживание государственного внутреннего и муниципального долга</t>
  </si>
  <si>
    <t>Транспорт</t>
  </si>
  <si>
    <t>Другие виды транспорта</t>
  </si>
  <si>
    <t>Субсидии на проведение отдельных мероприятий по другим видам транспорта</t>
  </si>
  <si>
    <t>Субвенции на создание и обеспечение деятельности комиссий по делам несовершеннолетних и защите их прав</t>
  </si>
  <si>
    <t>1 05 03000 01 0000 110</t>
  </si>
  <si>
    <t>ДОХОДЫ ОТ ИСПОЛЬЗОВАНИЯ ИМУЩЕСТВА НАХОДЯЩЕГОСЯ В ГОСУДАРСТВЕННОЙ И МУНИЦИПАЛЬНОЙ СОБСТВЕННОСТИ</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</si>
  <si>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автономных учреждений)</t>
  </si>
  <si>
    <t>Учреждение: Муниципальное казенное учреждение «Центр  обслуживания муниципальных образовательных учреждений» Кировского муниципального района Приморского края</t>
  </si>
  <si>
    <t>1 13 02995 05 0000 130</t>
  </si>
  <si>
    <t>Прочие доходы от компенсации затрат бюджетов муниципальных районов</t>
  </si>
  <si>
    <t>1 14 02050 05 0000 410</t>
  </si>
  <si>
    <t>Муниципальная программа " Доступная среда для инвалидов в Кировском муниципальном районе на 2016-2019 годы"</t>
  </si>
  <si>
    <t>Субсидии бюджетным организациям</t>
  </si>
  <si>
    <t xml:space="preserve">Субвенции бюджетам муниципальных районов Приморского края  на осуществление отдельных государственных  полномочий по государственному управлению  охраной труда </t>
  </si>
  <si>
    <t>Субвенции бюджетам муниципальных районов Приморского края на реализацию отдельных государственных полномочий по созданию административных  комиссий</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</si>
  <si>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том числе казенных), в части реализации основных средств по указанному имуществу</t>
  </si>
  <si>
    <t>Общее образование</t>
  </si>
  <si>
    <t>Культура</t>
  </si>
  <si>
    <t>1 03 02000 01 0000 110</t>
  </si>
  <si>
    <t>Акцизы по подакцизным товарам (продукции), производимым на территории Российской федерации</t>
  </si>
  <si>
    <t>1 03 00000 00 0000 000</t>
  </si>
  <si>
    <t>НАЛОГИ НА ТОВАРЫ (РАБОТЫ, УСЛУГИ), РЕАЛИЗУЕМЫЕ НА ТЕРРИТОРИИ РОССИЙСКОЙ ФЕДЕРАЦИИ</t>
  </si>
  <si>
    <t>1 05 04020 02 0000 110</t>
  </si>
  <si>
    <t>Налог, взимаемый в связи с применением патентной системы налогообложения, зачисляемый в бюджеты муниципальных районов</t>
  </si>
  <si>
    <t>1 08 03010 01 0000 110</t>
  </si>
  <si>
    <t>540</t>
  </si>
  <si>
    <t>Иные межбюджетные трансферты бюджетам бюджетной системы</t>
  </si>
  <si>
    <t>9990051200</t>
  </si>
  <si>
    <t>Подпрограмма № 6 «Организация отдыха  детей»</t>
  </si>
  <si>
    <t>Подпрограмма № 8 "Молодежь Кировского района"</t>
  </si>
  <si>
    <t>0900000000</t>
  </si>
  <si>
    <t>0900090960</t>
  </si>
  <si>
    <t>1000000000</t>
  </si>
  <si>
    <t>Муниципальная программа "Развитие образования в Кировском муниципальном районе на 2018-2022 годы"</t>
  </si>
  <si>
    <t>Муниципальная программа "Развитие образования в Кировском муниципальном районе на 2018-2022  годы"</t>
  </si>
  <si>
    <t>Подпрограмма № 1 "Развитие и поддержка муниципальных образовательных учреждений"</t>
  </si>
  <si>
    <t>Муниципальная программа "Сохранение и развитие культуры в Кировском муниципальном районе на 2018-2022  годы"</t>
  </si>
  <si>
    <t>Муниципальная программа "Развитие физической культуры и спорта в Кировском муниципальном районе на 2018-2022 годы"</t>
  </si>
  <si>
    <t>Муниципальная программа "Сохранение и развитие культуры в Кировском муниципальном районе на 2018-2022 годы"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</si>
  <si>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</si>
  <si>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Мероприятия в области коммунального хозяйства </t>
  </si>
  <si>
    <t>Муниципальная программа "Развитие транспортной инфраструктуры и осуществление дорожной деятельности в отношении автомобильных дорог местного значения в границах Кировского муниципального района на 2018-2022 гг."</t>
  </si>
  <si>
    <t>1000010160</t>
  </si>
  <si>
    <t>1000010162</t>
  </si>
  <si>
    <t>1000010161</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</si>
  <si>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 же средства от  продажи права на заключение договоров аренды указанных земельных участков</t>
  </si>
  <si>
    <t>0180020000</t>
  </si>
  <si>
    <t>0700020270</t>
  </si>
  <si>
    <t>0640020141</t>
  </si>
  <si>
    <t>Непрограммные направления деятельности муниципальных органов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</si>
  <si>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</si>
  <si>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</si>
  <si>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Иные межбюджетные трансферты бюджетам городских поселений Кировского муниципального района  из местного бюджета на ремонт автомобильных дорог общего пользования местного значения в границах населенных пунктов</t>
  </si>
  <si>
    <t>1000010163</t>
  </si>
  <si>
    <t>Плата за пользование имуществом</t>
  </si>
  <si>
    <t>9990010110</t>
  </si>
  <si>
    <t>Иные межбюджетные трансферты бюджетам сельских поселений Кировского муниципального района  из местного бюджета на содержание и ремонт автомобильных дорог общего пользования местного значения в границах населенных пунктов</t>
  </si>
  <si>
    <t>1000010164</t>
  </si>
  <si>
    <t>1200093110</t>
  </si>
  <si>
    <t>1200012261</t>
  </si>
  <si>
    <t>1200012262</t>
  </si>
  <si>
    <t>1200012263</t>
  </si>
  <si>
    <t>1100000000</t>
  </si>
  <si>
    <t>1100011160</t>
  </si>
  <si>
    <t>1200000000</t>
  </si>
  <si>
    <t>0700020271</t>
  </si>
  <si>
    <t>0700020272</t>
  </si>
  <si>
    <t>Процентные платежи по муниципальному долгу</t>
  </si>
  <si>
    <t>Финансовое обеспечение выполнения муниципального задания клубными учреждениями МБУ КДЦ Кировского муниципального района</t>
  </si>
  <si>
    <t>Финансовое обеспечение выполнения муниципального задания межпоселенческой центральной библиотекой МБУ КДЦ Кировского муниципального района</t>
  </si>
  <si>
    <t>Финансовое обеспечение выполнения муниципального задания районным музеем им. В.М. Малаева  и культурно-этнографическим музеем-комплексом "Крестьянская усадьба. Начало ХХ века." с. Подгорное МБУ КДЦ Кировского муниципального района</t>
  </si>
  <si>
    <t>Финансовое обеспечение (бухгалтерский учет) МБУ КДЦ Кировского муниципального района</t>
  </si>
  <si>
    <t>Финансовое обеспечение клубных учреждений сельских поселений (Крыловское сельское поселение, Руновское сельское поселение (оказание услуг, выполнение работ)</t>
  </si>
  <si>
    <t>Меропрятия по ликвидации МАУ "МФЦ"</t>
  </si>
  <si>
    <t>9990010120</t>
  </si>
  <si>
    <t>2 02 35930 05 0000 150</t>
  </si>
  <si>
    <t>2 02 30000 00 0000 150</t>
  </si>
  <si>
    <t>2 02 15002 05 0000 150</t>
  </si>
  <si>
    <t>2 02 35120 05 0000 150</t>
  </si>
  <si>
    <t>2 02 30024 05 0000 150</t>
  </si>
  <si>
    <t>Резервный фонд администрации Кировского муниципального района</t>
  </si>
  <si>
    <t>9990010140</t>
  </si>
  <si>
    <t>Руководство и управление в сфере установленных функций органов местного самоуправления  (УМСАиПЭ)</t>
  </si>
  <si>
    <t>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t>
  </si>
  <si>
    <t>99900М0820</t>
  </si>
  <si>
    <t>1300000000</t>
  </si>
  <si>
    <t>Основное мероприятие "Совершенствование системы противодействия коррупции в Кировском районе"</t>
  </si>
  <si>
    <t>1300013000</t>
  </si>
  <si>
    <t xml:space="preserve">Мероприятия по противодействию коррупции </t>
  </si>
  <si>
    <t>1300013360</t>
  </si>
  <si>
    <t xml:space="preserve">Субвенции бюджетам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t>
  </si>
  <si>
    <t>9990093130</t>
  </si>
  <si>
    <t xml:space="preserve">Содержание дорожной техники </t>
  </si>
  <si>
    <t>9990010150</t>
  </si>
  <si>
    <t>Мероприятия в области коммунального хозяйства (содержание интерната)</t>
  </si>
  <si>
    <t>Муниципальная программа "Организация обеспечения  твердым топливом населения, проживающего на территории сельских поселений Кировского муниципального района" на 2019 – 2021 годы</t>
  </si>
  <si>
    <t>1400000000</t>
  </si>
  <si>
    <t>Возмещение затрат или недополученных доходов от обеспечения граждан твердым топливом в границах Кировского  муниципального района</t>
  </si>
  <si>
    <t>1400192620</t>
  </si>
  <si>
    <t>Содержание жилых помещений, приобретаемых в рамках выполнения полномочий по обеспечению детей сирот и детей, оставшихся без попечения родителей, лиц из числа детей -сирот и детей, оставшихся без попечения родителей, жилыми помещениями</t>
  </si>
  <si>
    <t>9990010160</t>
  </si>
  <si>
    <t xml:space="preserve">Непрограммные направления деятельности </t>
  </si>
  <si>
    <t>Погашение кредиторской задолженности прошлых лет (САДЫ)</t>
  </si>
  <si>
    <t>9990010130</t>
  </si>
  <si>
    <t>Субвенции  на обеспечение   бесплатным питанием детей, обучающихся муниципальных общеобразовательных учреждениях</t>
  </si>
  <si>
    <t>0110093150</t>
  </si>
  <si>
    <t>Дополнительное образование</t>
  </si>
  <si>
    <t xml:space="preserve">Погашение кредиторской задолженности прошлых лет </t>
  </si>
  <si>
    <t>Мероприятия по обеспечению развития и укрепления материально-технической базы домов культуры в населенных пунктах с числом жителей до 50 тыс. человек</t>
  </si>
  <si>
    <t xml:space="preserve">Субсидии бюджетам муниципальных образований на обеспечение развития и укрепления материально-технической базы домов культуры в населенных пунктах с числом жителей до 50 тыс. человек </t>
  </si>
  <si>
    <t>06100R4670</t>
  </si>
  <si>
    <t>06100S4670</t>
  </si>
  <si>
    <t>Мероприятия по комплектованию книжных фондов и обеспечению информационно- техническим оборудованием библиотек</t>
  </si>
  <si>
    <t>0620000000</t>
  </si>
  <si>
    <t>0620092540</t>
  </si>
  <si>
    <t>Доплата к пенсиям, дополнительное пенсионное обеспечение</t>
  </si>
  <si>
    <t>Социальное обеспечение населения</t>
  </si>
  <si>
    <t>Субвенции бюджетам муниципальных образований Приморского края на меры социальной поддержки педагогическим работникам краевых государственных и муниципальных образовательных организаций Приморского края</t>
  </si>
  <si>
    <t>Капитальные вложения в объекты государственной (муниципальной собственности)</t>
  </si>
  <si>
    <t>400</t>
  </si>
  <si>
    <t>Бюджетные инвестиции</t>
  </si>
  <si>
    <t>410</t>
  </si>
  <si>
    <t>Мероприятия по развитию спортивной инфраструктуры, находящейся в муниципальной собственности</t>
  </si>
  <si>
    <t xml:space="preserve">Предоставление субсидий бюджетным, автономным учреждениям и иным некоммерческим организациям </t>
  </si>
  <si>
    <t xml:space="preserve">Мероприятия по приобретению музыкальных инструментов и художественного инвентаря для учреждений дополнительного образования детей в сфере культуры </t>
  </si>
  <si>
    <r>
      <t xml:space="preserve">Расходы на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t>
    </r>
    <r>
      <rPr>
        <b/>
        <sz val="12"/>
        <rFont val="Times New Roman"/>
        <family val="1"/>
      </rPr>
      <t>местного бюджета</t>
    </r>
    <r>
      <rPr>
        <sz val="12"/>
        <rFont val="Times New Roman"/>
        <family val="1"/>
      </rPr>
      <t>, в целях софинансирования которых из бюджета Приморского края предоставляются субсидии</t>
    </r>
  </si>
  <si>
    <r>
      <t xml:space="preserve">Иные закупки товаров, работ и услуг для обеспечения государственных (муниципальных) нужд </t>
    </r>
    <r>
      <rPr>
        <b/>
        <sz val="12"/>
        <rFont val="Times New Roman"/>
        <family val="1"/>
      </rPr>
      <t>(отдел образования администрации КМР)</t>
    </r>
  </si>
  <si>
    <r>
      <t xml:space="preserve">Иные закупки товаров, работ и услуг для обеспечения государственных (муниципальных) нужд </t>
    </r>
    <r>
      <rPr>
        <b/>
        <sz val="12"/>
        <rFont val="Times New Roman"/>
        <family val="1"/>
      </rPr>
      <t>(МКУ "ЦОМОУ")</t>
    </r>
  </si>
  <si>
    <r>
      <t xml:space="preserve">Расходы на обеспечение развития и укрепления материально-технической базы домов культуры в населенных пунктах с числом жителей до 50 тыс. человек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</si>
  <si>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r>
      <t xml:space="preserve">Расходы на развитие спортивной инфраструктуры, находящейся в муниципальной собственности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</si>
  <si>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t xml:space="preserve"> Мероприятия по противодействию коррупции </t>
  </si>
  <si>
    <t>Учреждение: финансовое  управление администрации Кировского муниципального района</t>
  </si>
  <si>
    <r>
      <t>Субсидии бюджетам муниципальных образований на  приобретение музыкальных инструментов и художественного инвентаря для учреждений дополнительного образования детей в сфере культуры (</t>
    </r>
    <r>
      <rPr>
        <b/>
        <sz val="12"/>
        <rFont val="Times New Roman"/>
        <family val="1"/>
      </rPr>
      <t>краевой бюджет)</t>
    </r>
  </si>
  <si>
    <t>Погашение кредиторской задолженности бюджетных учреждений</t>
  </si>
  <si>
    <t>2 02 15000 00 0000 150</t>
  </si>
  <si>
    <t>2 02 29999 05 0000 150</t>
  </si>
  <si>
    <t>Субвенции  бюджетам муниципальных районов Приморского края на осуществление отдельных государственных полномочий по обеспечению   бесплатным питанием детей, обучающихся в муниципальных образовательных организациях Приморского края</t>
  </si>
  <si>
    <t>202 30024 05 0000 150</t>
  </si>
  <si>
    <t xml:space="preserve">Субвенции бюджетам муниципальных районов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t>
  </si>
  <si>
    <t>2 02 30029 05 0000 150</t>
  </si>
  <si>
    <t>2 02 40000 00 0000 150</t>
  </si>
  <si>
    <t>2  02 40014 05 0000 150</t>
  </si>
  <si>
    <t>Налог, взимаемый в связи с применением упрощенной системы налогообложения</t>
  </si>
  <si>
    <t>2 02 15001 05 0000 150</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</si>
  <si>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</si>
  <si>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</si>
  <si>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</si>
  <si>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1100011161</t>
  </si>
  <si>
    <t xml:space="preserve">Мероприятия по капитальному ремонту оздоровительных лагерей, находящихся в собственности муниципальных образований </t>
  </si>
  <si>
    <t>Субвенции бюджетам муниципальных районов Приморского края на реализацию государственных полномочий по социальной поддержке детей, оставшихся без попечения родителей, и лиц, принявших на воспитание в семью детей, оставшихся без попечения родителей</t>
  </si>
  <si>
    <t>1000010165</t>
  </si>
  <si>
    <t>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t>
  </si>
  <si>
    <t>Мероприятия по строительству, реконструкции и приобретению зданий муниципальных общеобразовательных организаций</t>
  </si>
  <si>
    <r>
      <t>Субсидии бюджетам муниципальных образований на  капитальный ремонт оздоровительных лагерей, находящихся в собственности муниципальных образований (</t>
    </r>
    <r>
      <rPr>
        <b/>
        <sz val="12"/>
        <rFont val="Times New Roman"/>
        <family val="1"/>
      </rPr>
      <t>краевой бюджет)</t>
    </r>
  </si>
  <si>
    <r>
      <t xml:space="preserve">Расходы на  капитальный ремонт оздоровительных лагерей, находящихся в собственности муниципальных образований за счет средств </t>
    </r>
    <r>
      <rPr>
        <b/>
        <sz val="12"/>
        <rFont val="Times New Roman"/>
        <family val="1"/>
      </rPr>
      <t>местного бюджета</t>
    </r>
    <r>
      <rPr>
        <sz val="12"/>
        <rFont val="Times New Roman"/>
        <family val="1"/>
      </rPr>
      <t>, в целях софинансирования которых из бюджета Приморского края предоставляются субсидии</t>
    </r>
  </si>
  <si>
    <t xml:space="preserve">Субвенции бюджетам муниципальных районов Приморского края на реализацию государственных полномочий органов опеки и попечительства в отношении несовершеннолетних </t>
  </si>
  <si>
    <t>0110092040</t>
  </si>
  <si>
    <t>0110020044</t>
  </si>
  <si>
    <t>0190020041</t>
  </si>
  <si>
    <t>0140092030</t>
  </si>
  <si>
    <t>0300030363</t>
  </si>
  <si>
    <t>Иные межбюджетные трансферты общего характера (в целях компенсации расходов в связи с увеличением ставки налога на имущество организаций в отношении объектов социально-культурной сферы)</t>
  </si>
  <si>
    <t>9990093160</t>
  </si>
  <si>
    <t>Расходы на подготовку документации для выхода на аукцион на право проведения проектно-изыскательских работ по строительству здания муниципальной общеобразовательной организации (с. Уссурка)</t>
  </si>
  <si>
    <r>
      <t xml:space="preserve">Субсидии бюджетам муниципальных образований Приморского края на строительство, реконструкцию и приобретение зданий муниципальных общеобразовательных организаций </t>
    </r>
    <r>
      <rPr>
        <b/>
        <sz val="12"/>
        <rFont val="Times New Roman"/>
        <family val="1"/>
      </rPr>
      <t>(краевой бюджет)</t>
    </r>
  </si>
  <si>
    <r>
      <t xml:space="preserve">Расходы на строительство, реконструкцию и приобретение зданий муниципальных общеобразовательных организаций за счет средств </t>
    </r>
    <r>
      <rPr>
        <b/>
        <sz val="12"/>
        <rFont val="Times New Roman"/>
        <family val="1"/>
      </rPr>
      <t>местного бюджета</t>
    </r>
    <r>
      <rPr>
        <sz val="12"/>
        <rFont val="Times New Roman"/>
        <family val="1"/>
      </rPr>
      <t>, в целях софинансирования которых из бюджета Приморского края предоставляются субсидии</t>
    </r>
  </si>
  <si>
    <t>Молодежная политика</t>
  </si>
  <si>
    <t>Субсидии юридическим лицам (кроме некоммерческих организаций), индивидуальным предпринимателям</t>
  </si>
  <si>
    <r>
      <t xml:space="preserve">Субсидии юридическим лицам (кроме некоммерческих организаций), индивидуальным предпринимателям </t>
    </r>
    <r>
      <rPr>
        <b/>
        <sz val="12"/>
        <rFont val="Times New Roman"/>
        <family val="1"/>
      </rPr>
      <t>(краевой бюджет)</t>
    </r>
  </si>
  <si>
    <r>
      <t xml:space="preserve">Субсидии юридическим лицам (кроме некоммерческих организаций), индивидуальным предпринимателям </t>
    </r>
    <r>
      <rPr>
        <b/>
        <sz val="12"/>
        <rFont val="Times New Roman"/>
        <family val="1"/>
      </rPr>
      <t>(местный бюджет)</t>
    </r>
  </si>
  <si>
    <t>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t>
  </si>
  <si>
    <t>1000092390</t>
  </si>
  <si>
    <t>Мероприятия по организации физкультурно-спортивной работы по месту жительства</t>
  </si>
  <si>
    <t>040Р592220</t>
  </si>
  <si>
    <t>041Р592220</t>
  </si>
  <si>
    <t>Капитальный ремонт и ремонт автомобильных дорог общего пользования населенных пунктов</t>
  </si>
  <si>
    <r>
      <t xml:space="preserve">Субсидии бюджетам муниципальных образований Приморского края на организацию физкультурно-спортивной работы по месту жительства </t>
    </r>
    <r>
      <rPr>
        <b/>
        <i/>
        <sz val="12"/>
        <rFont val="Times New Roman"/>
        <family val="1"/>
      </rPr>
      <t>(краевой бюджет)</t>
    </r>
  </si>
  <si>
    <r>
      <t xml:space="preserve">Расходы на организацию физкультурно-спортивной работы по месту жительства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</si>
  <si>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t>0640092480</t>
  </si>
  <si>
    <t>1200012264</t>
  </si>
  <si>
    <t>Составление (изменение) списков кандидатов  в присяжные заседатели федеральных судов общей юрисдикции</t>
  </si>
  <si>
    <t>Субвенции на организацию и обеспечение оздоровления и отдыха детей Приморского края (за исключением организации отдыха детей в каникулярное время)</t>
  </si>
  <si>
    <t>Субвенции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</si>
  <si>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0140Б92030</t>
  </si>
  <si>
    <t>1000Б92390</t>
  </si>
  <si>
    <t>Мероприятия, направленные на предупреждение распространения новой коронавирусной инфекции</t>
  </si>
  <si>
    <t>9990010141</t>
  </si>
  <si>
    <t>0400040470</t>
  </si>
  <si>
    <t>Расходы на подготовку сметной документации, прохождение экспертизы и иные расходы по спортивным объектам</t>
  </si>
  <si>
    <t>Мероприятия по приобретению и поставке спортивного инвентаря, спортивного оборудования и иного имущества для развития лыжного спорта</t>
  </si>
  <si>
    <t>040P592180</t>
  </si>
  <si>
    <r>
      <t>Субсидии бюджетам муниципальных образований Приморского края на приобретение и поставку спортивного инвентаря, спортивного оборудования и иного имущества для развития лыжного спорта</t>
    </r>
    <r>
      <rPr>
        <b/>
        <i/>
        <sz val="12"/>
        <rFont val="Times New Roman"/>
        <family val="1"/>
      </rPr>
      <t>(краевой бюджет)</t>
    </r>
  </si>
  <si>
    <t>Расходы на приобретение и поставку спортивного инвентаря, спортивного оборудования и иного имущества для развития лыжного спорта за счет средств местного бюджета, в целях софинансирования которых из бюджета Приморского края предоставляются субсидии</t>
  </si>
  <si>
    <t>040P592181</t>
  </si>
  <si>
    <t>Расходы на приобретение светового, звукового и мультимедийного (светодиодного экрана с комплектующими) оборудования  за счет средств местного бюджета, в целях софинансирования которых из бюджета Приморского края предоставляются субсидии</t>
  </si>
  <si>
    <t>2  02 45303 05 0000 150</t>
  </si>
  <si>
    <t>2 02 35304 05 0000 150</t>
  </si>
  <si>
    <t>Субвенции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</si>
  <si>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</si>
  <si>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Субвенции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</si>
  <si>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0110053030</t>
  </si>
  <si>
    <t>1500000000</t>
  </si>
  <si>
    <t>1501093050</t>
  </si>
  <si>
    <t>1502052600</t>
  </si>
  <si>
    <t>15030М0820</t>
  </si>
  <si>
    <t>Расходы на капитальный ремонт зданий муниципальных общеобразовательных учреждений, в целях софинансирования которых из бюджета Приморского края предоставляются субсидии</t>
  </si>
  <si>
    <t>06100Б0000</t>
  </si>
  <si>
    <t xml:space="preserve">Муниципальная программа «Комплексное развитие сельских территорий" в Кировском муниципальном районе на 2021-2027 годы </t>
  </si>
  <si>
    <t xml:space="preserve">Муниципальная программа "Комплексное развитие сельских территорий" в Кировском муниципальном районе на 2021-2027 годы </t>
  </si>
  <si>
    <t>Субвенции на проведение Всероссийской переписи</t>
  </si>
  <si>
    <t>9999993000</t>
  </si>
  <si>
    <t>9999954690</t>
  </si>
  <si>
    <t>Предоставление субсидий бюджетным, автономным учреждениям и иным некоммерческим организациям (ВЫПОЛНЕНИЕ НАКАЗОВ ИЗБИРАТЕЛЕЙ)</t>
  </si>
  <si>
    <t>Непрограммные направления деятельности органов местного самоуправления (дошкольное образование)</t>
  </si>
  <si>
    <t>Выполнение наказов избирателей(дошкольное образование)</t>
  </si>
  <si>
    <t>0110030041</t>
  </si>
  <si>
    <t>0120030041</t>
  </si>
  <si>
    <t>0140030041</t>
  </si>
  <si>
    <t>Мероприятия по развитию и поддержке образовательных учреждений (НАКАЗЫ ИЗБИРАТЕЛЕЙ)</t>
  </si>
  <si>
    <t>Муниципальная программа "Социальная поддержка детей-сирот и детей, оставшихся без попечения родителей, лиц из числа детей-сирот и детей, оставшихся без попечения родителей, и лиц, принявших на воспитание в семью детей, оставшихся без попечения родителей в Кировском муниципальном районе на 2021-2025 годы"</t>
  </si>
  <si>
    <t>2 02 36900 05 0000 150</t>
  </si>
  <si>
    <t>Единая субвенция бюджетам муниципальных районов из бюджета субъекта Российской Федерации</t>
  </si>
  <si>
    <t>1100011162</t>
  </si>
  <si>
    <t>Мероприятия по развитию и поддержке учреждений дополнительного образования</t>
  </si>
  <si>
    <t>0140020045</t>
  </si>
  <si>
    <t>Мероприятия по ликвидации учреждений</t>
  </si>
  <si>
    <t>9990010180</t>
  </si>
  <si>
    <t>1100011163</t>
  </si>
  <si>
    <t>0160020041</t>
  </si>
  <si>
    <t>Организация и обеспечение оздоровления и летнего отдыха детей Кировского муниципального района за счет средств местного бюджета</t>
  </si>
  <si>
    <t>Субсидии бюджетным учреждениям (МБОУ ДО "ДЮСШ "Патриот" п. Кировский)</t>
  </si>
  <si>
    <t>0140020046</t>
  </si>
  <si>
    <t>0140020050</t>
  </si>
  <si>
    <t>0140020051</t>
  </si>
  <si>
    <t>0140020052</t>
  </si>
  <si>
    <t>0140020053</t>
  </si>
  <si>
    <t>011Е193140</t>
  </si>
  <si>
    <t>Мероприятия по укреплению материально-технической базы муниципальных домов культуры</t>
  </si>
  <si>
    <t>Субсидии бюджетам муниципальных образований на укрепление материально-технической базы домов культуры за счет средств краевого бюджета</t>
  </si>
  <si>
    <t>Расходы на укрепление материально-технической базы домов культуры за счет средств местного бюджета, в целях софинансирования которых из бюджета Приморского края предоставляются субсидии</t>
  </si>
  <si>
    <t>0610092470</t>
  </si>
  <si>
    <t>06100S2470</t>
  </si>
  <si>
    <t xml:space="preserve">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
</t>
  </si>
  <si>
    <t>9999993180</t>
  </si>
  <si>
    <t>06000000000</t>
  </si>
  <si>
    <t>2 02 39999 05 0000 150</t>
  </si>
  <si>
    <t>Прочие субвенции бюджетам муниципальных районов</t>
  </si>
  <si>
    <t>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за счет средств местного бюджета (школы)</t>
  </si>
  <si>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дошкольного образования за счет средств местного бюджета </t>
  </si>
  <si>
    <t>0300030364</t>
  </si>
  <si>
    <t>Содействие в подготовке проведения выборов</t>
  </si>
  <si>
    <t>9990010190</t>
  </si>
  <si>
    <t xml:space="preserve">Субвенции бюджетам муниципальных образований Приморского края на осуществление отдельного государственного полномочия по возмещению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</si>
  <si>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Расходы на капитальный ремонт зданий муниципальных общеобразовательных учреждений (краевой бюджет)</t>
  </si>
  <si>
    <t>0110092340</t>
  </si>
  <si>
    <t>040P552280</t>
  </si>
  <si>
    <t>040P592230</t>
  </si>
  <si>
    <t>040P592231</t>
  </si>
  <si>
    <t>15030R0820</t>
  </si>
  <si>
    <t>Муниципальная программа " Укрепление общественного здоровья" на 2021-2024 годы</t>
  </si>
  <si>
    <t>Муниципальная программа "Совершенствование межбюджетных отношений и управление муниципальным долгом в Кировском муниципальном районе на 2022-2024 годы"</t>
  </si>
  <si>
    <t>Субсидии бюджетам муниципальных образований Приморского края на обеспечение развития и укрепления материально-технической базы муниципальных домов культуры</t>
  </si>
  <si>
    <t>Мероприятия по обеспечению развития и укрепления материально-технической базы муниципальных домов культуры</t>
  </si>
  <si>
    <t>06100S2471</t>
  </si>
  <si>
    <t>Обеспечение детей сирот и детей, оставшихся без попечения родителей, лиц из числа детей -сирот и детей, оставшихся без попечения родителей, жилыми помещениями за счет краевого бюджета</t>
  </si>
  <si>
    <t>Обеспечение детей сирот и детей, оставшихся без попечения родителей, лиц из числа детей -сирот и детей, оставшихся без попечения родителей, жилыми помещениями за счет федерального бюджета</t>
  </si>
  <si>
    <t>Мероприятия по капитальный ремонт зданий муниципальных общеобразовательных учреждений</t>
  </si>
  <si>
    <t xml:space="preserve">Субсидии бюджетам муниципальных образований Приморского края на приобретению и поставке спортивного инвентаря, спортивного оборудования и иного имущества (краевой бюджет) </t>
  </si>
  <si>
    <t>Финансовое обеспечение на выполнение муниципального задания школ искусств Кировского муниципального района</t>
  </si>
  <si>
    <t>0650020140</t>
  </si>
  <si>
    <t>0660020140</t>
  </si>
  <si>
    <t>1600014410</t>
  </si>
  <si>
    <t>1600000000</t>
  </si>
  <si>
    <t>Другие вопросы в области здравоохранения</t>
  </si>
  <si>
    <t>1600014411</t>
  </si>
  <si>
    <t>Доходы, получаемые в виде арендной платы за земельные участки, государственная собственность на которые не разграничена, и которые расположеныв границах сельских  поселений а так же средства от продажи права на заключение договоров аренды указанных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</si>
  <si>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расположеныв границах городских поселений а так же средства от продажи права на заключение договоров аренды указанных участков</t>
  </si>
  <si>
    <t>2 02 20000 00 0000 150</t>
  </si>
  <si>
    <t xml:space="preserve">Субсидии бюджетам муниципальных образований Приморского края на приобретение и поставку спортивного инвентаря, спортивного оборудования и иного имущества для развития массового спорта </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</si>
  <si>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</si>
  <si>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Приморского края на составление (изменение) списков кандидатов в присяжные заседатели</t>
  </si>
  <si>
    <t>Субвенции бюджетам муниципальных районов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</si>
  <si>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Субвенции бюджетам муниципальных районов Приморского края  на организацию и обеспечение оздоровления и отдыха детей ( за исключением организации и обеспечение оздоровления и отдыха детей в каникулярное время)</t>
  </si>
  <si>
    <t xml:space="preserve">Субвенции бюджетам муниципальных районов Примосркого края на реализацию государственных полномочий органов опеки и попечительства в отношении несовершеннолетних </t>
  </si>
  <si>
    <t xml:space="preserve">Субвенции бюджетам муниципальных районов Приморского края на осуществление отдельных полномочий по расчету и предоставлению дотаций на выравнивание бюджетной обеспеченности бюджетам поселений, входящих в их состав </t>
  </si>
  <si>
    <t>Субвенции на регистрацию и учет граждан, имеющих право на получение жилищных субсидий в связи с переселением из районов крайнего Севера и приравненных к ним местностям</t>
  </si>
  <si>
    <t>ЗДРАВООХРАНЕНИЕ</t>
  </si>
  <si>
    <t xml:space="preserve">Руководство и управление в сфере установленных функций органов местного самоуправления </t>
  </si>
  <si>
    <t>Финансовое обеспечение на выполнение муниципального задания "МБУ ДО КДШИ"</t>
  </si>
  <si>
    <t>Финансовое обеспечение на выполнение муниципального задания МБУ ДО КДШИ</t>
  </si>
  <si>
    <t>Финансовое обеспечение на выполнение муниципального задания "МБУ ДО ГДШИ"</t>
  </si>
  <si>
    <t xml:space="preserve">Мероприятия по приобретению и поставке спортивного инвентаря, спортивного оборудования и иного имущества для развития массового спорта </t>
  </si>
  <si>
    <t>Приложение № 4</t>
  </si>
  <si>
    <t>Мероприятия по развитию и поддержке внешкольного образования (наказы избирателей)</t>
  </si>
  <si>
    <t>Мероприятия по приобретению ледозаливочной техники</t>
  </si>
  <si>
    <t>Мероприятия по оснащению объектов спортивной инфраструктуры спортивно-технологическим оборудованием</t>
  </si>
  <si>
    <t xml:space="preserve">Мероприятия по оснащению объектов спортивной инфраструктуры спортивно-технологическим оборудованием (местный  бюджет) </t>
  </si>
  <si>
    <t>Расходы на приобретение ледозаливочной техники за счет средств местного бюджета, в целях софинансирования которых из бюджета Приморского края предоставляются субсидии</t>
  </si>
  <si>
    <t>Субсидии бюджетным учреждениям (МБОУ ДО "ДЮЦ")</t>
  </si>
  <si>
    <t>Муниципальная программа "Укрепление общественного здоровья" на 2021-2024 годы</t>
  </si>
  <si>
    <r>
      <t xml:space="preserve">Субсидии из краевого бюджета бюджетам муниципальных образований Приморского края на оснащение объектов спортивной инфраструктуры спортивно-технологическим оборудованием </t>
    </r>
    <r>
      <rPr>
        <b/>
        <i/>
        <sz val="12"/>
        <rFont val="Times New Roman"/>
        <family val="1"/>
      </rPr>
      <t>(краевой бюджет)</t>
    </r>
  </si>
  <si>
    <r>
      <t xml:space="preserve">Расходы по приобретению и поставке спортивного инвентаря, спортивного оборудования и иного имущества для развития массового спорта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</si>
  <si>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t>Субсидии бюджетам муниципальных образований Приморского края на приобретение ледозаливочной техники</t>
  </si>
  <si>
    <t>040P592680</t>
  </si>
  <si>
    <t xml:space="preserve">Субсидии бюджетам муниципальных образований Приморского края на приобретению и поставке спортивного инвентаря, спортивного оборудования и иного имущества для развития массового спорта (краевой бюджет) </t>
  </si>
  <si>
    <t>Расходы по приобретению и поставке спортивного инвентаря, спортивного оборудования и иного имущества для развития массового спорта за счет средств местного бюджета, в целях софинансирования которых из бюджета Приморского края предоставляются субсидии</t>
  </si>
  <si>
    <t>Субсидии из краевого бюджета бюджетам муниципальных образований Приморского края на реализацию проектов инициативного бюджетирования по направлению «Твой проект»</t>
  </si>
  <si>
    <t>Расходы на реализацию проектов инициативного бюджетирования по направлению «Твой проект», в целях софинансирования которых из бюджета Приморского края предоставляются субсидии</t>
  </si>
  <si>
    <t>0610092360</t>
  </si>
  <si>
    <t>Реализация проектов инициативного бюджетирования по направлению «Твой проект»</t>
  </si>
  <si>
    <t>Проведение неотложных мероприятий в целях предотвращения чрезвычайной ситуации за счет средств резервного фонда администрации Кировского муниципального района</t>
  </si>
  <si>
    <t>9990010145</t>
  </si>
  <si>
    <t>01100R3040</t>
  </si>
  <si>
    <t>Государственная поддержка отрасли культуры (поддержка муниципальных учреждений культуры, находящихся на территории сельских поселений)</t>
  </si>
  <si>
    <t>Расходы на реализацию государственной поддержки отрасли культуры (поддержка муниципальных учреждений культуры, находящихся на территории сельских поселений), в целях софинансирования которых из бюджета Приморского края предоставляются субсидии</t>
  </si>
  <si>
    <t>00000000000</t>
  </si>
  <si>
    <t>Обеспечение персонифицированного финансирования дополнительного образования детей (МБОУ ДО "ДЮЦ")</t>
  </si>
  <si>
    <t>Обеспечение персонифицированного финансирования дополнительного образования детей (МБОУ ДО "ДЮСШ "Патриот" п. Кировский)</t>
  </si>
  <si>
    <t>Субсидии бюджетам муниципальных районов на поддержку отрасли культуры (государственная поддержка отрасли культуры (поддержка муниципальных учреждений культуры, находящихся на территории сельских поселений))</t>
  </si>
  <si>
    <t>0140040043</t>
  </si>
  <si>
    <t>061A255195</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</si>
  <si>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</si>
  <si>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</si>
  <si>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1 11 05410 05 0000 120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</si>
  <si>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</si>
  <si>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Прочие организационные и представительские расходы администрации Кировского муниципального района</t>
  </si>
  <si>
    <t>9990010200</t>
  </si>
  <si>
    <t>9990010146</t>
  </si>
  <si>
    <t>Расходы, связанные с участием Кировского муниципального района в мероприятиях общегосударственного значения за счет средств резервного фонда администрации Кировского муниципального района</t>
  </si>
  <si>
    <t>1200091030</t>
  </si>
  <si>
    <t>Иные межбюджетные трансферты общего характера (в целях компенсации дополнительных расходов местных бюджетов в связи с увеличением прогнозных значений среднемесячного дохода от трудовой деятельности работников муниципальных учреждений культуры в Приморском крае)</t>
  </si>
  <si>
    <t>Расходы на оказание единовременной материальной помощи гражданам за счет средств резервного фонда администрации Кировского муниципального района</t>
  </si>
  <si>
    <t>9990010144</t>
  </si>
  <si>
    <t xml:space="preserve">Муниципальная программа "Поддержка социально ориентированных некоммерческих организаций Кировского муниципального района на 2022-2024 годы" </t>
  </si>
  <si>
    <t>1700000000</t>
  </si>
  <si>
    <t>1700017160</t>
  </si>
  <si>
    <t xml:space="preserve">% исполнения </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</si>
  <si>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</si>
  <si>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2  19 60010 05 0000 150</t>
  </si>
  <si>
    <t>1 11 05313 13 0000 120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</si>
  <si>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</si>
  <si>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 
 исполнения</t>
  </si>
  <si>
    <t>Сумма на 2023 г.</t>
  </si>
  <si>
    <t xml:space="preserve">Исполнено за 2023 </t>
  </si>
  <si>
    <t xml:space="preserve">от ___________ № ______-НПА </t>
  </si>
  <si>
    <t>Общий объем на 2023 г</t>
  </si>
  <si>
    <t xml:space="preserve">Расходы  на мероприятия направленные на исковые требования </t>
  </si>
  <si>
    <t>Расходы, связанные с осуществлением закупок товаров, работ (услуг) в целях реализации специальной меры в сфере экономики, введенной Постановлением Правительства РФ от 03.10.2022 №1745 за счет средств резервного фонда администрации Кировского муниципального района</t>
  </si>
  <si>
    <t>9990010147</t>
  </si>
  <si>
    <t>Расходы по разработке проектов, программ и сметной документации в целях развития Кировского муниципального района</t>
  </si>
  <si>
    <t>9990010201</t>
  </si>
  <si>
    <t>Муниципальная программа "Развитие образования в Кировском муниципальном районе на 2023-2027 годы"</t>
  </si>
  <si>
    <t>01100S2040</t>
  </si>
  <si>
    <t>Муниципальная программа "Профилактика терроризма и экстремизма на территории Кировского муниципального района на 2023-2027 годы"</t>
  </si>
  <si>
    <t>Муниципальная программа "Противодействия коррупции в администрации Кировского муниципального района на 2023-2025 годы"</t>
  </si>
  <si>
    <t>Расходы на пополнение, обновление и содержание целевого резерва материальных ресурсов для предупреждения и ликвидации чрезвычайных ситуаций, являющихся таковыми в соответствии с действующим законодательством Российской Федерации</t>
  </si>
  <si>
    <t>9990010143</t>
  </si>
  <si>
    <t>Субсидии на реализацию мероприятий по подготовке проектов межевания земельных участков и на проведение кадастровых работ</t>
  </si>
  <si>
    <t>99900R5990</t>
  </si>
  <si>
    <t>999000080</t>
  </si>
  <si>
    <t>9990010080</t>
  </si>
  <si>
    <t>Муниципальная программа «Развитие и осуществление дорожной деятельности в отношении автомобильных дорог местного значения в границах Кировского муниципального района» на 2023-2027 гг.»</t>
  </si>
  <si>
    <t>Муниципальная программа "Развитие малого и среднего предпринимательства в Кировском муниципальном районе на 2023-2027 годы"</t>
  </si>
  <si>
    <t>Поддержка субъектов малого и среднего предпринимательства</t>
  </si>
  <si>
    <t>1400L92620</t>
  </si>
  <si>
    <t>Муниципальная программа "Энергосбережение и повышение энергетической эффективности в муниципальных учреждениях Кировского муниципального района" на 2022-2026 годы"</t>
  </si>
  <si>
    <t>ОХРАНА ОКРУЖАЮЩЕЙ СРЕДЫ</t>
  </si>
  <si>
    <t>Другие вопросы в области охраны окружающей среды</t>
  </si>
  <si>
    <t>Мероприятия в области охраны окружающей среды</t>
  </si>
  <si>
    <t>9990010210</t>
  </si>
  <si>
    <t xml:space="preserve"> Мероприятия в области охраны окружающей среды</t>
  </si>
  <si>
    <t>9990010211</t>
  </si>
  <si>
    <t>Мероприятия по развитию и поддержке дошкольных образовательных учреждений (НАКАЗЫ ИЗБИРАТЕЛЕЙ)</t>
  </si>
  <si>
    <t>01100S2340</t>
  </si>
  <si>
    <t>0110092360</t>
  </si>
  <si>
    <t>01100S2360</t>
  </si>
  <si>
    <t>Муниципальная программа "Развитие образования в Кировском муниципальном районе на 2023-2027  годы"</t>
  </si>
  <si>
    <t>Межбюджетные трансферты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</si>
  <si>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011ЕВ51790</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</si>
  <si>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</si>
  <si>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Субсидии бюджетным учреждениям на содержание Муниципального опорного центра дополнительного образования детей Кировского муниципального района (МБОУ ДО "ДЮСШ "Патриот" п. Кировский)</t>
  </si>
  <si>
    <t>Муниципальная программа "Сохранение и развитие культуры в Кировском муниципальном районе на 2023-2027 годы"</t>
  </si>
  <si>
    <t>0680020045</t>
  </si>
  <si>
    <t>Мероприятия по развитию и поддержке учреждений дополнительного образования (краевой бюджет)</t>
  </si>
  <si>
    <t>06400S2480</t>
  </si>
  <si>
    <t>Муниципальная программа "Энергосбережение и повышение энергетической эффективности в муниципальных учреждениях Кировского муниципального района на 2022-2026 годы"</t>
  </si>
  <si>
    <t>1100011164</t>
  </si>
  <si>
    <t xml:space="preserve">Мероприятия в сфере повышения энергетической эффективности </t>
  </si>
  <si>
    <t>(Субсидии бюджетным учреждениям (МБУ ДО «КДШИ»)</t>
  </si>
  <si>
    <t>Муниципальная программа "Профилактика терроризма и экстремизма в Кировском муниципальном районе на 2023-2027 годы"</t>
  </si>
  <si>
    <t>Финансовое обеспечение клубных учреждений сельских поселений (Крыловское сельское поселение) (оказание услуг, выполнение работ)</t>
  </si>
  <si>
    <t xml:space="preserve"> Муниципальная программа "Профилактика безнадзорности, беспризорности и правонарушений несовершеннолетних на 2023-2027 годы"</t>
  </si>
  <si>
    <t>Муниципальная программа "Сохранение и развитие культуры в Кировском муниципальном районе на 2023-2027  годы"</t>
  </si>
  <si>
    <t>Мероприятия направленные на 
государственную поддержку отрасли культуры (модернизация библиотек в части комплектования книжных фондов  библиотек муниципальных образований и государственных общедоступных библиотек)</t>
  </si>
  <si>
    <t>0620005190</t>
  </si>
  <si>
    <r>
      <t xml:space="preserve">Субсидии бюджетам муниципальных образований на государственную поддержку отрасли культуры (модернизация библиотек в части комплектования книжных фондов  библиотек муниципальных образований и государственных общедоступных библиотек) </t>
    </r>
    <r>
      <rPr>
        <b/>
        <sz val="12"/>
        <rFont val="Times New Roman"/>
        <family val="1"/>
      </rPr>
      <t>(краевой бюджет)</t>
    </r>
  </si>
  <si>
    <t>06200R5190</t>
  </si>
  <si>
    <r>
      <t>Расходы на государственную поддержку отрасли культуры (модернизация библиотек в части комплектования книжных фондов  библиотек муниципальных образований и государственных общедоступных библиотек) за счет средств</t>
    </r>
    <r>
      <rPr>
        <b/>
        <sz val="12"/>
        <rFont val="Times New Roman"/>
        <family val="1"/>
      </rPr>
      <t xml:space="preserve"> местного бюджета</t>
    </r>
    <r>
      <rPr>
        <sz val="12"/>
        <rFont val="Times New Roman"/>
        <family val="1"/>
      </rPr>
      <t>, в целях софинансирования которых из бюджета Приморского края предоставляются субсидии</t>
    </r>
  </si>
  <si>
    <t>06200L5190</t>
  </si>
  <si>
    <r>
      <t xml:space="preserve">Субсидии бюджетам муниципальных образований на комплектование книжных фондов и обеспечение информационно- техническим оборудованием библиотек </t>
    </r>
    <r>
      <rPr>
        <b/>
        <sz val="12"/>
        <rFont val="Times New Roman"/>
        <family val="1"/>
      </rPr>
      <t>(краевой бюджет)</t>
    </r>
  </si>
  <si>
    <r>
      <t xml:space="preserve">Расходы на комплектование книжных фондов и обеспечение информационно- техническим оборудованием библиотек за счет средств </t>
    </r>
    <r>
      <rPr>
        <b/>
        <sz val="12"/>
        <rFont val="Times New Roman"/>
        <family val="1"/>
      </rPr>
      <t>местного бюджета</t>
    </r>
    <r>
      <rPr>
        <sz val="12"/>
        <rFont val="Times New Roman"/>
        <family val="1"/>
      </rPr>
      <t>, в целях софинансирования которых из бюджета Приморского края предоставляются субсидии</t>
    </r>
  </si>
  <si>
    <t>06200S2540</t>
  </si>
  <si>
    <t>0610L92360</t>
  </si>
  <si>
    <t>Государственная поддержка отрасли культуры (поддержка лучших работников муниципальных учреждений культуры, находящихся на территории сельских поселений)</t>
  </si>
  <si>
    <t>Субсидии бюджетам муниципальных районов на поддержку отрасли культуры ((поддержка лучших работников муниципальных учреждений культуры, находящихся на территории сельских поселений)</t>
  </si>
  <si>
    <t>061A255194</t>
  </si>
  <si>
    <t>Расходы на реализацию государственной поддержки отрасли культуры ((поддержка лучших работников муниципальных учреждений культуры, находящихся на территории сельских поселений), в целях софинансирования которых из бюджета Приморского края предоставляются субсидии</t>
  </si>
  <si>
    <t>Мероприятия по направленные на софинансирование расходных обязательств субъектов РФ, свзязанных с реализацией ФЦП "Увековечение памяти погибших при защите Отечества на 2019-2024 годы"</t>
  </si>
  <si>
    <t>0670002990</t>
  </si>
  <si>
    <t>Субсидии бюджетам муниципальных образований Приморского края на софинансирование расходных обязательств субъектов РФ, свзяаннх с реализацией ФЦП "Увековечение памяти погибших при защите Отечества на 2019-2024 годы"</t>
  </si>
  <si>
    <t>06700R2990</t>
  </si>
  <si>
    <t>Расходы на софинансирование расходных обязательств субъектов РФ, свзяаннх с реализацией ФЦП "Увековечение памяти погибших при защите Отечества на 2019-2024 годы"за счет средств местного бюджета, в целях софинансирования которых из бюджета Приморского края предоставляются субсидии</t>
  </si>
  <si>
    <t>06700L2990</t>
  </si>
  <si>
    <t xml:space="preserve">Субвенции бюджетам муниципальных образований Приморского края на осуществление отдельного государственного полномочия по возмещению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</si>
  <si>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9990093190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</si>
  <si>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</si>
  <si>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за счет краевого бюджета</t>
  </si>
  <si>
    <t>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за счет федерального бюджета</t>
  </si>
  <si>
    <t xml:space="preserve">Муниципальная программа "Обеспечение жильем молодых семей  Кировского муниципального района на 2023-2027 годы" </t>
  </si>
  <si>
    <t>1800000000</t>
  </si>
  <si>
    <t>Оказание поддержки молодым семьям в приобретении жилого помещения или строительстве индивидуального жилого дома</t>
  </si>
  <si>
    <t>18000L4970</t>
  </si>
  <si>
    <t>Муниципальная программа "Развитие физической культуры и спорта в Кировском муниципальном районе на 2023-2027 годы"</t>
  </si>
  <si>
    <r>
      <t xml:space="preserve">Расходы по развитию спортивной инфраструктуры, находящейся в муниципальной собственности </t>
    </r>
    <r>
      <rPr>
        <i/>
        <sz val="12"/>
        <rFont val="Times New Roman"/>
        <family val="1"/>
      </rPr>
      <t>за счет средств местного бюджета</t>
    </r>
    <r>
      <rPr>
        <sz val="12"/>
        <rFont val="Times New Roman"/>
        <family val="1"/>
      </rPr>
      <t>, в целях софинансирования которых из бюджета Приморского края предоставляются субсидии</t>
    </r>
  </si>
  <si>
    <t>040P5S2190</t>
  </si>
  <si>
    <t>Капитальные вложения в объекты государственной (муниципальной) собственности</t>
  </si>
  <si>
    <t>041P552280</t>
  </si>
  <si>
    <t>041P5S2230</t>
  </si>
  <si>
    <t>040P5S2680</t>
  </si>
  <si>
    <t>9990012263</t>
  </si>
  <si>
    <t>9990093110</t>
  </si>
  <si>
    <t>9990012261</t>
  </si>
  <si>
    <t>9990012262</t>
  </si>
  <si>
    <t>Условно утвержденные расходы</t>
  </si>
  <si>
    <t>Приложение  № 3</t>
  </si>
  <si>
    <t>Исполнение за 2023 год</t>
  </si>
  <si>
    <t>% исполнения</t>
  </si>
  <si>
    <t>от __________ № _____ -  НПА</t>
  </si>
  <si>
    <t xml:space="preserve">бюджетных ассигнований из районного бюджета на 2023 год в ведомственной структуре расходов районного бюджета </t>
  </si>
  <si>
    <t xml:space="preserve">бюджетных ассигнований из районного бюджета за 2023 год по разделам, </t>
  </si>
  <si>
    <t xml:space="preserve">Источники внутреннего финансирования дефицита районного бюджета за 2023 год </t>
  </si>
  <si>
    <t>952</t>
  </si>
  <si>
    <t>953</t>
  </si>
  <si>
    <t>Субсидии бюджетным учреждениям-МБУ  ДО  "КДШИ"</t>
  </si>
  <si>
    <t>Субсидии бюджетным учреждениям-МБУ  ДО  "ГДШИ"</t>
  </si>
  <si>
    <t>Расходы на софинансирование расходных обязательств субъектов РФ, свзяаннх с реализацией ФЦП "Увековечение памяти погибших при защите Отечества на 2019-2024 годы" за счет средств местного бюджета, в целях софинансирования которых из бюджета Приморского края предоставляются субсидии</t>
  </si>
  <si>
    <t>Субсидии бюджетным учреждениям (МБУ ДО "ДЮЦ")</t>
  </si>
  <si>
    <t>Субсидии бюджетным учреждениям (ПФДО)</t>
  </si>
  <si>
    <t>Мероприятия в сфере повышения энергетической эффективности (Субсидии бюджетным учреждениям (МБУ ДО «КДШИ»)</t>
  </si>
  <si>
    <t xml:space="preserve"> Муниципальная программа "Профилактика безнадзорности, беспризорности и правонарушений несовершеннолетних на 2023-2027годы"</t>
  </si>
  <si>
    <t>Общий объем на 2023 г.</t>
  </si>
  <si>
    <t>Кассовое исполнение на 2023 г</t>
  </si>
  <si>
    <r>
      <rPr>
        <i/>
        <sz val="12"/>
        <rFont val="Times New Roman"/>
        <family val="1"/>
      </rPr>
      <t>Субсидии</t>
    </r>
    <r>
      <rPr>
        <sz val="12"/>
        <rFont val="Times New Roman"/>
        <family val="1"/>
      </rPr>
      <t xml:space="preserve"> бюджетам муниципальных образований на  приобретение музыкальных инструментов и художественного инвентаря для учреждений дополнительного образования детей в сфере культуры (краевой бюджет)</t>
    </r>
  </si>
  <si>
    <r>
      <t xml:space="preserve">Расходы на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t>
    </r>
    <r>
      <rPr>
        <b/>
        <i/>
        <sz val="12"/>
        <rFont val="Times New Roman"/>
        <family val="1"/>
      </rPr>
      <t>местного бюджета,</t>
    </r>
    <r>
      <rPr>
        <sz val="12"/>
        <rFont val="Times New Roman"/>
        <family val="1"/>
      </rPr>
      <t xml:space="preserve"> в целях софинансирования которых из бюджета Приморского края предоставляются субсидии</t>
    </r>
  </si>
  <si>
    <r>
      <t xml:space="preserve">Мероприятия по развитию и поддержке внешкольного образования </t>
    </r>
    <r>
      <rPr>
        <b/>
        <i/>
        <sz val="12"/>
        <rFont val="Times New Roman"/>
        <family val="1"/>
      </rPr>
      <t>(наказы избирателей)</t>
    </r>
  </si>
  <si>
    <t>Сумма на 
2023 год</t>
  </si>
  <si>
    <t xml:space="preserve">Исполнение за 2023г </t>
  </si>
  <si>
    <t>Приложение №2</t>
  </si>
  <si>
    <t>Объемы доходов районного бюджета на 2023 год и плановый период 2024 и 2025 годов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</si>
  <si>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</si>
  <si>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1 11 05326 05 0000 120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</si>
  <si>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на межселенных территориях,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</si>
  <si>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1 13 02065 05 0000 130</t>
  </si>
  <si>
    <t>Доходы, поступающие в порядке возмещения расходов, понесенных в связи с эксплуатацией имущества муниципальных районов</t>
  </si>
  <si>
    <t>114 06025 05 0000 430</t>
  </si>
  <si>
    <t xml:space="preserve">Доходы от продажи земельных участков, находящихся в собственности муниципальных районов (за исключением земельных участков муниципальных автономных учреждений) </t>
  </si>
  <si>
    <t>202 25519 05 0000 150</t>
  </si>
  <si>
    <t>Субсидии бюджетам субъектов муниципальных образований на 
государственную поддержку отрасли культуры (поддержка муниципальных учреждений культуры, находящихся на территории сельских поселений)</t>
  </si>
  <si>
    <t>202 25599 05 0000 150</t>
  </si>
  <si>
    <t>Субсидии бюджетам муниципальных образований Приморского края  на приобретение музыкальных инструментов и художественного инвентаря для учреждений дополнительного образования детей в сфере культуры</t>
  </si>
  <si>
    <t>Субсидии бюджетам муниципальных образований Приморского края на комплектование книжных фондов и обеспечение информационно - техническим оборудованием библиотек</t>
  </si>
  <si>
    <t xml:space="preserve">Субвенции бюджетам муниципальных районов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</si>
  <si>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Субвенции бюджетам муниципальных районов Приморского края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дополнительного образования детей в муниципальных образовательных организациях  </t>
  </si>
  <si>
    <t xml:space="preserve">Субвенции бюджетам муниципальных образований Приморского края на обеспечение детей сирот и детей, оставшихся без попечения родителей, лиц из числа детей - сирот и детей, оставшихся без попечения родителей, жилыми помещениями </t>
  </si>
  <si>
    <t>Субвенции бюджетам муниципальных районов на реализацию отдельных государственных полномочий по организации мероприятий при осуществлении деятельности по обращению с животными без владельцев</t>
  </si>
  <si>
    <t>2 02 45179 05 0000 150</t>
  </si>
  <si>
    <t>1 05 01000 01 0000 110</t>
  </si>
  <si>
    <t>1 05 02000 01 0000 110</t>
  </si>
  <si>
    <r>
      <t xml:space="preserve">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t>
    </r>
    <r>
      <rPr>
        <b/>
        <u val="single"/>
        <sz val="10"/>
        <rFont val="Times New Roman"/>
        <family val="1"/>
      </rPr>
      <t>за счет средств краевого бюджета</t>
    </r>
  </si>
  <si>
    <t>от ______________ №   ________</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</si>
</sst>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00_р_._-;\-* #,##0.000_р_._-;_-* &quot;-&quot;??_р_._-;_-@_-"/>
    <numFmt numFmtId="178" formatCode="_-* #,##0.0_р_._-;\-* #,##0.0_р_._-;_-* &quot;-&quot;??_р_._-;_-@_-"/>
    <numFmt numFmtId="179" formatCode="_-* #,##0.0_р_._-;\-* #,##0.0_р_._-;_-* &quot;-&quot;?_р_._-;_-@_-"/>
    <numFmt numFmtId="180" formatCode="_-* #,##0_р_._-;\-* #,##0_р_._-;_-* &quot;-&quot;??_р_._-;_-@_-"/>
    <numFmt numFmtId="181" formatCode="#,##0.0"/>
    <numFmt numFmtId="182" formatCode="0.000"/>
    <numFmt numFmtId="183" formatCode="0.00000"/>
    <numFmt numFmtId="184" formatCode="0.0000"/>
    <numFmt numFmtId="185" formatCode="_-* #,##0.00_р_._-;\-* #,##0.00_р_._-;_-* &quot;-&quot;?_р_._-;_-@_-"/>
    <numFmt numFmtId="186" formatCode="0.000000"/>
    <numFmt numFmtId="187" formatCode="_-* #,##0_р_._-;\-* #,##0_р_._-;_-* &quot;-&quot;?_р_._-;_-@_-"/>
    <numFmt numFmtId="188" formatCode="#,##0.000"/>
    <numFmt numFmtId="189" formatCode="#,##0.0000"/>
    <numFmt numFmtId="190" formatCode="#,##0.00000"/>
    <numFmt numFmtId="191" formatCode="#,##0.000000"/>
    <numFmt numFmtId="192" formatCode="0.000%"/>
    <numFmt numFmtId="193" formatCode="#,##0.0000000"/>
    <numFmt numFmtId="194" formatCode="0.0000000"/>
    <numFmt numFmtId="195" formatCode="#,##0.00000000"/>
    <numFmt numFmtId="196" formatCode="0.00000000"/>
    <numFmt numFmtId="197" formatCode="000000"/>
  </numFmts>
  <fonts count="73">
    <font>
      <sz val="10"/>
      <name val="Arial Cyr"/>
      <family val="0"/>
    </font>
    <font>
      <sz val="8"/>
      <name val="Arial Cyr"/>
      <family val="0"/>
    </font>
    <font>
      <sz val="12"/>
      <name val="Times New Roman"/>
      <family val="1"/>
    </font>
    <font>
      <b/>
      <sz val="12"/>
      <name val="Times New Roman"/>
      <family val="1"/>
    </font>
    <font>
      <b/>
      <sz val="14"/>
      <name val="Times New Roman"/>
      <family val="1"/>
    </font>
    <font>
      <sz val="12"/>
      <name val="Arial Cyr"/>
      <family val="0"/>
    </font>
    <font>
      <b/>
      <sz val="10"/>
      <name val="Arial Cyr"/>
      <family val="0"/>
    </font>
    <font>
      <sz val="11"/>
      <name val="Times New Roman"/>
      <family val="1"/>
    </font>
    <font>
      <u val="single"/>
      <sz val="10"/>
      <color indexed="12"/>
      <name val="Arial Cyr"/>
      <family val="0"/>
    </font>
    <font>
      <u val="single"/>
      <sz val="10"/>
      <color indexed="36"/>
      <name val="Arial Cyr"/>
      <family val="0"/>
    </font>
    <font>
      <b/>
      <sz val="11"/>
      <name val="Times New Roman"/>
      <family val="1"/>
    </font>
    <font>
      <b/>
      <sz val="12"/>
      <name val="Arial Cyr"/>
      <family val="0"/>
    </font>
    <font>
      <b/>
      <sz val="13"/>
      <name val="Times New Roman"/>
      <family val="1"/>
    </font>
    <font>
      <sz val="13"/>
      <name val="Times New Roman"/>
      <family val="1"/>
    </font>
    <font>
      <sz val="12"/>
      <color indexed="8"/>
      <name val="Times New Roman"/>
      <family val="1"/>
    </font>
    <font>
      <b/>
      <sz val="12"/>
      <color indexed="8"/>
      <name val="Times New Roman"/>
      <family val="1"/>
    </font>
    <font>
      <sz val="11"/>
      <name val="Arial Cyr"/>
      <family val="0"/>
    </font>
    <font>
      <i/>
      <sz val="12"/>
      <name val="Times New Roman"/>
      <family val="1"/>
    </font>
    <font>
      <i/>
      <sz val="11"/>
      <name val="Times New Roman"/>
      <family val="1"/>
    </font>
    <font>
      <b/>
      <i/>
      <sz val="12"/>
      <name val="Times New Roman"/>
      <family val="1"/>
    </font>
    <font>
      <u val="single"/>
      <sz val="12"/>
      <name val="Times New Roman"/>
      <family val="1"/>
    </font>
    <font>
      <b/>
      <i/>
      <sz val="11"/>
      <name val="Times New Roman"/>
      <family val="1"/>
    </font>
    <font>
      <b/>
      <i/>
      <sz val="11"/>
      <name val="Arial Cyr"/>
      <family val="0"/>
    </font>
    <font>
      <i/>
      <u val="single"/>
      <sz val="12"/>
      <name val="Times New Roman"/>
      <family val="1"/>
    </font>
    <font>
      <i/>
      <sz val="12"/>
      <name val="Arial Cyr"/>
      <family val="0"/>
    </font>
    <font>
      <sz val="12"/>
      <name val="Arial"/>
      <family val="2"/>
    </font>
    <font>
      <b/>
      <i/>
      <sz val="12"/>
      <name val="Arial Cyr"/>
      <family val="0"/>
    </font>
    <font>
      <u val="single"/>
      <sz val="12"/>
      <name val="Arial Cyr"/>
      <family val="0"/>
    </font>
    <font>
      <sz val="10"/>
      <name val="Times New Roman"/>
      <family val="1"/>
    </font>
    <font>
      <b/>
      <i/>
      <sz val="12"/>
      <name val="Arial"/>
      <family val="2"/>
    </font>
    <font>
      <sz val="12"/>
      <name val="Times New Roman CE"/>
      <family val="1"/>
    </font>
    <font>
      <b/>
      <sz val="10"/>
      <name val="Times New Roman"/>
      <family val="1"/>
    </font>
    <font>
      <b/>
      <i/>
      <sz val="10"/>
      <name val="Times New Roman"/>
      <family val="1"/>
    </font>
    <font>
      <b/>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FF0000"/>
      <name val="Times New Roman"/>
      <family val="1"/>
    </font>
    <font>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66FFFF"/>
        <bgColor indexed="64"/>
      </patternFill>
    </fill>
    <fill>
      <patternFill patternType="solid">
        <fgColor rgb="FFFFFF00"/>
        <bgColor indexed="64"/>
      </patternFill>
    </fill>
    <fill>
      <patternFill patternType="solid">
        <fgColor indexed="9"/>
        <bgColor indexed="64"/>
      </patternFill>
    </fill>
    <fill>
      <patternFill patternType="solid">
        <fgColor rgb="FF00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top style="thin"/>
      <bottom/>
    </border>
    <border>
      <left style="thin"/>
      <right/>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9"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69" fillId="32" borderId="0" applyNumberFormat="0" applyBorder="0" applyAlignment="0" applyProtection="0"/>
  </cellStyleXfs>
  <cellXfs count="324">
    <xf numFmtId="0" fontId="0" fillId="0" borderId="0" xfId="0" applyAlignment="1">
      <alignment/>
    </xf>
    <xf numFmtId="0" fontId="2" fillId="0" borderId="0" xfId="0" applyFont="1" applyFill="1" applyAlignment="1">
      <alignment horizontal="right"/>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shrinkToFit="1"/>
    </xf>
    <xf numFmtId="0" fontId="7" fillId="0" borderId="10" xfId="0" applyFont="1" applyFill="1" applyBorder="1" applyAlignment="1">
      <alignment vertical="center" wrapText="1"/>
    </xf>
    <xf numFmtId="49" fontId="3" fillId="0" borderId="10" xfId="0" applyNumberFormat="1" applyFont="1" applyFill="1" applyBorder="1" applyAlignment="1">
      <alignment horizontal="center" vertical="center" wrapText="1" shrinkToFit="1"/>
    </xf>
    <xf numFmtId="0" fontId="6" fillId="0" borderId="0" xfId="0" applyFont="1" applyFill="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49" fontId="17" fillId="0" borderId="10" xfId="0" applyNumberFormat="1" applyFont="1" applyFill="1" applyBorder="1" applyAlignment="1">
      <alignment horizontal="center" vertical="center" wrapText="1" shrinkToFit="1"/>
    </xf>
    <xf numFmtId="0" fontId="17" fillId="0" borderId="10" xfId="0" applyFont="1" applyFill="1" applyBorder="1" applyAlignment="1">
      <alignment vertical="center" wrapText="1"/>
    </xf>
    <xf numFmtId="0" fontId="20" fillId="0" borderId="10" xfId="0" applyFont="1" applyFill="1" applyBorder="1" applyAlignment="1">
      <alignment vertical="center" wrapText="1"/>
    </xf>
    <xf numFmtId="0" fontId="0" fillId="0" borderId="0" xfId="0" applyFont="1" applyFill="1" applyAlignment="1">
      <alignment/>
    </xf>
    <xf numFmtId="49" fontId="7" fillId="0" borderId="10" xfId="0" applyNumberFormat="1" applyFont="1" applyFill="1" applyBorder="1" applyAlignment="1">
      <alignment horizontal="center" vertical="center" wrapText="1" shrinkToFit="1"/>
    </xf>
    <xf numFmtId="0" fontId="19" fillId="0" borderId="10" xfId="0" applyFont="1" applyFill="1" applyBorder="1" applyAlignment="1">
      <alignment vertical="center" wrapText="1"/>
    </xf>
    <xf numFmtId="0" fontId="7" fillId="0" borderId="10" xfId="0" applyFont="1" applyFill="1" applyBorder="1" applyAlignment="1">
      <alignment vertical="top" wrapText="1"/>
    </xf>
    <xf numFmtId="0" fontId="17" fillId="0" borderId="10" xfId="0" applyFont="1" applyFill="1" applyBorder="1" applyAlignment="1">
      <alignment vertical="top" wrapText="1"/>
    </xf>
    <xf numFmtId="0" fontId="2" fillId="0" borderId="10" xfId="0" applyFont="1" applyFill="1" applyBorder="1" applyAlignment="1">
      <alignment vertical="top" wrapText="1"/>
    </xf>
    <xf numFmtId="0" fontId="18" fillId="0" borderId="10" xfId="0" applyFont="1" applyFill="1" applyBorder="1" applyAlignment="1">
      <alignment vertical="center" wrapText="1"/>
    </xf>
    <xf numFmtId="49" fontId="18" fillId="0" borderId="10" xfId="0" applyNumberFormat="1" applyFont="1" applyFill="1" applyBorder="1" applyAlignment="1">
      <alignment horizontal="center" vertical="center" wrapText="1" shrinkToFit="1"/>
    </xf>
    <xf numFmtId="49" fontId="19" fillId="0" borderId="10" xfId="0" applyNumberFormat="1" applyFont="1" applyFill="1" applyBorder="1" applyAlignment="1">
      <alignment horizontal="center" vertical="center" wrapText="1" shrinkToFit="1"/>
    </xf>
    <xf numFmtId="0" fontId="3" fillId="0" borderId="10" xfId="0" applyFont="1" applyFill="1" applyBorder="1" applyAlignment="1">
      <alignment vertical="center" wrapText="1"/>
    </xf>
    <xf numFmtId="190" fontId="2" fillId="0" borderId="10" xfId="0" applyNumberFormat="1" applyFont="1" applyFill="1" applyBorder="1" applyAlignment="1">
      <alignment horizontal="center" vertical="center" wrapText="1"/>
    </xf>
    <xf numFmtId="190" fontId="17" fillId="0" borderId="10" xfId="0" applyNumberFormat="1" applyFont="1" applyFill="1" applyBorder="1" applyAlignment="1">
      <alignment horizontal="center" vertical="center" wrapText="1"/>
    </xf>
    <xf numFmtId="0" fontId="10" fillId="0" borderId="10" xfId="0" applyFont="1" applyFill="1" applyBorder="1" applyAlignment="1">
      <alignment vertical="center" wrapText="1"/>
    </xf>
    <xf numFmtId="49" fontId="10" fillId="0" borderId="10" xfId="0" applyNumberFormat="1" applyFont="1" applyFill="1" applyBorder="1" applyAlignment="1">
      <alignment horizontal="center" vertical="center" wrapText="1" shrinkToFit="1"/>
    </xf>
    <xf numFmtId="0" fontId="10" fillId="0" borderId="10" xfId="0" applyFont="1" applyFill="1" applyBorder="1" applyAlignment="1">
      <alignment vertical="top" wrapText="1"/>
    </xf>
    <xf numFmtId="190" fontId="7" fillId="0" borderId="10" xfId="0" applyNumberFormat="1" applyFont="1" applyFill="1" applyBorder="1" applyAlignment="1">
      <alignment horizontal="center" vertical="center" wrapText="1"/>
    </xf>
    <xf numFmtId="190" fontId="19" fillId="0" borderId="10" xfId="0" applyNumberFormat="1" applyFont="1" applyFill="1" applyBorder="1" applyAlignment="1">
      <alignment horizontal="center" vertical="center" wrapText="1"/>
    </xf>
    <xf numFmtId="190" fontId="2" fillId="0" borderId="10" xfId="0" applyNumberFormat="1" applyFont="1" applyFill="1" applyBorder="1" applyAlignment="1">
      <alignment horizontal="center" vertical="center"/>
    </xf>
    <xf numFmtId="190" fontId="3" fillId="0" borderId="10" xfId="0" applyNumberFormat="1" applyFont="1" applyFill="1" applyBorder="1" applyAlignment="1">
      <alignment horizontal="center" vertical="center" wrapText="1"/>
    </xf>
    <xf numFmtId="190" fontId="7" fillId="0" borderId="10" xfId="0" applyNumberFormat="1" applyFont="1" applyFill="1" applyBorder="1" applyAlignment="1">
      <alignment horizontal="center" vertical="center"/>
    </xf>
    <xf numFmtId="190" fontId="2" fillId="0" borderId="10" xfId="0" applyNumberFormat="1" applyFont="1" applyFill="1" applyBorder="1" applyAlignment="1">
      <alignment horizontal="center" vertical="center" wrapText="1"/>
    </xf>
    <xf numFmtId="190" fontId="17" fillId="0" borderId="10" xfId="0" applyNumberFormat="1" applyFont="1" applyFill="1" applyBorder="1" applyAlignment="1">
      <alignment horizontal="center" vertical="center"/>
    </xf>
    <xf numFmtId="0" fontId="2" fillId="0" borderId="0" xfId="0" applyFont="1" applyFill="1" applyAlignment="1">
      <alignment horizontal="right"/>
    </xf>
    <xf numFmtId="0" fontId="5" fillId="0" borderId="0" xfId="0" applyFont="1" applyFill="1" applyAlignment="1">
      <alignment/>
    </xf>
    <xf numFmtId="49" fontId="5" fillId="0" borderId="0" xfId="0" applyNumberFormat="1" applyFont="1" applyFill="1" applyAlignment="1">
      <alignment/>
    </xf>
    <xf numFmtId="49" fontId="25" fillId="0" borderId="0" xfId="0" applyNumberFormat="1" applyFont="1" applyFill="1" applyAlignment="1">
      <alignment/>
    </xf>
    <xf numFmtId="0" fontId="25" fillId="0" borderId="0" xfId="0" applyFont="1" applyFill="1" applyAlignment="1">
      <alignment horizontal="left"/>
    </xf>
    <xf numFmtId="0" fontId="5" fillId="0" borderId="0" xfId="0" applyFont="1" applyFill="1" applyAlignment="1">
      <alignment horizontal="center"/>
    </xf>
    <xf numFmtId="49" fontId="17" fillId="0" borderId="10" xfId="0" applyNumberFormat="1" applyFont="1" applyFill="1" applyBorder="1" applyAlignment="1">
      <alignment horizontal="center" vertical="center" wrapText="1"/>
    </xf>
    <xf numFmtId="0" fontId="0" fillId="0" borderId="0" xfId="0" applyFill="1" applyAlignment="1">
      <alignment/>
    </xf>
    <xf numFmtId="190" fontId="15" fillId="0" borderId="10" xfId="0" applyNumberFormat="1" applyFont="1" applyFill="1" applyBorder="1" applyAlignment="1">
      <alignment horizontal="center" vertical="center" wrapText="1"/>
    </xf>
    <xf numFmtId="0" fontId="2" fillId="0" borderId="0" xfId="0" applyFont="1" applyFill="1" applyAlignment="1">
      <alignment/>
    </xf>
    <xf numFmtId="0" fontId="2" fillId="0" borderId="0" xfId="0" applyFont="1" applyFill="1" applyAlignment="1">
      <alignment horizontal="center"/>
    </xf>
    <xf numFmtId="0" fontId="4" fillId="0" borderId="0" xfId="0" applyFont="1" applyFill="1" applyBorder="1" applyAlignment="1">
      <alignment horizontal="center" vertical="justify" wrapText="1"/>
    </xf>
    <xf numFmtId="0" fontId="2" fillId="0" borderId="0" xfId="0" applyFont="1" applyFill="1" applyBorder="1" applyAlignment="1">
      <alignment horizontal="right" vertical="justify" wrapText="1"/>
    </xf>
    <xf numFmtId="0" fontId="13" fillId="0" borderId="0" xfId="0" applyFont="1" applyFill="1" applyBorder="1" applyAlignment="1">
      <alignment horizontal="left" vertical="justify" wrapText="1"/>
    </xf>
    <xf numFmtId="0" fontId="12" fillId="0" borderId="0" xfId="0" applyFont="1" applyFill="1" applyBorder="1" applyAlignment="1">
      <alignment horizontal="center" vertical="justify" wrapText="1"/>
    </xf>
    <xf numFmtId="0" fontId="0" fillId="0" borderId="0" xfId="0" applyFont="1" applyFill="1" applyAlignment="1">
      <alignment/>
    </xf>
    <xf numFmtId="190" fontId="2" fillId="0" borderId="0" xfId="0" applyNumberFormat="1" applyFont="1" applyFill="1" applyAlignment="1">
      <alignment horizontal="center" vertical="center"/>
    </xf>
    <xf numFmtId="190" fontId="3" fillId="0" borderId="10" xfId="0" applyNumberFormat="1" applyFont="1" applyFill="1" applyBorder="1" applyAlignment="1">
      <alignment horizontal="center" vertical="center"/>
    </xf>
    <xf numFmtId="190" fontId="19" fillId="0" borderId="10" xfId="0" applyNumberFormat="1" applyFont="1" applyFill="1" applyBorder="1" applyAlignment="1">
      <alignment horizontal="center" vertical="center"/>
    </xf>
    <xf numFmtId="0" fontId="2" fillId="0" borderId="0" xfId="0" applyFont="1" applyFill="1" applyAlignment="1">
      <alignment horizontal="center" vertical="center"/>
    </xf>
    <xf numFmtId="49" fontId="2" fillId="0" borderId="10" xfId="0" applyNumberFormat="1" applyFont="1" applyFill="1" applyBorder="1" applyAlignment="1">
      <alignment horizontal="center" vertical="top" wrapText="1"/>
    </xf>
    <xf numFmtId="190" fontId="2" fillId="0" borderId="11" xfId="0" applyNumberFormat="1" applyFont="1" applyFill="1" applyBorder="1" applyAlignment="1">
      <alignment horizontal="center" vertical="center" wrapText="1"/>
    </xf>
    <xf numFmtId="0" fontId="17" fillId="0" borderId="10" xfId="0" applyFont="1" applyFill="1" applyBorder="1" applyAlignment="1">
      <alignment horizontal="left" vertical="top" wrapText="1"/>
    </xf>
    <xf numFmtId="0" fontId="2" fillId="0" borderId="10" xfId="0" applyFont="1" applyFill="1" applyBorder="1" applyAlignment="1">
      <alignment horizontal="center" vertical="center" wrapText="1"/>
    </xf>
    <xf numFmtId="0" fontId="3" fillId="0" borderId="10" xfId="54" applyFont="1" applyFill="1" applyBorder="1" applyAlignment="1">
      <alignment horizontal="center" vertical="center" wrapText="1"/>
      <protection/>
    </xf>
    <xf numFmtId="0" fontId="3" fillId="0" borderId="10" xfId="54" applyFont="1" applyFill="1" applyBorder="1" applyAlignment="1">
      <alignment horizontal="left" vertical="center" wrapText="1"/>
      <protection/>
    </xf>
    <xf numFmtId="190" fontId="3" fillId="0" borderId="10" xfId="54" applyNumberFormat="1" applyFont="1" applyFill="1" applyBorder="1" applyAlignment="1">
      <alignment horizontal="center" vertical="center" wrapText="1"/>
      <protection/>
    </xf>
    <xf numFmtId="0" fontId="2" fillId="0" borderId="10" xfId="54" applyFont="1" applyFill="1" applyBorder="1" applyAlignment="1">
      <alignment horizontal="center" vertical="center" wrapText="1"/>
      <protection/>
    </xf>
    <xf numFmtId="0" fontId="2" fillId="0" borderId="10" xfId="54" applyFont="1" applyFill="1" applyBorder="1" applyAlignment="1">
      <alignment horizontal="left" vertical="center" wrapText="1"/>
      <protection/>
    </xf>
    <xf numFmtId="190" fontId="2" fillId="0" borderId="10" xfId="54" applyNumberFormat="1" applyFont="1" applyFill="1" applyBorder="1" applyAlignment="1">
      <alignment horizontal="center" vertical="center" wrapText="1"/>
      <protection/>
    </xf>
    <xf numFmtId="0" fontId="2" fillId="0" borderId="10" xfId="54" applyFont="1" applyFill="1" applyBorder="1" applyAlignment="1">
      <alignment horizontal="center" vertical="center" wrapText="1"/>
      <protection/>
    </xf>
    <xf numFmtId="0" fontId="2" fillId="0" borderId="10" xfId="54" applyFont="1" applyFill="1" applyBorder="1" applyAlignment="1">
      <alignment horizontal="left" vertical="center" wrapText="1"/>
      <protection/>
    </xf>
    <xf numFmtId="2" fontId="2" fillId="0" borderId="10" xfId="54" applyNumberFormat="1" applyFont="1" applyFill="1" applyBorder="1" applyAlignment="1">
      <alignment horizontal="left" vertical="center" wrapText="1"/>
      <protection/>
    </xf>
    <xf numFmtId="190" fontId="2" fillId="0" borderId="10" xfId="54" applyNumberFormat="1" applyFont="1" applyFill="1" applyBorder="1" applyAlignment="1">
      <alignment horizontal="center" vertical="center" wrapText="1"/>
      <protection/>
    </xf>
    <xf numFmtId="0" fontId="14" fillId="0" borderId="10" xfId="54" applyFont="1" applyFill="1" applyBorder="1" applyAlignment="1">
      <alignment horizontal="center" vertical="center" wrapText="1"/>
      <protection/>
    </xf>
    <xf numFmtId="0" fontId="14" fillId="0" borderId="10" xfId="54" applyFont="1" applyFill="1" applyBorder="1" applyAlignment="1">
      <alignment horizontal="left" vertical="center" wrapText="1"/>
      <protection/>
    </xf>
    <xf numFmtId="0" fontId="11" fillId="0" borderId="10" xfId="54" applyFont="1" applyFill="1" applyBorder="1" applyAlignment="1">
      <alignment horizontal="left" vertical="center"/>
      <protection/>
    </xf>
    <xf numFmtId="190" fontId="15" fillId="0" borderId="10" xfId="54" applyNumberFormat="1" applyFont="1" applyFill="1" applyBorder="1" applyAlignment="1">
      <alignment horizontal="center" vertical="center" wrapText="1"/>
      <protection/>
    </xf>
    <xf numFmtId="0" fontId="3" fillId="33" borderId="10" xfId="0" applyFont="1" applyFill="1" applyBorder="1" applyAlignment="1">
      <alignment horizontal="center" vertical="center" wrapText="1"/>
    </xf>
    <xf numFmtId="0" fontId="3" fillId="34" borderId="10" xfId="0" applyFont="1" applyFill="1" applyBorder="1" applyAlignment="1">
      <alignment vertical="center" wrapText="1"/>
    </xf>
    <xf numFmtId="49" fontId="3" fillId="34" borderId="10" xfId="0" applyNumberFormat="1" applyFont="1" applyFill="1" applyBorder="1" applyAlignment="1">
      <alignment horizontal="center" vertical="center" wrapText="1" shrinkToFit="1"/>
    </xf>
    <xf numFmtId="190" fontId="3" fillId="34" borderId="10" xfId="0" applyNumberFormat="1" applyFont="1" applyFill="1" applyBorder="1" applyAlignment="1">
      <alignment horizontal="center" vertical="center" wrapText="1"/>
    </xf>
    <xf numFmtId="0" fontId="3" fillId="13" borderId="10" xfId="0" applyFont="1" applyFill="1" applyBorder="1" applyAlignment="1">
      <alignment vertical="center" wrapText="1"/>
    </xf>
    <xf numFmtId="49" fontId="3" fillId="13" borderId="10" xfId="0" applyNumberFormat="1" applyFont="1" applyFill="1" applyBorder="1" applyAlignment="1">
      <alignment horizontal="center" vertical="center" wrapText="1" shrinkToFit="1"/>
    </xf>
    <xf numFmtId="190" fontId="3" fillId="13" borderId="10" xfId="0" applyNumberFormat="1" applyFont="1" applyFill="1" applyBorder="1" applyAlignment="1">
      <alignment horizontal="center" vertical="center" wrapText="1"/>
    </xf>
    <xf numFmtId="0" fontId="2" fillId="33" borderId="10" xfId="0" applyFont="1" applyFill="1" applyBorder="1" applyAlignment="1">
      <alignment vertical="center" wrapText="1"/>
    </xf>
    <xf numFmtId="49" fontId="2" fillId="33" borderId="10" xfId="0" applyNumberFormat="1" applyFont="1" applyFill="1" applyBorder="1" applyAlignment="1">
      <alignment horizontal="center" vertical="center" wrapText="1" shrinkToFit="1"/>
    </xf>
    <xf numFmtId="190" fontId="2" fillId="33" borderId="10" xfId="0" applyNumberFormat="1" applyFont="1" applyFill="1" applyBorder="1" applyAlignment="1">
      <alignment horizontal="center" vertical="center" wrapText="1"/>
    </xf>
    <xf numFmtId="0" fontId="17" fillId="33" borderId="10" xfId="0" applyFont="1" applyFill="1" applyBorder="1" applyAlignment="1">
      <alignment vertical="center" wrapText="1"/>
    </xf>
    <xf numFmtId="49" fontId="17" fillId="33" borderId="10" xfId="0" applyNumberFormat="1" applyFont="1" applyFill="1" applyBorder="1" applyAlignment="1">
      <alignment horizontal="center" vertical="center" wrapText="1" shrinkToFit="1"/>
    </xf>
    <xf numFmtId="190" fontId="17" fillId="33" borderId="10" xfId="0" applyNumberFormat="1" applyFont="1" applyFill="1" applyBorder="1" applyAlignment="1">
      <alignment horizontal="center" vertical="center" wrapText="1"/>
    </xf>
    <xf numFmtId="0" fontId="2" fillId="33" borderId="10" xfId="0" applyFont="1" applyFill="1" applyBorder="1" applyAlignment="1">
      <alignment horizontal="left" vertical="top" wrapText="1"/>
    </xf>
    <xf numFmtId="0" fontId="3" fillId="13" borderId="10" xfId="0" applyFont="1" applyFill="1" applyBorder="1" applyAlignment="1">
      <alignment horizontal="left" vertical="top" wrapText="1"/>
    </xf>
    <xf numFmtId="0" fontId="19" fillId="33" borderId="10" xfId="0" applyFont="1" applyFill="1" applyBorder="1" applyAlignment="1">
      <alignment vertical="top" wrapText="1"/>
    </xf>
    <xf numFmtId="49" fontId="19" fillId="33" borderId="10" xfId="0" applyNumberFormat="1" applyFont="1" applyFill="1" applyBorder="1" applyAlignment="1">
      <alignment horizontal="center" vertical="center" wrapText="1" shrinkToFit="1"/>
    </xf>
    <xf numFmtId="190" fontId="19" fillId="33" borderId="10" xfId="0" applyNumberFormat="1" applyFont="1" applyFill="1" applyBorder="1" applyAlignment="1">
      <alignment horizontal="center" vertical="center" wrapText="1"/>
    </xf>
    <xf numFmtId="0" fontId="3" fillId="13" borderId="10" xfId="0" applyFont="1" applyFill="1" applyBorder="1" applyAlignment="1">
      <alignment vertical="top" wrapText="1"/>
    </xf>
    <xf numFmtId="49" fontId="2" fillId="33" borderId="10" xfId="0" applyNumberFormat="1" applyFont="1" applyFill="1" applyBorder="1" applyAlignment="1">
      <alignment vertical="top" wrapText="1"/>
    </xf>
    <xf numFmtId="49" fontId="2" fillId="33" borderId="10" xfId="0" applyNumberFormat="1" applyFont="1" applyFill="1" applyBorder="1" applyAlignment="1">
      <alignment horizontal="center" vertical="center"/>
    </xf>
    <xf numFmtId="0" fontId="2" fillId="33" borderId="10" xfId="0" applyFont="1" applyFill="1" applyBorder="1" applyAlignment="1">
      <alignment vertical="top" wrapText="1"/>
    </xf>
    <xf numFmtId="49" fontId="2" fillId="33" borderId="10" xfId="0" applyNumberFormat="1" applyFont="1" applyFill="1" applyBorder="1" applyAlignment="1">
      <alignment horizontal="center" vertical="center" wrapText="1"/>
    </xf>
    <xf numFmtId="0" fontId="17" fillId="33" borderId="10" xfId="0" applyFont="1" applyFill="1" applyBorder="1" applyAlignment="1">
      <alignment vertical="top" wrapText="1"/>
    </xf>
    <xf numFmtId="0" fontId="3" fillId="33" borderId="10" xfId="0" applyFont="1" applyFill="1" applyBorder="1" applyAlignment="1">
      <alignment vertical="top" wrapText="1"/>
    </xf>
    <xf numFmtId="49" fontId="3" fillId="33" borderId="10" xfId="0" applyNumberFormat="1" applyFont="1" applyFill="1" applyBorder="1" applyAlignment="1">
      <alignment horizontal="center" vertical="center" wrapText="1" shrinkToFit="1"/>
    </xf>
    <xf numFmtId="190" fontId="3" fillId="33" borderId="10" xfId="0" applyNumberFormat="1" applyFont="1" applyFill="1" applyBorder="1" applyAlignment="1">
      <alignment horizontal="center" vertical="center" wrapText="1"/>
    </xf>
    <xf numFmtId="0" fontId="7" fillId="33" borderId="10" xfId="0" applyFont="1" applyFill="1" applyBorder="1" applyAlignment="1">
      <alignment vertical="center" wrapText="1"/>
    </xf>
    <xf numFmtId="0" fontId="17" fillId="0" borderId="10" xfId="0" applyNumberFormat="1" applyFont="1" applyFill="1" applyBorder="1" applyAlignment="1">
      <alignment vertical="top" wrapText="1"/>
    </xf>
    <xf numFmtId="0" fontId="20" fillId="33" borderId="10" xfId="0" applyFont="1" applyFill="1" applyBorder="1" applyAlignment="1">
      <alignment vertical="center" wrapText="1"/>
    </xf>
    <xf numFmtId="0" fontId="20" fillId="33" borderId="10" xfId="0" applyFont="1" applyFill="1" applyBorder="1" applyAlignment="1">
      <alignment vertical="top" wrapText="1"/>
    </xf>
    <xf numFmtId="0" fontId="3" fillId="33" borderId="10" xfId="0" applyFont="1" applyFill="1" applyBorder="1" applyAlignment="1">
      <alignment vertical="center" wrapText="1"/>
    </xf>
    <xf numFmtId="190" fontId="10" fillId="0" borderId="10" xfId="0" applyNumberFormat="1" applyFont="1" applyFill="1" applyBorder="1" applyAlignment="1">
      <alignment horizontal="center" vertical="center" wrapText="1" shrinkToFit="1"/>
    </xf>
    <xf numFmtId="49" fontId="7" fillId="33" borderId="10" xfId="0" applyNumberFormat="1" applyFont="1" applyFill="1" applyBorder="1" applyAlignment="1">
      <alignment horizontal="center" vertical="center" wrapText="1" shrinkToFit="1"/>
    </xf>
    <xf numFmtId="190" fontId="7" fillId="33" borderId="10" xfId="0" applyNumberFormat="1" applyFont="1" applyFill="1" applyBorder="1" applyAlignment="1">
      <alignment horizontal="center" vertical="center" wrapText="1" shrinkToFit="1"/>
    </xf>
    <xf numFmtId="190" fontId="7" fillId="0" borderId="10" xfId="0" applyNumberFormat="1" applyFont="1" applyFill="1" applyBorder="1" applyAlignment="1">
      <alignment horizontal="center" vertical="center" wrapText="1" shrinkToFit="1"/>
    </xf>
    <xf numFmtId="190" fontId="2" fillId="33" borderId="10" xfId="0" applyNumberFormat="1" applyFont="1" applyFill="1" applyBorder="1" applyAlignment="1">
      <alignment horizontal="center" vertical="center"/>
    </xf>
    <xf numFmtId="0" fontId="7" fillId="33" borderId="10" xfId="0" applyFont="1" applyFill="1" applyBorder="1" applyAlignment="1">
      <alignment vertical="top" wrapText="1"/>
    </xf>
    <xf numFmtId="0" fontId="19" fillId="33" borderId="10" xfId="0" applyFont="1" applyFill="1" applyBorder="1" applyAlignment="1">
      <alignment vertical="center" wrapText="1"/>
    </xf>
    <xf numFmtId="190" fontId="2" fillId="33" borderId="10" xfId="0" applyNumberFormat="1" applyFont="1" applyFill="1" applyBorder="1" applyAlignment="1">
      <alignment horizontal="center" vertical="center" wrapText="1"/>
    </xf>
    <xf numFmtId="49" fontId="17" fillId="33"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21" fillId="33" borderId="10" xfId="0" applyFont="1" applyFill="1" applyBorder="1" applyAlignment="1">
      <alignment vertical="center" wrapText="1"/>
    </xf>
    <xf numFmtId="49" fontId="21" fillId="33" borderId="10" xfId="0" applyNumberFormat="1" applyFont="1" applyFill="1" applyBorder="1" applyAlignment="1">
      <alignment horizontal="center" vertical="center" wrapText="1" shrinkToFit="1"/>
    </xf>
    <xf numFmtId="49" fontId="18" fillId="33" borderId="10" xfId="0" applyNumberFormat="1" applyFont="1" applyFill="1" applyBorder="1" applyAlignment="1">
      <alignment horizontal="center" vertical="center" wrapText="1" shrinkToFit="1"/>
    </xf>
    <xf numFmtId="0" fontId="17" fillId="35" borderId="10" xfId="0" applyFont="1" applyFill="1" applyBorder="1" applyAlignment="1">
      <alignment vertical="center" wrapText="1"/>
    </xf>
    <xf numFmtId="49" fontId="17" fillId="35" borderId="10" xfId="0" applyNumberFormat="1" applyFont="1" applyFill="1" applyBorder="1" applyAlignment="1">
      <alignment horizontal="center" vertical="center" wrapText="1" shrinkToFit="1"/>
    </xf>
    <xf numFmtId="190" fontId="17" fillId="35" borderId="10" xfId="0" applyNumberFormat="1" applyFont="1" applyFill="1" applyBorder="1" applyAlignment="1">
      <alignment horizontal="center" vertical="center" wrapText="1"/>
    </xf>
    <xf numFmtId="190" fontId="2" fillId="35" borderId="10" xfId="0" applyNumberFormat="1" applyFont="1" applyFill="1" applyBorder="1" applyAlignment="1">
      <alignment horizontal="center" vertical="center" wrapText="1"/>
    </xf>
    <xf numFmtId="0" fontId="20" fillId="35" borderId="10" xfId="0" applyFont="1" applyFill="1" applyBorder="1" applyAlignment="1">
      <alignment vertical="center" wrapText="1"/>
    </xf>
    <xf numFmtId="49" fontId="2" fillId="35" borderId="10" xfId="0" applyNumberFormat="1" applyFont="1" applyFill="1" applyBorder="1" applyAlignment="1">
      <alignment horizontal="center" vertical="center" wrapText="1" shrinkToFit="1"/>
    </xf>
    <xf numFmtId="0" fontId="2" fillId="35" borderId="10" xfId="0" applyFont="1" applyFill="1" applyBorder="1" applyAlignment="1">
      <alignment vertical="top" wrapText="1"/>
    </xf>
    <xf numFmtId="183" fontId="2" fillId="33" borderId="10" xfId="0" applyNumberFormat="1" applyFont="1" applyFill="1" applyBorder="1" applyAlignment="1">
      <alignment horizontal="center" vertical="center" wrapText="1" shrinkToFit="1"/>
    </xf>
    <xf numFmtId="0" fontId="2" fillId="33" borderId="10" xfId="0" applyFont="1" applyFill="1" applyBorder="1" applyAlignment="1">
      <alignment vertical="center" wrapText="1"/>
    </xf>
    <xf numFmtId="0" fontId="23" fillId="33" borderId="10" xfId="0" applyFont="1" applyFill="1" applyBorder="1" applyAlignment="1">
      <alignment vertical="center" wrapText="1"/>
    </xf>
    <xf numFmtId="0" fontId="5" fillId="33" borderId="0" xfId="0" applyFont="1" applyFill="1" applyAlignment="1">
      <alignment/>
    </xf>
    <xf numFmtId="0" fontId="28" fillId="0" borderId="0" xfId="0" applyFont="1" applyAlignment="1">
      <alignment vertical="distributed"/>
    </xf>
    <xf numFmtId="190" fontId="7" fillId="33" borderId="10" xfId="0" applyNumberFormat="1" applyFont="1" applyFill="1" applyBorder="1" applyAlignment="1">
      <alignment horizontal="center" vertical="center" wrapText="1"/>
    </xf>
    <xf numFmtId="0" fontId="2" fillId="33" borderId="0" xfId="0" applyFont="1" applyFill="1" applyAlignment="1">
      <alignment vertical="top"/>
    </xf>
    <xf numFmtId="0" fontId="2" fillId="33" borderId="0" xfId="0" applyFont="1" applyFill="1" applyAlignment="1">
      <alignment/>
    </xf>
    <xf numFmtId="0" fontId="5" fillId="33" borderId="0" xfId="0" applyFont="1" applyFill="1" applyAlignment="1">
      <alignment vertical="center" wrapText="1"/>
    </xf>
    <xf numFmtId="0" fontId="5" fillId="33" borderId="0" xfId="0" applyFont="1" applyFill="1" applyAlignment="1">
      <alignment horizontal="center" vertical="center" wrapText="1"/>
    </xf>
    <xf numFmtId="0" fontId="5" fillId="33" borderId="0" xfId="0" applyFont="1" applyFill="1" applyAlignment="1">
      <alignment horizontal="center"/>
    </xf>
    <xf numFmtId="0" fontId="5" fillId="34" borderId="0" xfId="0" applyFont="1" applyFill="1" applyAlignment="1">
      <alignment/>
    </xf>
    <xf numFmtId="190" fontId="5" fillId="13" borderId="0" xfId="0" applyNumberFormat="1" applyFont="1" applyFill="1" applyAlignment="1">
      <alignment/>
    </xf>
    <xf numFmtId="0" fontId="5" fillId="13" borderId="0" xfId="0" applyFont="1" applyFill="1" applyAlignment="1">
      <alignment/>
    </xf>
    <xf numFmtId="0" fontId="24" fillId="33" borderId="0" xfId="0" applyFont="1" applyFill="1" applyAlignment="1">
      <alignment/>
    </xf>
    <xf numFmtId="190" fontId="5" fillId="33" borderId="0" xfId="0" applyNumberFormat="1" applyFont="1" applyFill="1" applyAlignment="1">
      <alignment/>
    </xf>
    <xf numFmtId="190" fontId="26" fillId="33" borderId="0" xfId="0" applyNumberFormat="1" applyFont="1" applyFill="1" applyAlignment="1">
      <alignment/>
    </xf>
    <xf numFmtId="0" fontId="26" fillId="33" borderId="0" xfId="0" applyFont="1" applyFill="1" applyAlignment="1">
      <alignment/>
    </xf>
    <xf numFmtId="190" fontId="11" fillId="33" borderId="0" xfId="0" applyNumberFormat="1" applyFont="1" applyFill="1" applyAlignment="1">
      <alignment/>
    </xf>
    <xf numFmtId="0" fontId="11" fillId="33" borderId="0" xfId="0" applyFont="1" applyFill="1" applyAlignment="1">
      <alignment/>
    </xf>
    <xf numFmtId="0" fontId="27" fillId="33" borderId="0" xfId="0" applyFont="1" applyFill="1" applyAlignment="1">
      <alignment/>
    </xf>
    <xf numFmtId="0" fontId="11" fillId="34" borderId="0" xfId="0" applyFont="1" applyFill="1" applyAlignment="1">
      <alignment/>
    </xf>
    <xf numFmtId="0" fontId="24" fillId="13" borderId="0" xfId="0" applyFont="1" applyFill="1" applyAlignment="1">
      <alignment/>
    </xf>
    <xf numFmtId="190" fontId="24" fillId="33" borderId="0" xfId="0" applyNumberFormat="1" applyFont="1" applyFill="1" applyAlignment="1">
      <alignment/>
    </xf>
    <xf numFmtId="0" fontId="5" fillId="33" borderId="0" xfId="0" applyFont="1" applyFill="1" applyAlignment="1">
      <alignment vertical="justify"/>
    </xf>
    <xf numFmtId="49" fontId="5" fillId="33" borderId="0" xfId="0" applyNumberFormat="1" applyFont="1" applyFill="1" applyAlignment="1">
      <alignment/>
    </xf>
    <xf numFmtId="49" fontId="25" fillId="33" borderId="0" xfId="0" applyNumberFormat="1" applyFont="1" applyFill="1" applyAlignment="1">
      <alignment/>
    </xf>
    <xf numFmtId="190" fontId="7" fillId="33" borderId="0" xfId="0" applyNumberFormat="1" applyFont="1" applyFill="1" applyAlignment="1">
      <alignment/>
    </xf>
    <xf numFmtId="190" fontId="25" fillId="0" borderId="0" xfId="0" applyNumberFormat="1" applyFont="1" applyFill="1" applyAlignment="1">
      <alignment/>
    </xf>
    <xf numFmtId="0" fontId="16" fillId="33" borderId="0" xfId="0" applyFont="1" applyFill="1" applyAlignment="1">
      <alignment horizontal="left"/>
    </xf>
    <xf numFmtId="0" fontId="16" fillId="33" borderId="0" xfId="0" applyFont="1" applyFill="1" applyAlignment="1">
      <alignment/>
    </xf>
    <xf numFmtId="0" fontId="25" fillId="36" borderId="0" xfId="0" applyFont="1" applyFill="1" applyAlignment="1">
      <alignment/>
    </xf>
    <xf numFmtId="0" fontId="19" fillId="36" borderId="0" xfId="0" applyFont="1" applyFill="1" applyAlignment="1">
      <alignment/>
    </xf>
    <xf numFmtId="190" fontId="29" fillId="0" borderId="0" xfId="0" applyNumberFormat="1" applyFont="1" applyFill="1" applyAlignment="1">
      <alignment/>
    </xf>
    <xf numFmtId="190" fontId="16" fillId="33" borderId="0" xfId="0" applyNumberFormat="1" applyFont="1" applyFill="1" applyAlignment="1">
      <alignment horizontal="center"/>
    </xf>
    <xf numFmtId="0" fontId="22" fillId="33" borderId="0" xfId="0" applyFont="1" applyFill="1" applyAlignment="1">
      <alignment/>
    </xf>
    <xf numFmtId="0" fontId="5" fillId="33" borderId="10" xfId="0" applyFont="1" applyFill="1" applyBorder="1" applyAlignment="1">
      <alignment horizontal="center"/>
    </xf>
    <xf numFmtId="0" fontId="2" fillId="33" borderId="0" xfId="0" applyFont="1" applyFill="1" applyAlignment="1">
      <alignment horizontal="right"/>
    </xf>
    <xf numFmtId="0" fontId="2" fillId="33" borderId="0" xfId="0" applyFont="1" applyFill="1" applyAlignment="1">
      <alignment horizontal="right" wrapText="1"/>
    </xf>
    <xf numFmtId="0" fontId="2" fillId="0" borderId="0" xfId="0" applyFont="1" applyFill="1" applyAlignment="1">
      <alignment/>
    </xf>
    <xf numFmtId="10" fontId="2" fillId="34" borderId="10" xfId="0" applyNumberFormat="1" applyFont="1" applyFill="1" applyBorder="1" applyAlignment="1">
      <alignment horizontal="center" vertical="center"/>
    </xf>
    <xf numFmtId="10" fontId="2" fillId="13" borderId="10" xfId="0" applyNumberFormat="1" applyFont="1" applyFill="1" applyBorder="1" applyAlignment="1">
      <alignment horizontal="center" vertical="center"/>
    </xf>
    <xf numFmtId="10" fontId="2" fillId="33" borderId="10" xfId="0" applyNumberFormat="1" applyFont="1" applyFill="1" applyBorder="1" applyAlignment="1">
      <alignment horizontal="center" vertical="center"/>
    </xf>
    <xf numFmtId="10" fontId="3" fillId="34" borderId="10" xfId="0" applyNumberFormat="1" applyFont="1" applyFill="1" applyBorder="1" applyAlignment="1">
      <alignment horizontal="center" vertical="center"/>
    </xf>
    <xf numFmtId="10" fontId="17" fillId="13" borderId="10" xfId="0" applyNumberFormat="1" applyFont="1" applyFill="1" applyBorder="1" applyAlignment="1">
      <alignment horizontal="center" vertical="center"/>
    </xf>
    <xf numFmtId="190" fontId="7" fillId="33" borderId="0" xfId="0" applyNumberFormat="1" applyFont="1" applyFill="1" applyAlignment="1">
      <alignment horizontal="center" vertical="center" wrapText="1"/>
    </xf>
    <xf numFmtId="190" fontId="2" fillId="33" borderId="0" xfId="0" applyNumberFormat="1" applyFont="1" applyFill="1" applyAlignment="1">
      <alignment horizontal="center" vertical="center" wrapText="1"/>
    </xf>
    <xf numFmtId="190" fontId="2" fillId="0" borderId="0" xfId="0" applyNumberFormat="1" applyFont="1" applyFill="1" applyAlignment="1">
      <alignment horizontal="center" vertical="center" wrapText="1"/>
    </xf>
    <xf numFmtId="190" fontId="3" fillId="33" borderId="10" xfId="0" applyNumberFormat="1" applyFont="1" applyFill="1" applyBorder="1" applyAlignment="1">
      <alignment horizontal="center" vertical="center" wrapText="1"/>
    </xf>
    <xf numFmtId="190" fontId="2" fillId="13" borderId="10" xfId="0" applyNumberFormat="1" applyFont="1" applyFill="1" applyBorder="1" applyAlignment="1">
      <alignment horizontal="center" vertical="center" wrapText="1"/>
    </xf>
    <xf numFmtId="190" fontId="20" fillId="33" borderId="10" xfId="0" applyNumberFormat="1" applyFont="1" applyFill="1" applyBorder="1" applyAlignment="1">
      <alignment horizontal="center" vertical="center" wrapText="1"/>
    </xf>
    <xf numFmtId="190" fontId="17" fillId="13" borderId="10" xfId="0" applyNumberFormat="1" applyFont="1" applyFill="1" applyBorder="1" applyAlignment="1">
      <alignment horizontal="center" vertical="center" wrapText="1"/>
    </xf>
    <xf numFmtId="190" fontId="3" fillId="33" borderId="10" xfId="0" applyNumberFormat="1" applyFont="1" applyFill="1" applyBorder="1" applyAlignment="1">
      <alignment horizontal="center" vertical="center" wrapText="1"/>
    </xf>
    <xf numFmtId="183" fontId="2" fillId="0" borderId="10" xfId="0" applyNumberFormat="1" applyFont="1" applyFill="1" applyBorder="1" applyAlignment="1">
      <alignment horizontal="center" vertical="center" wrapText="1"/>
    </xf>
    <xf numFmtId="0" fontId="2" fillId="13" borderId="10" xfId="0" applyFont="1" applyFill="1" applyBorder="1" applyAlignment="1">
      <alignment vertical="center" wrapText="1"/>
    </xf>
    <xf numFmtId="0" fontId="5" fillId="0" borderId="0" xfId="0" applyFont="1" applyFill="1" applyAlignment="1">
      <alignment horizontal="left"/>
    </xf>
    <xf numFmtId="0" fontId="30" fillId="0" borderId="0" xfId="0" applyFont="1" applyFill="1" applyAlignment="1">
      <alignment horizontal="right"/>
    </xf>
    <xf numFmtId="0" fontId="5" fillId="0" borderId="0" xfId="0" applyFont="1" applyFill="1" applyAlignment="1">
      <alignment horizontal="right"/>
    </xf>
    <xf numFmtId="2" fontId="2" fillId="0" borderId="0" xfId="0" applyNumberFormat="1" applyFont="1" applyFill="1" applyAlignment="1">
      <alignment horizontal="center" vertical="center"/>
    </xf>
    <xf numFmtId="0" fontId="3" fillId="34" borderId="10" xfId="0" applyFont="1" applyFill="1" applyBorder="1" applyAlignment="1">
      <alignment horizontal="left" vertical="center" wrapText="1"/>
    </xf>
    <xf numFmtId="49" fontId="3" fillId="34"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3" fillId="13" borderId="10" xfId="0" applyFont="1" applyFill="1" applyBorder="1" applyAlignment="1">
      <alignment horizontal="left" vertical="center" wrapText="1"/>
    </xf>
    <xf numFmtId="49" fontId="3" fillId="13" borderId="10" xfId="0" applyNumberFormat="1" applyFont="1" applyFill="1" applyBorder="1" applyAlignment="1">
      <alignment horizontal="center" vertical="center" wrapText="1"/>
    </xf>
    <xf numFmtId="182" fontId="3" fillId="0" borderId="10" xfId="0" applyNumberFormat="1" applyFont="1" applyFill="1" applyBorder="1" applyAlignment="1">
      <alignment horizontal="center" vertical="center"/>
    </xf>
    <xf numFmtId="190" fontId="5" fillId="0" borderId="0" xfId="0" applyNumberFormat="1" applyFont="1" applyFill="1" applyAlignment="1">
      <alignment/>
    </xf>
    <xf numFmtId="0" fontId="2" fillId="33" borderId="10" xfId="0" applyFont="1" applyFill="1" applyBorder="1" applyAlignment="1">
      <alignment horizontal="left" vertical="center" wrapText="1"/>
    </xf>
    <xf numFmtId="0" fontId="2" fillId="0" borderId="10" xfId="0" applyFont="1" applyFill="1" applyBorder="1" applyAlignment="1">
      <alignment horizontal="center" vertical="center"/>
    </xf>
    <xf numFmtId="2" fontId="2" fillId="0" borderId="10" xfId="0" applyNumberFormat="1" applyFont="1" applyFill="1" applyBorder="1" applyAlignment="1">
      <alignment horizontal="center" vertical="center"/>
    </xf>
    <xf numFmtId="49" fontId="2" fillId="13" borderId="10" xfId="0" applyNumberFormat="1" applyFont="1" applyFill="1" applyBorder="1" applyAlignment="1">
      <alignment horizontal="center" vertical="center" wrapText="1"/>
    </xf>
    <xf numFmtId="49" fontId="2" fillId="13" borderId="10" xfId="0" applyNumberFormat="1" applyFont="1" applyFill="1" applyBorder="1" applyAlignment="1">
      <alignment horizontal="center" vertical="center" wrapText="1" shrinkToFit="1"/>
    </xf>
    <xf numFmtId="0" fontId="11" fillId="0" borderId="0" xfId="0" applyFont="1" applyFill="1" applyAlignment="1">
      <alignment/>
    </xf>
    <xf numFmtId="0" fontId="2" fillId="13" borderId="10" xfId="0" applyFont="1" applyFill="1" applyBorder="1" applyAlignment="1">
      <alignment horizontal="left" vertical="top" wrapText="1"/>
    </xf>
    <xf numFmtId="0" fontId="2" fillId="13" borderId="10" xfId="0" applyFont="1" applyFill="1" applyBorder="1" applyAlignment="1">
      <alignment vertical="top" wrapText="1"/>
    </xf>
    <xf numFmtId="0" fontId="19" fillId="0" borderId="10" xfId="0" applyFont="1" applyFill="1" applyBorder="1" applyAlignment="1">
      <alignment horizontal="center" vertical="center"/>
    </xf>
    <xf numFmtId="0" fontId="26" fillId="0" borderId="0" xfId="0" applyFont="1" applyFill="1" applyAlignment="1">
      <alignment/>
    </xf>
    <xf numFmtId="49" fontId="19" fillId="33"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xf>
    <xf numFmtId="0" fontId="24" fillId="0" borderId="0" xfId="0" applyFont="1" applyFill="1" applyAlignment="1">
      <alignment/>
    </xf>
    <xf numFmtId="49" fontId="3" fillId="33" borderId="10" xfId="0" applyNumberFormat="1" applyFont="1" applyFill="1" applyBorder="1" applyAlignment="1">
      <alignment horizontal="center" vertical="center" wrapText="1"/>
    </xf>
    <xf numFmtId="0" fontId="17" fillId="33" borderId="10" xfId="0" applyFont="1" applyFill="1" applyBorder="1" applyAlignment="1">
      <alignment horizontal="left" vertical="top" wrapText="1"/>
    </xf>
    <xf numFmtId="49" fontId="2" fillId="33" borderId="10" xfId="0" applyNumberFormat="1" applyFont="1" applyFill="1" applyBorder="1" applyAlignment="1">
      <alignment horizontal="center" vertical="center" wrapText="1"/>
    </xf>
    <xf numFmtId="0" fontId="3" fillId="0" borderId="10" xfId="0" applyFont="1" applyFill="1" applyBorder="1" applyAlignment="1">
      <alignment vertical="top" wrapText="1"/>
    </xf>
    <xf numFmtId="0" fontId="3" fillId="13" borderId="10" xfId="0" applyFont="1" applyFill="1" applyBorder="1" applyAlignment="1">
      <alignment horizontal="left" vertical="center" wrapText="1"/>
    </xf>
    <xf numFmtId="190" fontId="2" fillId="0" borderId="10" xfId="0" applyNumberFormat="1" applyFont="1" applyFill="1" applyBorder="1" applyAlignment="1">
      <alignment horizontal="right"/>
    </xf>
    <xf numFmtId="49" fontId="2" fillId="35"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shrinkToFit="1"/>
    </xf>
    <xf numFmtId="0" fontId="2" fillId="33" borderId="10" xfId="0" applyFont="1" applyFill="1" applyBorder="1" applyAlignment="1">
      <alignment vertical="top" wrapText="1"/>
    </xf>
    <xf numFmtId="49" fontId="3" fillId="13" borderId="10" xfId="0" applyNumberFormat="1" applyFont="1" applyFill="1" applyBorder="1" applyAlignment="1">
      <alignment horizontal="center" vertical="center" wrapText="1"/>
    </xf>
    <xf numFmtId="190" fontId="17" fillId="0" borderId="10" xfId="0" applyNumberFormat="1" applyFont="1" applyFill="1" applyBorder="1" applyAlignment="1">
      <alignment horizontal="center" vertical="center" wrapText="1"/>
    </xf>
    <xf numFmtId="0" fontId="20" fillId="33" borderId="10" xfId="0" applyFont="1" applyFill="1" applyBorder="1" applyAlignment="1">
      <alignment vertical="center" wrapText="1"/>
    </xf>
    <xf numFmtId="190" fontId="3" fillId="0" borderId="10" xfId="0" applyNumberFormat="1" applyFont="1" applyFill="1" applyBorder="1" applyAlignment="1">
      <alignment horizontal="center" vertical="center" wrapText="1"/>
    </xf>
    <xf numFmtId="0" fontId="19" fillId="33" borderId="10" xfId="0" applyFont="1" applyFill="1" applyBorder="1" applyAlignment="1">
      <alignment vertical="center" wrapText="1"/>
    </xf>
    <xf numFmtId="0" fontId="17" fillId="0" borderId="10" xfId="0" applyFont="1" applyFill="1" applyBorder="1" applyAlignment="1">
      <alignment horizontal="left" vertical="center" wrapText="1"/>
    </xf>
    <xf numFmtId="0" fontId="23" fillId="33" borderId="10" xfId="0" applyFont="1" applyFill="1" applyBorder="1" applyAlignment="1">
      <alignment horizontal="left" vertical="center" wrapText="1"/>
    </xf>
    <xf numFmtId="190" fontId="3" fillId="13" borderId="10" xfId="0" applyNumberFormat="1" applyFont="1" applyFill="1" applyBorder="1" applyAlignment="1">
      <alignment horizontal="center" vertical="center" wrapText="1"/>
    </xf>
    <xf numFmtId="0" fontId="2" fillId="13" borderId="10" xfId="0" applyFont="1" applyFill="1" applyBorder="1" applyAlignment="1">
      <alignment horizontal="left" vertical="center" wrapText="1"/>
    </xf>
    <xf numFmtId="49" fontId="19" fillId="0" borderId="0" xfId="0" applyNumberFormat="1" applyFont="1" applyFill="1" applyBorder="1" applyAlignment="1">
      <alignment horizontal="center" vertical="center" wrapText="1" shrinkToFit="1"/>
    </xf>
    <xf numFmtId="183" fontId="17" fillId="33" borderId="10" xfId="0" applyNumberFormat="1" applyFont="1" applyFill="1" applyBorder="1" applyAlignment="1">
      <alignment horizontal="center" vertical="center" wrapText="1" shrinkToFit="1"/>
    </xf>
    <xf numFmtId="0" fontId="19" fillId="33" borderId="10" xfId="0" applyFont="1" applyFill="1" applyBorder="1" applyAlignment="1">
      <alignment horizontal="left" vertical="top" wrapText="1"/>
    </xf>
    <xf numFmtId="0" fontId="2" fillId="0" borderId="0" xfId="0" applyFont="1" applyAlignment="1">
      <alignment vertical="distributed"/>
    </xf>
    <xf numFmtId="183" fontId="5" fillId="0" borderId="0" xfId="0" applyNumberFormat="1" applyFont="1" applyFill="1" applyAlignment="1">
      <alignment/>
    </xf>
    <xf numFmtId="49" fontId="17" fillId="33" borderId="10" xfId="0" applyNumberFormat="1" applyFont="1" applyFill="1" applyBorder="1" applyAlignment="1">
      <alignment horizontal="center" vertical="center" wrapText="1"/>
    </xf>
    <xf numFmtId="190" fontId="3" fillId="34"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19" fillId="13" borderId="10" xfId="0" applyFont="1" applyFill="1" applyBorder="1" applyAlignment="1">
      <alignment vertical="center" wrapText="1"/>
    </xf>
    <xf numFmtId="49" fontId="19" fillId="13" borderId="10" xfId="0" applyNumberFormat="1" applyFont="1" applyFill="1" applyBorder="1" applyAlignment="1">
      <alignment horizontal="center" vertical="center" wrapText="1"/>
    </xf>
    <xf numFmtId="49" fontId="19" fillId="13" borderId="10" xfId="0" applyNumberFormat="1" applyFont="1" applyFill="1" applyBorder="1" applyAlignment="1">
      <alignment horizontal="center" vertical="center" wrapText="1" shrinkToFit="1"/>
    </xf>
    <xf numFmtId="190" fontId="19" fillId="13" borderId="10" xfId="0" applyNumberFormat="1" applyFont="1" applyFill="1" applyBorder="1" applyAlignment="1">
      <alignment horizontal="center" vertical="center" wrapText="1"/>
    </xf>
    <xf numFmtId="49" fontId="2" fillId="13" borderId="10" xfId="0" applyNumberFormat="1" applyFont="1" applyFill="1" applyBorder="1" applyAlignment="1">
      <alignment horizontal="center" vertical="center" wrapText="1"/>
    </xf>
    <xf numFmtId="0" fontId="17" fillId="13" borderId="10" xfId="0" applyFont="1" applyFill="1" applyBorder="1" applyAlignment="1">
      <alignment vertical="center" wrapText="1"/>
    </xf>
    <xf numFmtId="49" fontId="17" fillId="13" borderId="10" xfId="0" applyNumberFormat="1" applyFont="1" applyFill="1" applyBorder="1" applyAlignment="1">
      <alignment horizontal="center" vertical="center" wrapText="1" shrinkToFit="1"/>
    </xf>
    <xf numFmtId="184" fontId="5" fillId="0" borderId="0" xfId="0" applyNumberFormat="1" applyFont="1" applyFill="1" applyAlignment="1">
      <alignment/>
    </xf>
    <xf numFmtId="190" fontId="17" fillId="33" borderId="10" xfId="0" applyNumberFormat="1" applyFont="1" applyFill="1" applyBorder="1" applyAlignment="1">
      <alignment horizontal="center" vertical="center" wrapText="1"/>
    </xf>
    <xf numFmtId="49" fontId="17" fillId="33" borderId="10" xfId="0" applyNumberFormat="1" applyFont="1" applyFill="1" applyBorder="1" applyAlignment="1">
      <alignment horizontal="center" vertical="top" wrapText="1"/>
    </xf>
    <xf numFmtId="49" fontId="2" fillId="33" borderId="10" xfId="0" applyNumberFormat="1" applyFont="1" applyFill="1" applyBorder="1" applyAlignment="1">
      <alignment horizontal="center" vertical="top" wrapText="1"/>
    </xf>
    <xf numFmtId="49" fontId="19"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190" fontId="3" fillId="33" borderId="10" xfId="0" applyNumberFormat="1" applyFont="1" applyFill="1" applyBorder="1" applyAlignment="1">
      <alignment horizontal="center" vertical="center" wrapText="1"/>
    </xf>
    <xf numFmtId="190" fontId="5" fillId="0" borderId="10" xfId="0" applyNumberFormat="1" applyFont="1" applyFill="1" applyBorder="1" applyAlignment="1">
      <alignment/>
    </xf>
    <xf numFmtId="0" fontId="3" fillId="0" borderId="0" xfId="0" applyFont="1" applyFill="1" applyAlignment="1">
      <alignment/>
    </xf>
    <xf numFmtId="190" fontId="5" fillId="0" borderId="0" xfId="0" applyNumberFormat="1" applyFont="1" applyFill="1" applyBorder="1" applyAlignment="1">
      <alignment/>
    </xf>
    <xf numFmtId="49" fontId="2" fillId="0" borderId="10" xfId="0" applyNumberFormat="1" applyFont="1" applyFill="1" applyBorder="1" applyAlignment="1">
      <alignment horizontal="center" vertical="center" wrapText="1" shrinkToFi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Fill="1" applyBorder="1" applyAlignment="1">
      <alignment vertical="top" wrapText="1"/>
    </xf>
    <xf numFmtId="0" fontId="2" fillId="33" borderId="10" xfId="0" applyFont="1" applyFill="1" applyBorder="1" applyAlignment="1">
      <alignment horizontal="center" vertical="center" wrapText="1"/>
    </xf>
    <xf numFmtId="49" fontId="17" fillId="13" borderId="10" xfId="0" applyNumberFormat="1" applyFont="1" applyFill="1" applyBorder="1" applyAlignment="1">
      <alignment horizontal="center" vertical="center" wrapText="1"/>
    </xf>
    <xf numFmtId="190" fontId="17" fillId="13" borderId="10" xfId="0" applyNumberFormat="1" applyFont="1" applyFill="1" applyBorder="1" applyAlignment="1">
      <alignment horizontal="center" vertical="center" wrapText="1"/>
    </xf>
    <xf numFmtId="0" fontId="3" fillId="33" borderId="10" xfId="0" applyFont="1" applyFill="1" applyBorder="1" applyAlignment="1">
      <alignment horizontal="left"/>
    </xf>
    <xf numFmtId="49" fontId="3" fillId="33" borderId="10" xfId="0" applyNumberFormat="1" applyFont="1" applyFill="1" applyBorder="1" applyAlignment="1">
      <alignment/>
    </xf>
    <xf numFmtId="190" fontId="3" fillId="33" borderId="10" xfId="0" applyNumberFormat="1" applyFont="1" applyFill="1" applyBorder="1" applyAlignment="1">
      <alignment horizontal="center" vertical="center" wrapText="1"/>
    </xf>
    <xf numFmtId="2" fontId="17" fillId="0" borderId="10" xfId="0" applyNumberFormat="1" applyFont="1" applyFill="1" applyBorder="1" applyAlignment="1">
      <alignment horizontal="center" vertical="center"/>
    </xf>
    <xf numFmtId="0" fontId="7" fillId="33" borderId="10" xfId="0" applyFont="1" applyFill="1" applyBorder="1" applyAlignment="1">
      <alignment horizontal="left" vertical="center" wrapText="1"/>
    </xf>
    <xf numFmtId="49" fontId="7" fillId="33"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wrapText="1" shrinkToFit="1"/>
    </xf>
    <xf numFmtId="0" fontId="7" fillId="33" borderId="10" xfId="0" applyFont="1" applyFill="1" applyBorder="1" applyAlignment="1">
      <alignment vertical="center" wrapText="1"/>
    </xf>
    <xf numFmtId="0" fontId="18" fillId="33" borderId="10" xfId="0" applyFont="1" applyFill="1" applyBorder="1" applyAlignment="1">
      <alignment vertical="center" wrapText="1"/>
    </xf>
    <xf numFmtId="49" fontId="18" fillId="33" borderId="10" xfId="0" applyNumberFormat="1" applyFont="1" applyFill="1" applyBorder="1" applyAlignment="1">
      <alignment horizontal="center" vertical="center" wrapText="1"/>
    </xf>
    <xf numFmtId="2" fontId="2" fillId="13"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10" fontId="3" fillId="37" borderId="10" xfId="0" applyNumberFormat="1" applyFont="1" applyFill="1" applyBorder="1" applyAlignment="1">
      <alignment horizontal="center" vertical="center"/>
    </xf>
    <xf numFmtId="10" fontId="3" fillId="33" borderId="10" xfId="0" applyNumberFormat="1" applyFont="1" applyFill="1" applyBorder="1" applyAlignment="1">
      <alignment horizontal="center" vertical="center"/>
    </xf>
    <xf numFmtId="10" fontId="3" fillId="13" borderId="10" xfId="0" applyNumberFormat="1" applyFont="1" applyFill="1" applyBorder="1" applyAlignment="1">
      <alignment horizontal="center" vertical="center"/>
    </xf>
    <xf numFmtId="0" fontId="28" fillId="0" borderId="0" xfId="0" applyFont="1" applyFill="1" applyAlignment="1">
      <alignment horizontal="left"/>
    </xf>
    <xf numFmtId="0" fontId="28" fillId="0" borderId="0" xfId="0" applyFont="1" applyFill="1" applyAlignment="1">
      <alignment horizontal="center" vertical="center"/>
    </xf>
    <xf numFmtId="0" fontId="70" fillId="0" borderId="0" xfId="0" applyFont="1" applyFill="1" applyAlignment="1">
      <alignment/>
    </xf>
    <xf numFmtId="190" fontId="28" fillId="0" borderId="0" xfId="0" applyNumberFormat="1" applyFont="1" applyFill="1" applyAlignment="1">
      <alignment horizontal="center" vertical="center"/>
    </xf>
    <xf numFmtId="0" fontId="28" fillId="0" borderId="0" xfId="0" applyFont="1" applyFill="1" applyAlignment="1">
      <alignment horizontal="left" vertical="justify"/>
    </xf>
    <xf numFmtId="49" fontId="28" fillId="0" borderId="12" xfId="0" applyNumberFormat="1" applyFont="1" applyFill="1" applyBorder="1" applyAlignment="1">
      <alignment horizontal="center" vertical="center"/>
    </xf>
    <xf numFmtId="182" fontId="28" fillId="0" borderId="0" xfId="0" applyNumberFormat="1" applyFont="1" applyFill="1" applyAlignment="1">
      <alignment horizontal="right" vertical="center"/>
    </xf>
    <xf numFmtId="0" fontId="31" fillId="0" borderId="10" xfId="0" applyFont="1" applyFill="1" applyBorder="1" applyAlignment="1">
      <alignment horizontal="center" vertical="center" wrapText="1"/>
    </xf>
    <xf numFmtId="0" fontId="31" fillId="0" borderId="13" xfId="0" applyFont="1" applyFill="1" applyBorder="1" applyAlignment="1">
      <alignment horizontal="center" vertical="center" wrapText="1"/>
    </xf>
    <xf numFmtId="4" fontId="31" fillId="0" borderId="10" xfId="64" applyNumberFormat="1" applyFont="1" applyFill="1" applyBorder="1" applyAlignment="1">
      <alignment horizontal="center" vertical="center" wrapText="1"/>
    </xf>
    <xf numFmtId="4" fontId="31" fillId="0" borderId="10" xfId="0" applyNumberFormat="1" applyFont="1" applyFill="1" applyBorder="1" applyAlignment="1">
      <alignment horizontal="center" vertical="center"/>
    </xf>
    <xf numFmtId="4" fontId="70" fillId="0" borderId="0" xfId="0" applyNumberFormat="1" applyFont="1" applyFill="1" applyAlignment="1">
      <alignment/>
    </xf>
    <xf numFmtId="0" fontId="28" fillId="0" borderId="10" xfId="0" applyFont="1" applyFill="1" applyBorder="1" applyAlignment="1">
      <alignment horizontal="center" vertical="center" wrapText="1"/>
    </xf>
    <xf numFmtId="0" fontId="28" fillId="0" borderId="13" xfId="0" applyFont="1" applyFill="1" applyBorder="1" applyAlignment="1">
      <alignment horizontal="center" vertical="center" wrapText="1"/>
    </xf>
    <xf numFmtId="4" fontId="28" fillId="0" borderId="10" xfId="0" applyNumberFormat="1" applyFont="1" applyFill="1" applyBorder="1" applyAlignment="1">
      <alignment horizontal="center" vertical="center"/>
    </xf>
    <xf numFmtId="4" fontId="28" fillId="0" borderId="10" xfId="64" applyNumberFormat="1" applyFont="1" applyFill="1" applyBorder="1" applyAlignment="1">
      <alignment horizontal="center" vertical="center" wrapText="1"/>
    </xf>
    <xf numFmtId="0" fontId="71" fillId="0" borderId="0" xfId="0" applyFont="1" applyFill="1" applyAlignment="1">
      <alignment/>
    </xf>
    <xf numFmtId="0" fontId="72" fillId="0" borderId="10" xfId="0" applyFont="1" applyFill="1" applyBorder="1" applyAlignment="1">
      <alignment horizontal="center" vertical="center"/>
    </xf>
    <xf numFmtId="2" fontId="72" fillId="0" borderId="10" xfId="0" applyNumberFormat="1" applyFont="1" applyFill="1" applyBorder="1" applyAlignment="1">
      <alignment horizontal="center" vertical="distributed"/>
    </xf>
    <xf numFmtId="0" fontId="32" fillId="0" borderId="10" xfId="0" applyFont="1" applyFill="1" applyBorder="1" applyAlignment="1">
      <alignment horizontal="center" vertical="center" wrapText="1"/>
    </xf>
    <xf numFmtId="0" fontId="32" fillId="0" borderId="13" xfId="0" applyFont="1" applyFill="1" applyBorder="1" applyAlignment="1">
      <alignment horizontal="center" vertical="center" wrapText="1"/>
    </xf>
    <xf numFmtId="4" fontId="32" fillId="0" borderId="10" xfId="0" applyNumberFormat="1" applyFont="1" applyFill="1" applyBorder="1" applyAlignment="1">
      <alignment horizontal="center" vertical="center"/>
    </xf>
    <xf numFmtId="4" fontId="32" fillId="0" borderId="10" xfId="64" applyNumberFormat="1" applyFont="1" applyFill="1" applyBorder="1" applyAlignment="1">
      <alignment horizontal="center" vertical="center" wrapText="1"/>
    </xf>
    <xf numFmtId="4" fontId="70" fillId="0" borderId="0" xfId="0" applyNumberFormat="1" applyFont="1" applyFill="1" applyAlignment="1">
      <alignment horizontal="center" vertical="center"/>
    </xf>
    <xf numFmtId="0" fontId="70" fillId="0" borderId="0" xfId="0" applyFont="1" applyFill="1" applyAlignment="1">
      <alignment horizontal="center" vertical="center"/>
    </xf>
    <xf numFmtId="0" fontId="70" fillId="0" borderId="0" xfId="0" applyFont="1" applyFill="1" applyAlignment="1">
      <alignment horizontal="left"/>
    </xf>
    <xf numFmtId="190" fontId="70" fillId="0" borderId="0" xfId="0" applyNumberFormat="1" applyFont="1" applyFill="1" applyAlignment="1">
      <alignment horizontal="center" vertical="center"/>
    </xf>
    <xf numFmtId="0" fontId="70" fillId="0" borderId="0" xfId="0" applyFont="1" applyFill="1" applyAlignment="1">
      <alignment horizontal="right" vertical="center"/>
    </xf>
    <xf numFmtId="197" fontId="72" fillId="0" borderId="0" xfId="0" applyNumberFormat="1" applyFont="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Fill="1" applyAlignment="1">
      <alignment horizontal="right"/>
    </xf>
    <xf numFmtId="170" fontId="2" fillId="0" borderId="0" xfId="43" applyFont="1" applyFill="1" applyAlignment="1">
      <alignment horizontal="right"/>
    </xf>
    <xf numFmtId="0" fontId="4" fillId="0" borderId="0" xfId="0" applyFont="1" applyFill="1" applyBorder="1" applyAlignment="1">
      <alignment horizontal="center" vertical="justify" wrapText="1"/>
    </xf>
    <xf numFmtId="0" fontId="2" fillId="0" borderId="10" xfId="0" applyFont="1" applyFill="1" applyBorder="1" applyAlignment="1">
      <alignment horizontal="center" vertical="center" wrapText="1"/>
    </xf>
    <xf numFmtId="0" fontId="28" fillId="0" borderId="0" xfId="0" applyFont="1" applyFill="1" applyAlignment="1">
      <alignment horizontal="right"/>
    </xf>
    <xf numFmtId="0" fontId="31" fillId="0" borderId="0" xfId="0" applyFont="1" applyFill="1" applyAlignment="1">
      <alignment horizontal="center" vertical="center" wrapText="1"/>
    </xf>
    <xf numFmtId="0" fontId="70" fillId="0" borderId="0" xfId="0" applyFont="1" applyFill="1" applyAlignment="1">
      <alignment vertical="center"/>
    </xf>
    <xf numFmtId="0" fontId="31" fillId="0" borderId="10"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0" borderId="15" xfId="0" applyFont="1" applyFill="1" applyBorder="1" applyAlignment="1">
      <alignment horizontal="center" vertical="center" wrapText="1"/>
    </xf>
    <xf numFmtId="190" fontId="31" fillId="0" borderId="10" xfId="0" applyNumberFormat="1" applyFont="1" applyFill="1" applyBorder="1" applyAlignment="1">
      <alignment horizontal="center" vertical="center" wrapText="1"/>
    </xf>
    <xf numFmtId="190"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wrapText="1"/>
    </xf>
    <xf numFmtId="0" fontId="2" fillId="33" borderId="0" xfId="0" applyFont="1" applyFill="1" applyAlignment="1">
      <alignment horizontal="center" wrapText="1"/>
    </xf>
    <xf numFmtId="0" fontId="2" fillId="33" borderId="0" xfId="0" applyFont="1" applyFill="1" applyAlignment="1">
      <alignment horizontal="right" wrapText="1"/>
    </xf>
    <xf numFmtId="0" fontId="3" fillId="33" borderId="10" xfId="0" applyFont="1" applyFill="1" applyBorder="1" applyAlignment="1">
      <alignment horizontal="center" vertical="center" wrapText="1"/>
    </xf>
    <xf numFmtId="0" fontId="3" fillId="33" borderId="0" xfId="0" applyFont="1" applyFill="1" applyAlignment="1">
      <alignment horizontal="center" vertical="center" wrapText="1"/>
    </xf>
    <xf numFmtId="0" fontId="30" fillId="0" borderId="0" xfId="0" applyFont="1" applyFill="1" applyAlignment="1">
      <alignment horizontal="right"/>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90" fontId="2" fillId="0" borderId="10" xfId="0" applyNumberFormat="1" applyFont="1" applyFill="1" applyBorder="1" applyAlignment="1">
      <alignment horizontal="center" vertical="center" wrapText="1"/>
    </xf>
    <xf numFmtId="0" fontId="3" fillId="0" borderId="0" xfId="0" applyFont="1" applyFill="1" applyAlignment="1">
      <alignment horizontal="center"/>
    </xf>
    <xf numFmtId="0" fontId="3" fillId="0" borderId="0" xfId="0" applyFont="1" applyFill="1" applyAlignment="1">
      <alignment horizontal="center" vertical="center" wrapText="1"/>
    </xf>
    <xf numFmtId="2" fontId="3" fillId="34" borderId="10" xfId="0" applyNumberFormat="1" applyFont="1" applyFill="1" applyBorder="1" applyAlignment="1">
      <alignment horizontal="center" vertical="center"/>
    </xf>
    <xf numFmtId="2" fontId="3" fillId="13" borderId="10" xfId="0" applyNumberFormat="1" applyFont="1" applyFill="1" applyBorder="1" applyAlignment="1">
      <alignment horizontal="center" vertical="center"/>
    </xf>
    <xf numFmtId="0" fontId="3" fillId="0" borderId="0" xfId="0" applyFont="1" applyFill="1" applyAlignment="1">
      <alignment horizontal="center"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enny1\d\&#1060;&#1080;&#1085;&#1072;&#1085;&#1089;&#1086;&#1074;&#1086;&#1077;%20&#1091;&#1087;&#1088;&#1072;&#1074;&#1083;&#1077;&#1085;&#1080;&#1077;\&#1054;&#1073;&#1097;&#1080;&#1077;%20&#1076;&#1086;&#1082;&#1091;&#1084;&#1077;&#1085;&#1090;&#1099;\&#1041;&#1070;&#1044;&#1046;&#1045;&#1058;&#1053;&#1067;&#1049;%20&#1054;&#1058;&#1044;&#1045;&#1051;\&#1041;&#1070;&#1044;&#1046;&#1045;&#1058;%20&#1056;&#1040;&#1049;&#1054;&#1053;&#1040;\&#1088;&#1077;&#1096;&#1077;&#1085;&#1080;&#1103;%20&#1086;%20&#1073;&#1102;&#1076;&#1078;&#1077;&#1090;&#1077;\2023%20&#1075;&#1086;&#1076;\148-&#1053;&#1055;&#1040;%20&#1086;&#1090;%2026.12.2023\148-&#1053;&#1055;&#1040;%20&#1086;&#1090;%2026.12.2023&#1075;.%20&#1055;&#1056;&#1048;&#1051;&#1054;&#1046;&#1045;&#1053;&#1048;&#1071;%20&#1082;%20&#1073;&#1102;&#1076;&#1078;&#1077;&#1090;&#1091;%202023-2025%20&#1075;&#1086;&#1076;&#109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
      <sheetName val="2  "/>
      <sheetName val="3"/>
      <sheetName val="4"/>
      <sheetName val="5"/>
    </sheetNames>
    <sheetDataSet>
      <sheetData sheetId="2">
        <row r="19">
          <cell r="F19">
            <v>2618.2859999999996</v>
          </cell>
        </row>
        <row r="25">
          <cell r="F25">
            <v>2149.7</v>
          </cell>
        </row>
        <row r="27">
          <cell r="F27">
            <v>0</v>
          </cell>
        </row>
        <row r="30">
          <cell r="F30">
            <v>1088.1309999999999</v>
          </cell>
        </row>
        <row r="32">
          <cell r="F32">
            <v>1254.3790000000001</v>
          </cell>
        </row>
        <row r="40">
          <cell r="F40">
            <v>24835.011000000006</v>
          </cell>
        </row>
        <row r="44">
          <cell r="F44">
            <v>514.32</v>
          </cell>
        </row>
        <row r="53">
          <cell r="F53">
            <v>6494.682</v>
          </cell>
        </row>
        <row r="55">
          <cell r="F55">
            <v>1079.36944</v>
          </cell>
        </row>
        <row r="57">
          <cell r="F57">
            <v>4.4</v>
          </cell>
        </row>
        <row r="463">
          <cell r="F463">
            <v>274.88914</v>
          </cell>
          <cell r="G463">
            <v>0</v>
          </cell>
          <cell r="H463">
            <v>0</v>
          </cell>
        </row>
        <row r="469">
          <cell r="F469">
            <v>423.75728000000004</v>
          </cell>
        </row>
      </sheetData>
      <sheetData sheetId="3">
        <row r="42">
          <cell r="G42">
            <v>3125.2266999999997</v>
          </cell>
        </row>
        <row r="47">
          <cell r="G47">
            <v>832.7225</v>
          </cell>
        </row>
        <row r="49">
          <cell r="G49">
            <v>55.90549999999999</v>
          </cell>
        </row>
        <row r="52">
          <cell r="G52">
            <v>1338.1853700000001</v>
          </cell>
        </row>
        <row r="54">
          <cell r="G54">
            <v>11.68763</v>
          </cell>
        </row>
        <row r="57">
          <cell r="G57">
            <v>945.7202</v>
          </cell>
        </row>
        <row r="59">
          <cell r="G59">
            <v>4.2968</v>
          </cell>
        </row>
        <row r="87">
          <cell r="G87">
            <v>5.511099999999999</v>
          </cell>
        </row>
        <row r="108">
          <cell r="G108">
            <v>1056.58781</v>
          </cell>
        </row>
        <row r="110">
          <cell r="G110">
            <v>189.7048900000001</v>
          </cell>
        </row>
        <row r="242">
          <cell r="G242">
            <v>78.1625</v>
          </cell>
        </row>
        <row r="347">
          <cell r="G347">
            <v>268.519</v>
          </cell>
        </row>
        <row r="369">
          <cell r="G369">
            <v>1803.2320599999998</v>
          </cell>
        </row>
        <row r="371">
          <cell r="G371">
            <v>282.07793999999996</v>
          </cell>
        </row>
        <row r="483">
          <cell r="G483">
            <v>1199</v>
          </cell>
        </row>
        <row r="498">
          <cell r="G498">
            <v>1130</v>
          </cell>
        </row>
        <row r="503">
          <cell r="G503">
            <v>376.71</v>
          </cell>
        </row>
        <row r="505">
          <cell r="G505">
            <v>7370.175799999999</v>
          </cell>
        </row>
        <row r="516">
          <cell r="G516">
            <v>150</v>
          </cell>
        </row>
        <row r="518">
          <cell r="G518">
            <v>11057.541270000002</v>
          </cell>
        </row>
        <row r="519">
          <cell r="G519">
            <v>2200</v>
          </cell>
        </row>
        <row r="547">
          <cell r="G547">
            <v>4284</v>
          </cell>
        </row>
        <row r="580">
          <cell r="G580">
            <v>7.954610000000002</v>
          </cell>
        </row>
        <row r="645">
          <cell r="G645">
            <v>2830.63935</v>
          </cell>
        </row>
        <row r="647">
          <cell r="G647">
            <v>401.56</v>
          </cell>
        </row>
        <row r="663">
          <cell r="G663">
            <v>5031.425</v>
          </cell>
        </row>
        <row r="669">
          <cell r="G669">
            <v>41238.43697</v>
          </cell>
        </row>
        <row r="690">
          <cell r="G690">
            <v>10211.085000000001</v>
          </cell>
        </row>
        <row r="693">
          <cell r="G693">
            <v>109544.05404999999</v>
          </cell>
        </row>
        <row r="707">
          <cell r="G707">
            <v>0</v>
          </cell>
        </row>
        <row r="745">
          <cell r="G745">
            <v>356.99300000000005</v>
          </cell>
        </row>
        <row r="810">
          <cell r="G810">
            <v>41451.337</v>
          </cell>
        </row>
        <row r="812">
          <cell r="G812">
            <v>7314.1</v>
          </cell>
        </row>
        <row r="815">
          <cell r="G815">
            <v>80</v>
          </cell>
        </row>
        <row r="818">
          <cell r="G818">
            <v>650.9258500000001</v>
          </cell>
        </row>
        <row r="840">
          <cell r="G840">
            <v>779.481</v>
          </cell>
        </row>
        <row r="854">
          <cell r="G854">
            <v>240</v>
          </cell>
        </row>
        <row r="862">
          <cell r="G862">
            <v>50.11917000000001</v>
          </cell>
        </row>
        <row r="863">
          <cell r="G863">
            <v>3124.491830000001</v>
          </cell>
        </row>
      </sheetData>
      <sheetData sheetId="4">
        <row r="14">
          <cell r="D14">
            <v>10211.085000000001</v>
          </cell>
        </row>
        <row r="31">
          <cell r="D31">
            <v>109544.05404999999</v>
          </cell>
        </row>
        <row r="41">
          <cell r="D41">
            <v>5031.425</v>
          </cell>
        </row>
        <row r="99">
          <cell r="D99">
            <v>212</v>
          </cell>
        </row>
        <row r="125">
          <cell r="D125">
            <v>9065.085999999998</v>
          </cell>
        </row>
        <row r="126">
          <cell r="D126">
            <v>361.469</v>
          </cell>
        </row>
        <row r="144">
          <cell r="D144">
            <v>4327.5650000000005</v>
          </cell>
        </row>
        <row r="152">
          <cell r="D152">
            <v>2446.152</v>
          </cell>
        </row>
        <row r="157">
          <cell r="D157">
            <v>1921.0120000000002</v>
          </cell>
        </row>
        <row r="242">
          <cell r="D242">
            <v>2315.26154</v>
          </cell>
        </row>
        <row r="248">
          <cell r="D248">
            <v>90.72330000000001</v>
          </cell>
        </row>
        <row r="257">
          <cell r="D257">
            <v>550</v>
          </cell>
        </row>
        <row r="259">
          <cell r="D259">
            <v>431.0548</v>
          </cell>
        </row>
        <row r="260">
          <cell r="D260">
            <v>454.9452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D23"/>
  <sheetViews>
    <sheetView view="pageBreakPreview" zoomScaleSheetLayoutView="100" zoomScalePageLayoutView="0" workbookViewId="0" topLeftCell="A16">
      <selection activeCell="B18" sqref="B18"/>
    </sheetView>
  </sheetViews>
  <sheetFormatPr defaultColWidth="8.875" defaultRowHeight="12.75"/>
  <cols>
    <col min="1" max="1" width="24.625" style="41" customWidth="1"/>
    <col min="2" max="2" width="43.75390625" style="41" customWidth="1"/>
    <col min="3" max="3" width="19.25390625" style="41" customWidth="1"/>
    <col min="4" max="4" width="21.375" style="41" bestFit="1" customWidth="1"/>
    <col min="5" max="16384" width="8.875" style="41" customWidth="1"/>
  </cols>
  <sheetData>
    <row r="1" spans="1:4" ht="15.75">
      <c r="A1" s="43"/>
      <c r="B1" s="44"/>
      <c r="C1" s="298" t="s">
        <v>129</v>
      </c>
      <c r="D1" s="298"/>
    </row>
    <row r="2" spans="1:4" ht="16.5" customHeight="1">
      <c r="A2" s="43"/>
      <c r="B2" s="44"/>
      <c r="C2" s="298" t="s">
        <v>312</v>
      </c>
      <c r="D2" s="298"/>
    </row>
    <row r="3" spans="1:4" ht="16.5" customHeight="1">
      <c r="A3" s="43"/>
      <c r="B3" s="299" t="s">
        <v>313</v>
      </c>
      <c r="C3" s="299"/>
      <c r="D3" s="299"/>
    </row>
    <row r="4" spans="1:4" s="12" customFormat="1" ht="16.5" customHeight="1">
      <c r="A4" s="43"/>
      <c r="B4" s="298" t="s">
        <v>666</v>
      </c>
      <c r="C4" s="298"/>
      <c r="D4" s="298"/>
    </row>
    <row r="5" spans="1:3" ht="16.5" customHeight="1">
      <c r="A5" s="43"/>
      <c r="B5" s="1"/>
      <c r="C5" s="1"/>
    </row>
    <row r="6" spans="1:4" ht="38.25" customHeight="1">
      <c r="A6" s="300" t="s">
        <v>762</v>
      </c>
      <c r="B6" s="300"/>
      <c r="C6" s="300"/>
      <c r="D6" s="300"/>
    </row>
    <row r="7" spans="1:4" ht="15.75" customHeight="1">
      <c r="A7" s="45"/>
      <c r="B7" s="45"/>
      <c r="C7" s="46"/>
      <c r="D7" s="46" t="s">
        <v>259</v>
      </c>
    </row>
    <row r="8" spans="1:3" ht="3.75" customHeight="1" hidden="1">
      <c r="A8" s="47" t="s">
        <v>239</v>
      </c>
      <c r="B8" s="48"/>
      <c r="C8" s="48"/>
    </row>
    <row r="9" spans="1:4" ht="16.5" customHeight="1">
      <c r="A9" s="301" t="s">
        <v>94</v>
      </c>
      <c r="B9" s="301" t="s">
        <v>228</v>
      </c>
      <c r="C9" s="297" t="s">
        <v>664</v>
      </c>
      <c r="D9" s="297" t="s">
        <v>665</v>
      </c>
    </row>
    <row r="10" spans="1:4" ht="16.5" customHeight="1">
      <c r="A10" s="301"/>
      <c r="B10" s="301"/>
      <c r="C10" s="297"/>
      <c r="D10" s="297"/>
    </row>
    <row r="11" spans="1:4" ht="22.5" customHeight="1">
      <c r="A11" s="301"/>
      <c r="B11" s="301"/>
      <c r="C11" s="297"/>
      <c r="D11" s="297"/>
    </row>
    <row r="12" spans="1:4" ht="34.5" customHeight="1">
      <c r="A12" s="58" t="s">
        <v>229</v>
      </c>
      <c r="B12" s="59" t="s">
        <v>230</v>
      </c>
      <c r="C12" s="60">
        <f>C13+C14</f>
        <v>4066.86335</v>
      </c>
      <c r="D12" s="30">
        <f>D13+D14</f>
        <v>0</v>
      </c>
    </row>
    <row r="13" spans="1:4" ht="52.5" customHeight="1">
      <c r="A13" s="61" t="s">
        <v>231</v>
      </c>
      <c r="B13" s="62" t="s">
        <v>232</v>
      </c>
      <c r="C13" s="63">
        <f>1766.86335+2300</f>
        <v>4066.86335</v>
      </c>
      <c r="D13" s="22">
        <v>0</v>
      </c>
    </row>
    <row r="14" spans="1:4" ht="50.25" customHeight="1">
      <c r="A14" s="64" t="s">
        <v>233</v>
      </c>
      <c r="B14" s="65" t="s">
        <v>234</v>
      </c>
      <c r="C14" s="63">
        <v>0</v>
      </c>
      <c r="D14" s="22">
        <v>0</v>
      </c>
    </row>
    <row r="15" spans="1:4" ht="51" customHeight="1">
      <c r="A15" s="58" t="s">
        <v>235</v>
      </c>
      <c r="B15" s="59" t="s">
        <v>236</v>
      </c>
      <c r="C15" s="60">
        <f>C16+C17</f>
        <v>-1766.86335</v>
      </c>
      <c r="D15" s="30">
        <f>D16+D17</f>
        <v>-1766.86335</v>
      </c>
    </row>
    <row r="16" spans="1:4" ht="63" customHeight="1">
      <c r="A16" s="64" t="s">
        <v>183</v>
      </c>
      <c r="B16" s="66" t="s">
        <v>240</v>
      </c>
      <c r="C16" s="67">
        <v>0</v>
      </c>
      <c r="D16" s="32">
        <v>0</v>
      </c>
    </row>
    <row r="17" spans="1:4" ht="82.5" customHeight="1">
      <c r="A17" s="68" t="s">
        <v>184</v>
      </c>
      <c r="B17" s="69" t="s">
        <v>241</v>
      </c>
      <c r="C17" s="63">
        <f>-(926.86335+840)</f>
        <v>-1766.86335</v>
      </c>
      <c r="D17" s="22">
        <f>-(926.86335+420)-420</f>
        <v>-1766.86335</v>
      </c>
    </row>
    <row r="18" spans="1:4" ht="36" customHeight="1">
      <c r="A18" s="58" t="s">
        <v>273</v>
      </c>
      <c r="B18" s="59" t="s">
        <v>274</v>
      </c>
      <c r="C18" s="60">
        <f>C19+C20</f>
        <v>42992.96171000006</v>
      </c>
      <c r="D18" s="30">
        <f>D19+D20</f>
        <v>13343.608869999996</v>
      </c>
    </row>
    <row r="19" spans="1:4" ht="36" customHeight="1">
      <c r="A19" s="61" t="s">
        <v>0</v>
      </c>
      <c r="B19" s="62" t="s">
        <v>1</v>
      </c>
      <c r="C19" s="63">
        <f>-(662265.62809+2970-7947.3162-7023.86277+1204.31092+440+12090.73706+16027+6838.68447-925.64659+26553.34453+20.7-1338.6-8365.00972)</f>
        <v>-702809.9697899999</v>
      </c>
      <c r="D19" s="55">
        <v>-737145.59083</v>
      </c>
    </row>
    <row r="20" spans="1:4" ht="39" customHeight="1">
      <c r="A20" s="61" t="s">
        <v>2</v>
      </c>
      <c r="B20" s="62" t="s">
        <v>3</v>
      </c>
      <c r="C20" s="63">
        <f>660498.76474+1766.86335+2970-7947.3162+42284.15188-7023.86277+1204.31092+440+12121.013+16705.53389+6838.68447-925.64659+26553.34453+20.7-1338.6-8365.00972</f>
        <v>745802.9315</v>
      </c>
      <c r="D20" s="22">
        <v>750489.1997</v>
      </c>
    </row>
    <row r="21" spans="1:4" ht="19.5" customHeight="1">
      <c r="A21" s="58"/>
      <c r="B21" s="70" t="s">
        <v>242</v>
      </c>
      <c r="C21" s="71">
        <f>C12+C15+C18</f>
        <v>45292.96171000006</v>
      </c>
      <c r="D21" s="42">
        <f>D12+D15+D18</f>
        <v>11576.745519999997</v>
      </c>
    </row>
    <row r="22" spans="1:3" s="49" customFormat="1" ht="21.75" customHeight="1">
      <c r="A22" s="41"/>
      <c r="B22" s="41"/>
      <c r="C22" s="41"/>
    </row>
    <row r="23" spans="1:3" s="6" customFormat="1" ht="12.75">
      <c r="A23" s="41"/>
      <c r="B23" s="41"/>
      <c r="C23" s="41"/>
    </row>
  </sheetData>
  <sheetProtection/>
  <mergeCells count="9">
    <mergeCell ref="D9:D11"/>
    <mergeCell ref="C1:D1"/>
    <mergeCell ref="C2:D2"/>
    <mergeCell ref="B3:D3"/>
    <mergeCell ref="B4:D4"/>
    <mergeCell ref="A6:D6"/>
    <mergeCell ref="A9:A11"/>
    <mergeCell ref="B9:B11"/>
    <mergeCell ref="C9:C11"/>
  </mergeCells>
  <printOptions/>
  <pageMargins left="0.3937007874015748" right="0.3937007874015748" top="0.984251968503937" bottom="0.984251968503937" header="0.5118110236220472" footer="0.5118110236220472"/>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tabColor rgb="FF00B050"/>
  </sheetPr>
  <dimension ref="A1:IN93"/>
  <sheetViews>
    <sheetView view="pageBreakPreview" zoomScale="60" zoomScalePageLayoutView="0" workbookViewId="0" topLeftCell="A82">
      <selection activeCell="B14" sqref="B14"/>
    </sheetView>
  </sheetViews>
  <sheetFormatPr defaultColWidth="13.25390625" defaultRowHeight="12.75"/>
  <cols>
    <col min="1" max="1" width="23.625" style="293" customWidth="1"/>
    <col min="2" max="2" width="83.25390625" style="292" customWidth="1"/>
    <col min="3" max="3" width="16.375" style="271" customWidth="1"/>
    <col min="4" max="4" width="15.875" style="271" customWidth="1"/>
    <col min="5" max="5" width="15.25390625" style="269" customWidth="1"/>
    <col min="6" max="6" width="22.75390625" style="270" customWidth="1"/>
    <col min="7" max="238" width="8.875" style="270" customWidth="1"/>
    <col min="239" max="239" width="24.00390625" style="270" customWidth="1"/>
    <col min="240" max="240" width="9.125" style="270" customWidth="1"/>
    <col min="241" max="241" width="51.625" style="270" customWidth="1"/>
    <col min="242" max="243" width="0" style="270" hidden="1" customWidth="1"/>
    <col min="244" max="244" width="16.75390625" style="270" customWidth="1"/>
    <col min="245" max="245" width="0" style="270" hidden="1" customWidth="1"/>
    <col min="246" max="246" width="16.75390625" style="270" customWidth="1"/>
    <col min="247" max="247" width="0" style="270" hidden="1" customWidth="1"/>
    <col min="248" max="16384" width="13.25390625" style="270" customWidth="1"/>
  </cols>
  <sheetData>
    <row r="1" spans="1:5" ht="12.75">
      <c r="A1" s="268"/>
      <c r="B1" s="269"/>
      <c r="C1" s="302" t="s">
        <v>779</v>
      </c>
      <c r="D1" s="302"/>
      <c r="E1" s="302"/>
    </row>
    <row r="2" spans="1:5" ht="12.75">
      <c r="A2" s="268"/>
      <c r="B2" s="269"/>
      <c r="C2" s="302" t="s">
        <v>312</v>
      </c>
      <c r="D2" s="302"/>
      <c r="E2" s="302"/>
    </row>
    <row r="3" spans="1:5" ht="12.75">
      <c r="A3" s="268"/>
      <c r="B3" s="269"/>
      <c r="C3" s="302" t="s">
        <v>313</v>
      </c>
      <c r="D3" s="302"/>
      <c r="E3" s="302"/>
    </row>
    <row r="4" spans="1:5" ht="12.75">
      <c r="A4" s="268"/>
      <c r="B4" s="269"/>
      <c r="C4" s="302" t="s">
        <v>801</v>
      </c>
      <c r="D4" s="302"/>
      <c r="E4" s="302"/>
    </row>
    <row r="5" spans="1:2" ht="12.75">
      <c r="A5" s="268"/>
      <c r="B5" s="269"/>
    </row>
    <row r="6" spans="1:5" ht="12.75">
      <c r="A6" s="303" t="s">
        <v>780</v>
      </c>
      <c r="B6" s="303"/>
      <c r="C6" s="304"/>
      <c r="D6" s="304"/>
      <c r="E6" s="304"/>
    </row>
    <row r="7" spans="1:5" ht="12.75">
      <c r="A7" s="272"/>
      <c r="B7" s="273"/>
      <c r="E7" s="274" t="s">
        <v>93</v>
      </c>
    </row>
    <row r="8" spans="1:5" ht="19.5" customHeight="1">
      <c r="A8" s="305" t="s">
        <v>94</v>
      </c>
      <c r="B8" s="306" t="s">
        <v>262</v>
      </c>
      <c r="C8" s="308" t="s">
        <v>777</v>
      </c>
      <c r="D8" s="308" t="s">
        <v>778</v>
      </c>
      <c r="E8" s="308" t="s">
        <v>658</v>
      </c>
    </row>
    <row r="9" spans="1:5" ht="20.25" customHeight="1">
      <c r="A9" s="305"/>
      <c r="B9" s="307"/>
      <c r="C9" s="308"/>
      <c r="D9" s="308"/>
      <c r="E9" s="308"/>
    </row>
    <row r="10" spans="1:6" ht="12.75">
      <c r="A10" s="275" t="s">
        <v>186</v>
      </c>
      <c r="B10" s="276" t="s">
        <v>187</v>
      </c>
      <c r="C10" s="277">
        <f>C11+C13+C15+C20+C22+C32+C34+C37+C42+C43</f>
        <v>283745.26811999996</v>
      </c>
      <c r="D10" s="277">
        <v>292871.92</v>
      </c>
      <c r="E10" s="278">
        <f aca="true" t="shared" si="0" ref="E10:E43">D10/C10*100</f>
        <v>103.21649483019404</v>
      </c>
      <c r="F10" s="279"/>
    </row>
    <row r="11" spans="1:5" ht="12.75">
      <c r="A11" s="275" t="s">
        <v>188</v>
      </c>
      <c r="B11" s="276" t="s">
        <v>198</v>
      </c>
      <c r="C11" s="277">
        <f>SUM(C12)</f>
        <v>234940</v>
      </c>
      <c r="D11" s="277">
        <f>SUM(D12)</f>
        <v>243951.98085</v>
      </c>
      <c r="E11" s="278">
        <f t="shared" si="0"/>
        <v>103.83586483783094</v>
      </c>
    </row>
    <row r="12" spans="1:5" ht="12.75">
      <c r="A12" s="280" t="s">
        <v>310</v>
      </c>
      <c r="B12" s="281" t="s">
        <v>199</v>
      </c>
      <c r="C12" s="282">
        <f>238683-3450-293</f>
        <v>234940</v>
      </c>
      <c r="D12" s="282">
        <v>243951.98085</v>
      </c>
      <c r="E12" s="282">
        <f t="shared" si="0"/>
        <v>103.83586483783094</v>
      </c>
    </row>
    <row r="13" spans="1:5" ht="25.5">
      <c r="A13" s="275" t="s">
        <v>342</v>
      </c>
      <c r="B13" s="276" t="s">
        <v>343</v>
      </c>
      <c r="C13" s="277">
        <f>SUM(C14)</f>
        <v>16800</v>
      </c>
      <c r="D13" s="277">
        <f>SUM(D14)</f>
        <v>19841.6529</v>
      </c>
      <c r="E13" s="278">
        <f t="shared" si="0"/>
        <v>118.10507678571429</v>
      </c>
    </row>
    <row r="14" spans="1:5" ht="25.5">
      <c r="A14" s="280" t="s">
        <v>340</v>
      </c>
      <c r="B14" s="281" t="s">
        <v>341</v>
      </c>
      <c r="C14" s="282">
        <v>16800</v>
      </c>
      <c r="D14" s="282">
        <v>19841.6529</v>
      </c>
      <c r="E14" s="282">
        <f t="shared" si="0"/>
        <v>118.10507678571429</v>
      </c>
    </row>
    <row r="15" spans="1:5" ht="12.75">
      <c r="A15" s="275" t="s">
        <v>200</v>
      </c>
      <c r="B15" s="276" t="s">
        <v>202</v>
      </c>
      <c r="C15" s="277">
        <f>SUM(C16:C19)</f>
        <v>6068.2045</v>
      </c>
      <c r="D15" s="277">
        <f>SUM(D16:D19)</f>
        <v>5769.5129400000005</v>
      </c>
      <c r="E15" s="278">
        <f t="shared" si="0"/>
        <v>95.07776048088031</v>
      </c>
    </row>
    <row r="16" spans="1:248" ht="12.75">
      <c r="A16" s="280" t="s">
        <v>798</v>
      </c>
      <c r="B16" s="281" t="s">
        <v>464</v>
      </c>
      <c r="C16" s="283">
        <v>647</v>
      </c>
      <c r="D16" s="283">
        <v>609.63408</v>
      </c>
      <c r="E16" s="282">
        <f t="shared" si="0"/>
        <v>94.22474188562597</v>
      </c>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284"/>
      <c r="BV16" s="284"/>
      <c r="BW16" s="284"/>
      <c r="BX16" s="284"/>
      <c r="BY16" s="284"/>
      <c r="BZ16" s="284"/>
      <c r="CA16" s="284"/>
      <c r="CB16" s="284"/>
      <c r="CC16" s="284"/>
      <c r="CD16" s="284"/>
      <c r="CE16" s="284"/>
      <c r="CF16" s="284"/>
      <c r="CG16" s="284"/>
      <c r="CH16" s="284"/>
      <c r="CI16" s="284"/>
      <c r="CJ16" s="284"/>
      <c r="CK16" s="284"/>
      <c r="CL16" s="284"/>
      <c r="CM16" s="284"/>
      <c r="CN16" s="284"/>
      <c r="CO16" s="284"/>
      <c r="CP16" s="284"/>
      <c r="CQ16" s="284"/>
      <c r="CR16" s="284"/>
      <c r="CS16" s="284"/>
      <c r="CT16" s="284"/>
      <c r="CU16" s="284"/>
      <c r="CV16" s="284"/>
      <c r="CW16" s="284"/>
      <c r="CX16" s="284"/>
      <c r="CY16" s="284"/>
      <c r="CZ16" s="284"/>
      <c r="DA16" s="284"/>
      <c r="DB16" s="284"/>
      <c r="DC16" s="284"/>
      <c r="DD16" s="284"/>
      <c r="DE16" s="284"/>
      <c r="DF16" s="284"/>
      <c r="DG16" s="284"/>
      <c r="DH16" s="284"/>
      <c r="DI16" s="284"/>
      <c r="DJ16" s="284"/>
      <c r="DK16" s="284"/>
      <c r="DL16" s="284"/>
      <c r="DM16" s="284"/>
      <c r="DN16" s="284"/>
      <c r="DO16" s="284"/>
      <c r="DP16" s="284"/>
      <c r="DQ16" s="284"/>
      <c r="DR16" s="284"/>
      <c r="DS16" s="284"/>
      <c r="DT16" s="284"/>
      <c r="DU16" s="284"/>
      <c r="DV16" s="284"/>
      <c r="DW16" s="284"/>
      <c r="DX16" s="284"/>
      <c r="DY16" s="284"/>
      <c r="DZ16" s="284"/>
      <c r="EA16" s="284"/>
      <c r="EB16" s="284"/>
      <c r="EC16" s="284"/>
      <c r="ED16" s="284"/>
      <c r="EE16" s="284"/>
      <c r="EF16" s="284"/>
      <c r="EG16" s="284"/>
      <c r="EH16" s="284"/>
      <c r="EI16" s="284"/>
      <c r="EJ16" s="284"/>
      <c r="EK16" s="284"/>
      <c r="EL16" s="284"/>
      <c r="EM16" s="284"/>
      <c r="EN16" s="284"/>
      <c r="EO16" s="284"/>
      <c r="EP16" s="284"/>
      <c r="EQ16" s="284"/>
      <c r="ER16" s="284"/>
      <c r="ES16" s="284"/>
      <c r="ET16" s="284"/>
      <c r="EU16" s="284"/>
      <c r="EV16" s="284"/>
      <c r="EW16" s="284"/>
      <c r="EX16" s="284"/>
      <c r="EY16" s="284"/>
      <c r="EZ16" s="284"/>
      <c r="FA16" s="284"/>
      <c r="FB16" s="284"/>
      <c r="FC16" s="284"/>
      <c r="FD16" s="284"/>
      <c r="FE16" s="284"/>
      <c r="FF16" s="284"/>
      <c r="FG16" s="284"/>
      <c r="FH16" s="284"/>
      <c r="FI16" s="284"/>
      <c r="FJ16" s="284"/>
      <c r="FK16" s="284"/>
      <c r="FL16" s="284"/>
      <c r="FM16" s="284"/>
      <c r="FN16" s="284"/>
      <c r="FO16" s="284"/>
      <c r="FP16" s="284"/>
      <c r="FQ16" s="284"/>
      <c r="FR16" s="284"/>
      <c r="FS16" s="284"/>
      <c r="FT16" s="284"/>
      <c r="FU16" s="284"/>
      <c r="FV16" s="284"/>
      <c r="FW16" s="284"/>
      <c r="FX16" s="284"/>
      <c r="FY16" s="284"/>
      <c r="FZ16" s="284"/>
      <c r="GA16" s="284"/>
      <c r="GB16" s="284"/>
      <c r="GC16" s="284"/>
      <c r="GD16" s="284"/>
      <c r="GE16" s="284"/>
      <c r="GF16" s="284"/>
      <c r="GG16" s="284"/>
      <c r="GH16" s="284"/>
      <c r="GI16" s="284"/>
      <c r="GJ16" s="284"/>
      <c r="GK16" s="284"/>
      <c r="GL16" s="284"/>
      <c r="GM16" s="284"/>
      <c r="GN16" s="284"/>
      <c r="GO16" s="284"/>
      <c r="GP16" s="284"/>
      <c r="GQ16" s="284"/>
      <c r="GR16" s="284"/>
      <c r="GS16" s="284"/>
      <c r="GT16" s="284"/>
      <c r="GU16" s="284"/>
      <c r="GV16" s="284"/>
      <c r="GW16" s="284"/>
      <c r="GX16" s="284"/>
      <c r="GY16" s="284"/>
      <c r="GZ16" s="284"/>
      <c r="HA16" s="284"/>
      <c r="HB16" s="284"/>
      <c r="HC16" s="284"/>
      <c r="HD16" s="284"/>
      <c r="HE16" s="284"/>
      <c r="HF16" s="284"/>
      <c r="HG16" s="284"/>
      <c r="HH16" s="284"/>
      <c r="HI16" s="284"/>
      <c r="HJ16" s="284"/>
      <c r="HK16" s="284"/>
      <c r="HL16" s="284"/>
      <c r="HM16" s="284"/>
      <c r="HN16" s="284"/>
      <c r="HO16" s="284"/>
      <c r="HP16" s="284"/>
      <c r="HQ16" s="284"/>
      <c r="HR16" s="284"/>
      <c r="HS16" s="284"/>
      <c r="HT16" s="284"/>
      <c r="HU16" s="284"/>
      <c r="HV16" s="284"/>
      <c r="HW16" s="284"/>
      <c r="HX16" s="284"/>
      <c r="HY16" s="284"/>
      <c r="HZ16" s="284"/>
      <c r="IA16" s="284"/>
      <c r="IB16" s="284"/>
      <c r="IC16" s="284"/>
      <c r="ID16" s="284"/>
      <c r="IE16" s="284"/>
      <c r="IF16" s="284"/>
      <c r="IG16" s="284"/>
      <c r="IH16" s="284"/>
      <c r="II16" s="284"/>
      <c r="IJ16" s="284"/>
      <c r="IK16" s="284"/>
      <c r="IL16" s="284"/>
      <c r="IM16" s="284"/>
      <c r="IN16" s="284"/>
    </row>
    <row r="17" spans="1:248" ht="12.75">
      <c r="A17" s="280" t="s">
        <v>799</v>
      </c>
      <c r="B17" s="281" t="s">
        <v>203</v>
      </c>
      <c r="C17" s="283">
        <v>0</v>
      </c>
      <c r="D17" s="283">
        <v>-126.33</v>
      </c>
      <c r="E17" s="282"/>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c r="BM17" s="284"/>
      <c r="BN17" s="284"/>
      <c r="BO17" s="284"/>
      <c r="BP17" s="284"/>
      <c r="BQ17" s="284"/>
      <c r="BR17" s="284"/>
      <c r="BS17" s="284"/>
      <c r="BT17" s="284"/>
      <c r="BU17" s="284"/>
      <c r="BV17" s="284"/>
      <c r="BW17" s="284"/>
      <c r="BX17" s="284"/>
      <c r="BY17" s="284"/>
      <c r="BZ17" s="284"/>
      <c r="CA17" s="284"/>
      <c r="CB17" s="284"/>
      <c r="CC17" s="284"/>
      <c r="CD17" s="284"/>
      <c r="CE17" s="284"/>
      <c r="CF17" s="284"/>
      <c r="CG17" s="284"/>
      <c r="CH17" s="284"/>
      <c r="CI17" s="284"/>
      <c r="CJ17" s="284"/>
      <c r="CK17" s="284"/>
      <c r="CL17" s="284"/>
      <c r="CM17" s="284"/>
      <c r="CN17" s="284"/>
      <c r="CO17" s="284"/>
      <c r="CP17" s="284"/>
      <c r="CQ17" s="284"/>
      <c r="CR17" s="284"/>
      <c r="CS17" s="284"/>
      <c r="CT17" s="284"/>
      <c r="CU17" s="284"/>
      <c r="CV17" s="284"/>
      <c r="CW17" s="284"/>
      <c r="CX17" s="284"/>
      <c r="CY17" s="284"/>
      <c r="CZ17" s="284"/>
      <c r="DA17" s="284"/>
      <c r="DB17" s="284"/>
      <c r="DC17" s="284"/>
      <c r="DD17" s="284"/>
      <c r="DE17" s="284"/>
      <c r="DF17" s="284"/>
      <c r="DG17" s="284"/>
      <c r="DH17" s="284"/>
      <c r="DI17" s="284"/>
      <c r="DJ17" s="284"/>
      <c r="DK17" s="284"/>
      <c r="DL17" s="284"/>
      <c r="DM17" s="284"/>
      <c r="DN17" s="284"/>
      <c r="DO17" s="284"/>
      <c r="DP17" s="284"/>
      <c r="DQ17" s="284"/>
      <c r="DR17" s="284"/>
      <c r="DS17" s="284"/>
      <c r="DT17" s="284"/>
      <c r="DU17" s="284"/>
      <c r="DV17" s="284"/>
      <c r="DW17" s="284"/>
      <c r="DX17" s="284"/>
      <c r="DY17" s="284"/>
      <c r="DZ17" s="284"/>
      <c r="EA17" s="284"/>
      <c r="EB17" s="284"/>
      <c r="EC17" s="284"/>
      <c r="ED17" s="284"/>
      <c r="EE17" s="284"/>
      <c r="EF17" s="284"/>
      <c r="EG17" s="284"/>
      <c r="EH17" s="284"/>
      <c r="EI17" s="284"/>
      <c r="EJ17" s="284"/>
      <c r="EK17" s="284"/>
      <c r="EL17" s="284"/>
      <c r="EM17" s="284"/>
      <c r="EN17" s="284"/>
      <c r="EO17" s="284"/>
      <c r="EP17" s="284"/>
      <c r="EQ17" s="284"/>
      <c r="ER17" s="284"/>
      <c r="ES17" s="284"/>
      <c r="ET17" s="284"/>
      <c r="EU17" s="284"/>
      <c r="EV17" s="284"/>
      <c r="EW17" s="284"/>
      <c r="EX17" s="284"/>
      <c r="EY17" s="284"/>
      <c r="EZ17" s="284"/>
      <c r="FA17" s="284"/>
      <c r="FB17" s="284"/>
      <c r="FC17" s="284"/>
      <c r="FD17" s="284"/>
      <c r="FE17" s="284"/>
      <c r="FF17" s="284"/>
      <c r="FG17" s="284"/>
      <c r="FH17" s="284"/>
      <c r="FI17" s="284"/>
      <c r="FJ17" s="284"/>
      <c r="FK17" s="284"/>
      <c r="FL17" s="284"/>
      <c r="FM17" s="284"/>
      <c r="FN17" s="284"/>
      <c r="FO17" s="284"/>
      <c r="FP17" s="284"/>
      <c r="FQ17" s="284"/>
      <c r="FR17" s="284"/>
      <c r="FS17" s="284"/>
      <c r="FT17" s="284"/>
      <c r="FU17" s="284"/>
      <c r="FV17" s="284"/>
      <c r="FW17" s="284"/>
      <c r="FX17" s="284"/>
      <c r="FY17" s="284"/>
      <c r="FZ17" s="284"/>
      <c r="GA17" s="284"/>
      <c r="GB17" s="284"/>
      <c r="GC17" s="284"/>
      <c r="GD17" s="284"/>
      <c r="GE17" s="284"/>
      <c r="GF17" s="284"/>
      <c r="GG17" s="284"/>
      <c r="GH17" s="284"/>
      <c r="GI17" s="284"/>
      <c r="GJ17" s="284"/>
      <c r="GK17" s="284"/>
      <c r="GL17" s="284"/>
      <c r="GM17" s="284"/>
      <c r="GN17" s="284"/>
      <c r="GO17" s="284"/>
      <c r="GP17" s="284"/>
      <c r="GQ17" s="284"/>
      <c r="GR17" s="284"/>
      <c r="GS17" s="284"/>
      <c r="GT17" s="284"/>
      <c r="GU17" s="284"/>
      <c r="GV17" s="284"/>
      <c r="GW17" s="284"/>
      <c r="GX17" s="284"/>
      <c r="GY17" s="284"/>
      <c r="GZ17" s="284"/>
      <c r="HA17" s="284"/>
      <c r="HB17" s="284"/>
      <c r="HC17" s="284"/>
      <c r="HD17" s="284"/>
      <c r="HE17" s="284"/>
      <c r="HF17" s="284"/>
      <c r="HG17" s="284"/>
      <c r="HH17" s="284"/>
      <c r="HI17" s="284"/>
      <c r="HJ17" s="284"/>
      <c r="HK17" s="284"/>
      <c r="HL17" s="284"/>
      <c r="HM17" s="284"/>
      <c r="HN17" s="284"/>
      <c r="HO17" s="284"/>
      <c r="HP17" s="284"/>
      <c r="HQ17" s="284"/>
      <c r="HR17" s="284"/>
      <c r="HS17" s="284"/>
      <c r="HT17" s="284"/>
      <c r="HU17" s="284"/>
      <c r="HV17" s="284"/>
      <c r="HW17" s="284"/>
      <c r="HX17" s="284"/>
      <c r="HY17" s="284"/>
      <c r="HZ17" s="284"/>
      <c r="IA17" s="284"/>
      <c r="IB17" s="284"/>
      <c r="IC17" s="284"/>
      <c r="ID17" s="284"/>
      <c r="IE17" s="284"/>
      <c r="IF17" s="284"/>
      <c r="IG17" s="284"/>
      <c r="IH17" s="284"/>
      <c r="II17" s="284"/>
      <c r="IJ17" s="284"/>
      <c r="IK17" s="284"/>
      <c r="IL17" s="284"/>
      <c r="IM17" s="284"/>
      <c r="IN17" s="284"/>
    </row>
    <row r="18" spans="1:5" ht="12.75">
      <c r="A18" s="280" t="s">
        <v>326</v>
      </c>
      <c r="B18" s="281" t="s">
        <v>204</v>
      </c>
      <c r="C18" s="282">
        <f>648+1204.31092+440+133+795.89358</f>
        <v>3221.2045</v>
      </c>
      <c r="D18" s="282">
        <v>3136.8863</v>
      </c>
      <c r="E18" s="282">
        <f t="shared" si="0"/>
        <v>97.38240152092177</v>
      </c>
    </row>
    <row r="19" spans="1:5" ht="25.5">
      <c r="A19" s="280" t="s">
        <v>344</v>
      </c>
      <c r="B19" s="281" t="s">
        <v>345</v>
      </c>
      <c r="C19" s="282">
        <f>4082-1882</f>
        <v>2200</v>
      </c>
      <c r="D19" s="282">
        <v>2149.32256</v>
      </c>
      <c r="E19" s="282">
        <f t="shared" si="0"/>
        <v>97.69648000000001</v>
      </c>
    </row>
    <row r="20" spans="1:5" ht="12.75">
      <c r="A20" s="275" t="s">
        <v>205</v>
      </c>
      <c r="B20" s="276" t="s">
        <v>206</v>
      </c>
      <c r="C20" s="277">
        <f>SUM(C21:C21)</f>
        <v>2950</v>
      </c>
      <c r="D20" s="277">
        <f>SUM(D21:D21)</f>
        <v>2986.43</v>
      </c>
      <c r="E20" s="278">
        <f t="shared" si="0"/>
        <v>101.2349152542373</v>
      </c>
    </row>
    <row r="21" spans="1:5" ht="25.5">
      <c r="A21" s="280" t="s">
        <v>346</v>
      </c>
      <c r="B21" s="281" t="s">
        <v>781</v>
      </c>
      <c r="C21" s="282">
        <f>2545+405</f>
        <v>2950</v>
      </c>
      <c r="D21" s="282">
        <v>2986.43</v>
      </c>
      <c r="E21" s="282">
        <f t="shared" si="0"/>
        <v>101.2349152542373</v>
      </c>
    </row>
    <row r="22" spans="1:5" ht="25.5">
      <c r="A22" s="275" t="s">
        <v>207</v>
      </c>
      <c r="B22" s="276" t="s">
        <v>327</v>
      </c>
      <c r="C22" s="277">
        <f>SUM(C23:C31)</f>
        <v>11106.855</v>
      </c>
      <c r="D22" s="277">
        <f>SUM(D23:D31)</f>
        <v>11968.1699</v>
      </c>
      <c r="E22" s="278">
        <f t="shared" si="0"/>
        <v>107.75480457789357</v>
      </c>
    </row>
    <row r="23" spans="1:5" ht="51">
      <c r="A23" s="280" t="s">
        <v>4</v>
      </c>
      <c r="B23" s="281" t="s">
        <v>367</v>
      </c>
      <c r="C23" s="282">
        <f>823+371.169-140</f>
        <v>1054.1689999999999</v>
      </c>
      <c r="D23" s="282">
        <v>1129.16445</v>
      </c>
      <c r="E23" s="282">
        <f t="shared" si="0"/>
        <v>107.11417713858027</v>
      </c>
    </row>
    <row r="24" spans="1:5" ht="38.25" hidden="1">
      <c r="A24" s="280" t="s">
        <v>6</v>
      </c>
      <c r="B24" s="281" t="s">
        <v>597</v>
      </c>
      <c r="C24" s="282">
        <v>0</v>
      </c>
      <c r="D24" s="282"/>
      <c r="E24" s="282" t="e">
        <f t="shared" si="0"/>
        <v>#DIV/0!</v>
      </c>
    </row>
    <row r="25" spans="1:5" ht="38.25">
      <c r="A25" s="280" t="s">
        <v>168</v>
      </c>
      <c r="B25" s="281" t="s">
        <v>598</v>
      </c>
      <c r="C25" s="282">
        <f>5250+398+800</f>
        <v>6448</v>
      </c>
      <c r="D25" s="282">
        <v>7453.29</v>
      </c>
      <c r="E25" s="282">
        <f t="shared" si="0"/>
        <v>115.59072580645162</v>
      </c>
    </row>
    <row r="26" spans="1:5" ht="38.25">
      <c r="A26" s="280" t="s">
        <v>246</v>
      </c>
      <c r="B26" s="281" t="s">
        <v>180</v>
      </c>
      <c r="C26" s="282">
        <f>303-92.66+57.921</f>
        <v>268.261</v>
      </c>
      <c r="D26" s="282">
        <v>259.67019</v>
      </c>
      <c r="E26" s="282">
        <f t="shared" si="0"/>
        <v>96.79759264298575</v>
      </c>
    </row>
    <row r="27" spans="1:5" ht="38.25">
      <c r="A27" s="280" t="s">
        <v>125</v>
      </c>
      <c r="B27" s="281" t="s">
        <v>328</v>
      </c>
      <c r="C27" s="282">
        <f>29+7</f>
        <v>36</v>
      </c>
      <c r="D27" s="282">
        <v>58.28</v>
      </c>
      <c r="E27" s="282">
        <f t="shared" si="0"/>
        <v>161.88888888888889</v>
      </c>
    </row>
    <row r="28" spans="1:5" ht="25.5">
      <c r="A28" s="280" t="s">
        <v>254</v>
      </c>
      <c r="B28" s="281" t="s">
        <v>255</v>
      </c>
      <c r="C28" s="282">
        <f>2124+523.439+578.886</f>
        <v>3226.325</v>
      </c>
      <c r="D28" s="282">
        <v>2992.83159</v>
      </c>
      <c r="E28" s="282">
        <f t="shared" si="0"/>
        <v>92.76286765902381</v>
      </c>
    </row>
    <row r="29" spans="1:5" ht="69.75" customHeight="1">
      <c r="A29" s="280" t="s">
        <v>661</v>
      </c>
      <c r="B29" s="296" t="s">
        <v>662</v>
      </c>
      <c r="C29" s="282">
        <v>8.3</v>
      </c>
      <c r="D29" s="282">
        <v>8.55881</v>
      </c>
      <c r="E29" s="282">
        <f t="shared" si="0"/>
        <v>103.11819277108431</v>
      </c>
    </row>
    <row r="30" spans="1:5" ht="76.5">
      <c r="A30" s="280" t="s">
        <v>782</v>
      </c>
      <c r="B30" s="281" t="s">
        <v>783</v>
      </c>
      <c r="C30" s="282">
        <v>58</v>
      </c>
      <c r="D30" s="282">
        <v>58.60096</v>
      </c>
      <c r="E30" s="282">
        <f t="shared" si="0"/>
        <v>101.03613793103447</v>
      </c>
    </row>
    <row r="31" spans="1:5" ht="90.75" customHeight="1">
      <c r="A31" s="280" t="s">
        <v>645</v>
      </c>
      <c r="B31" s="281" t="s">
        <v>646</v>
      </c>
      <c r="C31" s="282">
        <v>7.8</v>
      </c>
      <c r="D31" s="282">
        <v>7.7739</v>
      </c>
      <c r="E31" s="282">
        <f t="shared" si="0"/>
        <v>99.66538461538462</v>
      </c>
    </row>
    <row r="32" spans="1:5" ht="12.75">
      <c r="A32" s="275" t="s">
        <v>208</v>
      </c>
      <c r="B32" s="276" t="s">
        <v>209</v>
      </c>
      <c r="C32" s="277">
        <f>SUM(C33)</f>
        <v>886</v>
      </c>
      <c r="D32" s="277">
        <f>SUM(D33)</f>
        <v>885.59062</v>
      </c>
      <c r="E32" s="278">
        <f t="shared" si="0"/>
        <v>99.95379458239277</v>
      </c>
    </row>
    <row r="33" spans="1:5" ht="12.75">
      <c r="A33" s="280" t="s">
        <v>311</v>
      </c>
      <c r="B33" s="281" t="s">
        <v>210</v>
      </c>
      <c r="C33" s="282">
        <f>1080-194</f>
        <v>886</v>
      </c>
      <c r="D33" s="282">
        <v>885.59062</v>
      </c>
      <c r="E33" s="282">
        <f t="shared" si="0"/>
        <v>99.95379458239277</v>
      </c>
    </row>
    <row r="34" spans="1:5" ht="12.75">
      <c r="A34" s="275" t="s">
        <v>211</v>
      </c>
      <c r="B34" s="276" t="s">
        <v>212</v>
      </c>
      <c r="C34" s="277">
        <f>C35+C36</f>
        <v>2664</v>
      </c>
      <c r="D34" s="277">
        <f>D35+D36</f>
        <v>2768.7799999999997</v>
      </c>
      <c r="E34" s="278">
        <f t="shared" si="0"/>
        <v>103.93318318318316</v>
      </c>
    </row>
    <row r="35" spans="1:5" ht="38.25" customHeight="1">
      <c r="A35" s="280" t="s">
        <v>784</v>
      </c>
      <c r="B35" s="281" t="s">
        <v>785</v>
      </c>
      <c r="C35" s="282">
        <f>905-145</f>
        <v>760</v>
      </c>
      <c r="D35" s="282">
        <v>856.22</v>
      </c>
      <c r="E35" s="282">
        <f t="shared" si="0"/>
        <v>112.66052631578947</v>
      </c>
    </row>
    <row r="36" spans="1:5" ht="28.5" customHeight="1">
      <c r="A36" s="285" t="s">
        <v>330</v>
      </c>
      <c r="B36" s="286" t="s">
        <v>331</v>
      </c>
      <c r="C36" s="282">
        <f>16.6+242.4+1500+145</f>
        <v>1904</v>
      </c>
      <c r="D36" s="282">
        <v>1912.56</v>
      </c>
      <c r="E36" s="282">
        <f t="shared" si="0"/>
        <v>100.44957983193277</v>
      </c>
    </row>
    <row r="37" spans="1:5" ht="12.75">
      <c r="A37" s="275" t="s">
        <v>213</v>
      </c>
      <c r="B37" s="276" t="s">
        <v>214</v>
      </c>
      <c r="C37" s="277">
        <f>SUM(C38:C41)</f>
        <v>5956.208619999999</v>
      </c>
      <c r="D37" s="277">
        <f>SUM(D38:D41)</f>
        <v>2270.08847</v>
      </c>
      <c r="E37" s="278">
        <f t="shared" si="0"/>
        <v>38.11297781574347</v>
      </c>
    </row>
    <row r="38" spans="1:8" ht="51">
      <c r="A38" s="280" t="s">
        <v>332</v>
      </c>
      <c r="B38" s="281" t="s">
        <v>337</v>
      </c>
      <c r="C38" s="282">
        <f>2288.333+1499.6+260.65834</f>
        <v>4048.59134</v>
      </c>
      <c r="D38" s="282">
        <v>531.9994</v>
      </c>
      <c r="E38" s="282">
        <f t="shared" si="0"/>
        <v>13.14035809798477</v>
      </c>
      <c r="H38" s="284"/>
    </row>
    <row r="39" spans="1:5" ht="25.5">
      <c r="A39" s="280" t="s">
        <v>372</v>
      </c>
      <c r="B39" s="281" t="s">
        <v>373</v>
      </c>
      <c r="C39" s="282">
        <f>550+894-100</f>
        <v>1344</v>
      </c>
      <c r="D39" s="282">
        <v>1229.91</v>
      </c>
      <c r="E39" s="282">
        <f t="shared" si="0"/>
        <v>91.51116071428572</v>
      </c>
    </row>
    <row r="40" spans="1:5" ht="38.25">
      <c r="A40" s="280" t="s">
        <v>643</v>
      </c>
      <c r="B40" s="281" t="s">
        <v>644</v>
      </c>
      <c r="C40" s="282">
        <f>115.527+3.5</f>
        <v>119.027</v>
      </c>
      <c r="D40" s="282">
        <v>118.97907</v>
      </c>
      <c r="E40" s="282">
        <f t="shared" si="0"/>
        <v>99.95973182555218</v>
      </c>
    </row>
    <row r="41" spans="1:5" ht="25.5">
      <c r="A41" s="280" t="s">
        <v>786</v>
      </c>
      <c r="B41" s="281" t="s">
        <v>787</v>
      </c>
      <c r="C41" s="282">
        <f>3035.2-2590.60972</f>
        <v>444.5902799999999</v>
      </c>
      <c r="D41" s="282">
        <v>389.2</v>
      </c>
      <c r="E41" s="282">
        <f t="shared" si="0"/>
        <v>87.54127508140755</v>
      </c>
    </row>
    <row r="42" spans="1:5" ht="12.75">
      <c r="A42" s="275" t="s">
        <v>215</v>
      </c>
      <c r="B42" s="276" t="s">
        <v>216</v>
      </c>
      <c r="C42" s="278">
        <f>1150+71+279+450</f>
        <v>1950</v>
      </c>
      <c r="D42" s="278">
        <v>2012.54</v>
      </c>
      <c r="E42" s="278">
        <f t="shared" si="0"/>
        <v>103.20717948717947</v>
      </c>
    </row>
    <row r="43" spans="1:5" ht="12.75">
      <c r="A43" s="275" t="s">
        <v>247</v>
      </c>
      <c r="B43" s="276" t="s">
        <v>248</v>
      </c>
      <c r="C43" s="277">
        <f>SUM(C44)</f>
        <v>424</v>
      </c>
      <c r="D43" s="277">
        <f>SUM(D44)</f>
        <v>417.18755</v>
      </c>
      <c r="E43" s="278">
        <f t="shared" si="0"/>
        <v>98.39329009433962</v>
      </c>
    </row>
    <row r="44" spans="1:5" ht="12.75">
      <c r="A44" s="280" t="s">
        <v>249</v>
      </c>
      <c r="B44" s="281" t="s">
        <v>251</v>
      </c>
      <c r="C44" s="283">
        <v>424</v>
      </c>
      <c r="D44" s="283">
        <v>417.18755</v>
      </c>
      <c r="E44" s="282">
        <f>D44/C44*100</f>
        <v>98.39329009433962</v>
      </c>
    </row>
    <row r="45" spans="1:5" ht="12.75">
      <c r="A45" s="275" t="s">
        <v>217</v>
      </c>
      <c r="B45" s="276" t="s">
        <v>466</v>
      </c>
      <c r="C45" s="277">
        <f>C46</f>
        <v>414997.83832000004</v>
      </c>
      <c r="D45" s="277">
        <v>407343.72</v>
      </c>
      <c r="E45" s="278">
        <f aca="true" t="shared" si="1" ref="E45:E90">D45/C45*100</f>
        <v>98.15562453265164</v>
      </c>
    </row>
    <row r="46" spans="1:5" ht="12.75">
      <c r="A46" s="280" t="s">
        <v>218</v>
      </c>
      <c r="B46" s="281" t="s">
        <v>467</v>
      </c>
      <c r="C46" s="277">
        <f>C47+C50+C59+C85</f>
        <v>414997.83832000004</v>
      </c>
      <c r="D46" s="277">
        <v>407343.72</v>
      </c>
      <c r="E46" s="278">
        <f t="shared" si="1"/>
        <v>98.15562453265164</v>
      </c>
    </row>
    <row r="47" spans="1:5" ht="12.75">
      <c r="A47" s="275" t="s">
        <v>456</v>
      </c>
      <c r="B47" s="276" t="s">
        <v>219</v>
      </c>
      <c r="C47" s="278">
        <f>C48+C49</f>
        <v>76815.31959</v>
      </c>
      <c r="D47" s="278">
        <f>D48+D49</f>
        <v>76815.31959</v>
      </c>
      <c r="E47" s="278">
        <f t="shared" si="1"/>
        <v>100</v>
      </c>
    </row>
    <row r="48" spans="1:9" ht="12.75">
      <c r="A48" s="280" t="s">
        <v>465</v>
      </c>
      <c r="B48" s="281" t="s">
        <v>126</v>
      </c>
      <c r="C48" s="282">
        <v>25934.575</v>
      </c>
      <c r="D48" s="282">
        <v>25934.575</v>
      </c>
      <c r="E48" s="282">
        <f t="shared" si="1"/>
        <v>100</v>
      </c>
      <c r="F48" s="279"/>
      <c r="G48" s="279"/>
      <c r="H48" s="279"/>
      <c r="I48" s="279"/>
    </row>
    <row r="49" spans="1:9" ht="25.5">
      <c r="A49" s="280" t="s">
        <v>399</v>
      </c>
      <c r="B49" s="281" t="s">
        <v>257</v>
      </c>
      <c r="C49" s="282">
        <f>10840.16206+15000+25040.58253</f>
        <v>50880.74459</v>
      </c>
      <c r="D49" s="282">
        <v>50880.74459</v>
      </c>
      <c r="E49" s="282">
        <f t="shared" si="1"/>
        <v>100</v>
      </c>
      <c r="F49" s="279"/>
      <c r="G49" s="279"/>
      <c r="H49" s="279"/>
      <c r="I49" s="279"/>
    </row>
    <row r="50" spans="1:9" ht="12.75">
      <c r="A50" s="275" t="s">
        <v>599</v>
      </c>
      <c r="B50" s="276" t="s">
        <v>201</v>
      </c>
      <c r="C50" s="278">
        <f>C54+C51+C52+C53</f>
        <v>5496.996230000001</v>
      </c>
      <c r="D50" s="278">
        <f>D54+D51+D52+D53</f>
        <v>5424.601230000001</v>
      </c>
      <c r="E50" s="278">
        <f t="shared" si="1"/>
        <v>98.68300801072226</v>
      </c>
      <c r="F50" s="279"/>
      <c r="G50" s="279"/>
      <c r="H50" s="279"/>
      <c r="I50" s="279"/>
    </row>
    <row r="51" spans="1:9" ht="38.25">
      <c r="A51" s="280" t="s">
        <v>788</v>
      </c>
      <c r="B51" s="281" t="s">
        <v>789</v>
      </c>
      <c r="C51" s="282">
        <v>102.04082</v>
      </c>
      <c r="D51" s="282">
        <v>102.04082</v>
      </c>
      <c r="E51" s="282">
        <f t="shared" si="1"/>
        <v>100</v>
      </c>
      <c r="F51" s="279"/>
      <c r="G51" s="279"/>
      <c r="H51" s="279"/>
      <c r="I51" s="279"/>
    </row>
    <row r="52" spans="1:9" ht="38.25">
      <c r="A52" s="280" t="s">
        <v>788</v>
      </c>
      <c r="B52" s="281" t="s">
        <v>789</v>
      </c>
      <c r="C52" s="282">
        <v>51.02041</v>
      </c>
      <c r="D52" s="282">
        <v>51.02041</v>
      </c>
      <c r="E52" s="282">
        <f t="shared" si="1"/>
        <v>100</v>
      </c>
      <c r="F52" s="279"/>
      <c r="G52" s="279"/>
      <c r="H52" s="279"/>
      <c r="I52" s="279"/>
    </row>
    <row r="53" spans="1:9" ht="25.5">
      <c r="A53" s="280" t="s">
        <v>790</v>
      </c>
      <c r="B53" s="281" t="s">
        <v>679</v>
      </c>
      <c r="C53" s="282">
        <v>110</v>
      </c>
      <c r="D53" s="282">
        <v>110</v>
      </c>
      <c r="E53" s="282">
        <f t="shared" si="1"/>
        <v>100</v>
      </c>
      <c r="F53" s="279"/>
      <c r="G53" s="279"/>
      <c r="H53" s="279"/>
      <c r="I53" s="279"/>
    </row>
    <row r="54" spans="1:9" ht="18" customHeight="1">
      <c r="A54" s="287" t="s">
        <v>457</v>
      </c>
      <c r="B54" s="288" t="s">
        <v>258</v>
      </c>
      <c r="C54" s="289">
        <f>SUM(C55:C58)</f>
        <v>5233.935</v>
      </c>
      <c r="D54" s="289">
        <f>SUM(D55:D58)</f>
        <v>5161.540000000001</v>
      </c>
      <c r="E54" s="289">
        <f t="shared" si="1"/>
        <v>98.61681507317154</v>
      </c>
      <c r="F54" s="279"/>
      <c r="G54" s="279"/>
      <c r="H54" s="279"/>
      <c r="I54" s="279"/>
    </row>
    <row r="55" spans="1:9" ht="38.25">
      <c r="A55" s="280" t="s">
        <v>457</v>
      </c>
      <c r="B55" s="281" t="s">
        <v>600</v>
      </c>
      <c r="C55" s="282">
        <v>4065.93</v>
      </c>
      <c r="D55" s="282">
        <v>3993.53</v>
      </c>
      <c r="E55" s="282">
        <f t="shared" si="1"/>
        <v>98.21934957070093</v>
      </c>
      <c r="F55" s="279"/>
      <c r="G55" s="279"/>
      <c r="H55" s="279"/>
      <c r="I55" s="279"/>
    </row>
    <row r="56" spans="1:9" ht="38.25">
      <c r="A56" s="280" t="s">
        <v>457</v>
      </c>
      <c r="B56" s="281" t="s">
        <v>791</v>
      </c>
      <c r="C56" s="282">
        <v>1000</v>
      </c>
      <c r="D56" s="282">
        <v>1000</v>
      </c>
      <c r="E56" s="282">
        <f t="shared" si="1"/>
        <v>100</v>
      </c>
      <c r="F56" s="279"/>
      <c r="G56" s="279"/>
      <c r="H56" s="279"/>
      <c r="I56" s="279"/>
    </row>
    <row r="57" spans="1:9" ht="25.5">
      <c r="A57" s="280" t="s">
        <v>457</v>
      </c>
      <c r="B57" s="281" t="s">
        <v>792</v>
      </c>
      <c r="C57" s="282">
        <v>168.005</v>
      </c>
      <c r="D57" s="282">
        <v>168.01</v>
      </c>
      <c r="E57" s="282">
        <f t="shared" si="1"/>
        <v>100.00297610190172</v>
      </c>
      <c r="F57" s="279"/>
      <c r="G57" s="279"/>
      <c r="H57" s="279"/>
      <c r="I57" s="279"/>
    </row>
    <row r="58" spans="1:9" ht="25.5">
      <c r="A58" s="280" t="s">
        <v>457</v>
      </c>
      <c r="B58" s="281" t="s">
        <v>628</v>
      </c>
      <c r="C58" s="282">
        <f>2970-89.1-2880.9</f>
        <v>0</v>
      </c>
      <c r="D58" s="282">
        <v>0</v>
      </c>
      <c r="E58" s="282" t="e">
        <f t="shared" si="1"/>
        <v>#DIV/0!</v>
      </c>
      <c r="F58" s="279"/>
      <c r="G58" s="279"/>
      <c r="H58" s="279"/>
      <c r="I58" s="279"/>
    </row>
    <row r="59" spans="1:9" ht="12.75">
      <c r="A59" s="275" t="s">
        <v>398</v>
      </c>
      <c r="B59" s="276" t="s">
        <v>306</v>
      </c>
      <c r="C59" s="277">
        <f>C60+C61+C62+C63+C64+C67+C83</f>
        <v>310871.41059000004</v>
      </c>
      <c r="D59" s="277">
        <f>D60+D61+D62+D63+D64+D67+D83</f>
        <v>307552.84724000003</v>
      </c>
      <c r="E59" s="278">
        <f t="shared" si="1"/>
        <v>98.93249644806458</v>
      </c>
      <c r="F59" s="279"/>
      <c r="G59" s="279"/>
      <c r="H59" s="279"/>
      <c r="I59" s="279"/>
    </row>
    <row r="60" spans="1:9" ht="38.25">
      <c r="A60" s="280" t="s">
        <v>518</v>
      </c>
      <c r="B60" s="281" t="s">
        <v>519</v>
      </c>
      <c r="C60" s="282">
        <f>12932.75+1184.9</f>
        <v>14117.65</v>
      </c>
      <c r="D60" s="282">
        <v>12776.16349</v>
      </c>
      <c r="E60" s="282">
        <f t="shared" si="1"/>
        <v>90.49780586712379</v>
      </c>
      <c r="F60" s="279"/>
      <c r="G60" s="279"/>
      <c r="H60" s="279"/>
      <c r="I60" s="279"/>
    </row>
    <row r="61" spans="1:9" ht="51">
      <c r="A61" s="280" t="s">
        <v>461</v>
      </c>
      <c r="B61" s="281" t="s">
        <v>245</v>
      </c>
      <c r="C61" s="283">
        <f>6623.655-1949.044-1500</f>
        <v>3174.611</v>
      </c>
      <c r="D61" s="283">
        <v>2901.2405</v>
      </c>
      <c r="E61" s="282">
        <f t="shared" si="1"/>
        <v>91.38885047648357</v>
      </c>
      <c r="F61" s="279"/>
      <c r="G61" s="279"/>
      <c r="H61" s="279"/>
      <c r="I61" s="279"/>
    </row>
    <row r="62" spans="1:9" ht="25.5">
      <c r="A62" s="280" t="s">
        <v>397</v>
      </c>
      <c r="B62" s="281" t="s">
        <v>601</v>
      </c>
      <c r="C62" s="282">
        <v>1490.622</v>
      </c>
      <c r="D62" s="282">
        <v>1490.622</v>
      </c>
      <c r="E62" s="282">
        <f t="shared" si="1"/>
        <v>100</v>
      </c>
      <c r="F62" s="279"/>
      <c r="G62" s="279"/>
      <c r="H62" s="279"/>
      <c r="I62" s="279"/>
    </row>
    <row r="63" spans="1:9" ht="36" customHeight="1">
      <c r="A63" s="280" t="s">
        <v>400</v>
      </c>
      <c r="B63" s="281" t="s">
        <v>602</v>
      </c>
      <c r="C63" s="282">
        <f>9.594-6.471</f>
        <v>3.1229999999999993</v>
      </c>
      <c r="D63" s="282">
        <v>3.123</v>
      </c>
      <c r="E63" s="282">
        <f t="shared" si="1"/>
        <v>100.00000000000003</v>
      </c>
      <c r="F63" s="279"/>
      <c r="G63" s="279"/>
      <c r="H63" s="279"/>
      <c r="I63" s="279"/>
    </row>
    <row r="64" spans="1:9" ht="27">
      <c r="A64" s="287" t="s">
        <v>542</v>
      </c>
      <c r="B64" s="288" t="s">
        <v>543</v>
      </c>
      <c r="C64" s="289">
        <f>C65+C66</f>
        <v>2299.89</v>
      </c>
      <c r="D64" s="289">
        <f>D65+D66</f>
        <v>2299.89</v>
      </c>
      <c r="E64" s="289">
        <f t="shared" si="1"/>
        <v>100</v>
      </c>
      <c r="F64" s="279"/>
      <c r="G64" s="279"/>
      <c r="H64" s="279"/>
      <c r="I64" s="279"/>
    </row>
    <row r="65" spans="1:9" ht="41.25" customHeight="1">
      <c r="A65" s="280" t="s">
        <v>542</v>
      </c>
      <c r="B65" s="281" t="s">
        <v>336</v>
      </c>
      <c r="C65" s="282">
        <f>872.308+51.671+11.505+14.533</f>
        <v>950.017</v>
      </c>
      <c r="D65" s="282">
        <f>872.308+51.671+11.505+14.533</f>
        <v>950.017</v>
      </c>
      <c r="E65" s="282">
        <f t="shared" si="1"/>
        <v>100</v>
      </c>
      <c r="F65" s="279"/>
      <c r="G65" s="279"/>
      <c r="H65" s="279"/>
      <c r="I65" s="279"/>
    </row>
    <row r="66" spans="1:9" ht="54" customHeight="1">
      <c r="A66" s="280" t="s">
        <v>542</v>
      </c>
      <c r="B66" s="281" t="s">
        <v>238</v>
      </c>
      <c r="C66" s="282">
        <f>1364.378-51.671+16.421+20.745</f>
        <v>1349.8729999999998</v>
      </c>
      <c r="D66" s="282">
        <f>1364.378-51.671+16.421+20.745</f>
        <v>1349.8729999999998</v>
      </c>
      <c r="E66" s="282">
        <f t="shared" si="1"/>
        <v>100</v>
      </c>
      <c r="F66" s="279"/>
      <c r="G66" s="279"/>
      <c r="H66" s="279"/>
      <c r="I66" s="279"/>
    </row>
    <row r="67" spans="1:9" ht="27">
      <c r="A67" s="287" t="s">
        <v>401</v>
      </c>
      <c r="B67" s="288" t="s">
        <v>185</v>
      </c>
      <c r="C67" s="290">
        <f>SUM(C68:C82)</f>
        <v>289422.60559000005</v>
      </c>
      <c r="D67" s="290">
        <f>SUM(D68:D82)</f>
        <v>287718.8992500001</v>
      </c>
      <c r="E67" s="289">
        <f t="shared" si="1"/>
        <v>99.41134303019389</v>
      </c>
      <c r="F67" s="279"/>
      <c r="G67" s="279"/>
      <c r="H67" s="279"/>
      <c r="I67" s="279"/>
    </row>
    <row r="68" spans="1:9" ht="51.75" customHeight="1">
      <c r="A68" s="280" t="s">
        <v>401</v>
      </c>
      <c r="B68" s="281" t="s">
        <v>460</v>
      </c>
      <c r="C68" s="282">
        <f>1840-1600</f>
        <v>240</v>
      </c>
      <c r="D68" s="282">
        <v>200</v>
      </c>
      <c r="E68" s="282">
        <f t="shared" si="1"/>
        <v>83.33333333333334</v>
      </c>
      <c r="F68" s="279"/>
      <c r="G68" s="279"/>
      <c r="H68" s="279"/>
      <c r="I68" s="279"/>
    </row>
    <row r="69" spans="1:9" ht="38.25" hidden="1">
      <c r="A69" s="280" t="s">
        <v>401</v>
      </c>
      <c r="B69" s="281" t="s">
        <v>603</v>
      </c>
      <c r="C69" s="282">
        <v>0</v>
      </c>
      <c r="D69" s="282"/>
      <c r="E69" s="282" t="e">
        <f t="shared" si="1"/>
        <v>#DIV/0!</v>
      </c>
      <c r="F69" s="279"/>
      <c r="G69" s="279"/>
      <c r="H69" s="279"/>
      <c r="I69" s="279"/>
    </row>
    <row r="70" spans="1:9" ht="38.25">
      <c r="A70" s="280" t="s">
        <v>401</v>
      </c>
      <c r="B70" s="281" t="s">
        <v>793</v>
      </c>
      <c r="C70" s="282">
        <f>46890.66+1499.976+603.582</f>
        <v>48994.21800000001</v>
      </c>
      <c r="D70" s="282">
        <f>46890.66+1499.976+603.582</f>
        <v>48994.21800000001</v>
      </c>
      <c r="E70" s="282">
        <f t="shared" si="1"/>
        <v>100</v>
      </c>
      <c r="F70" s="279"/>
      <c r="G70" s="279"/>
      <c r="H70" s="279"/>
      <c r="I70" s="279"/>
    </row>
    <row r="71" spans="1:9" ht="68.25" customHeight="1">
      <c r="A71" s="280" t="s">
        <v>401</v>
      </c>
      <c r="B71" s="281" t="s">
        <v>794</v>
      </c>
      <c r="C71" s="282">
        <f>191046.082-7176.924+4339.233+2144.768</f>
        <v>190353.159</v>
      </c>
      <c r="D71" s="282">
        <f>191046.082-7176.924+4339.233+2144.768</f>
        <v>190353.159</v>
      </c>
      <c r="E71" s="282">
        <f t="shared" si="1"/>
        <v>100</v>
      </c>
      <c r="F71" s="279"/>
      <c r="G71" s="279"/>
      <c r="H71" s="279"/>
      <c r="I71" s="279"/>
    </row>
    <row r="72" spans="1:9" ht="53.25" customHeight="1">
      <c r="A72" s="280" t="s">
        <v>401</v>
      </c>
      <c r="B72" s="281" t="s">
        <v>604</v>
      </c>
      <c r="C72" s="282">
        <f>2867.6175+51.4</f>
        <v>2919.0175</v>
      </c>
      <c r="D72" s="282">
        <v>2918.29</v>
      </c>
      <c r="E72" s="282">
        <f t="shared" si="1"/>
        <v>99.97507723060927</v>
      </c>
      <c r="F72" s="279"/>
      <c r="G72" s="279"/>
      <c r="H72" s="279"/>
      <c r="I72" s="279"/>
    </row>
    <row r="73" spans="1:9" ht="25.5">
      <c r="A73" s="280" t="s">
        <v>401</v>
      </c>
      <c r="B73" s="281" t="s">
        <v>335</v>
      </c>
      <c r="C73" s="282">
        <f>864.533+10.646+13.449</f>
        <v>888.6279999999999</v>
      </c>
      <c r="D73" s="282">
        <f>864.533+10.646+13.449</f>
        <v>888.6279999999999</v>
      </c>
      <c r="E73" s="282">
        <f t="shared" si="1"/>
        <v>100</v>
      </c>
      <c r="F73" s="279"/>
      <c r="G73" s="279"/>
      <c r="H73" s="279"/>
      <c r="I73" s="279"/>
    </row>
    <row r="74" spans="1:9" ht="25.5">
      <c r="A74" s="280" t="s">
        <v>459</v>
      </c>
      <c r="B74" s="281" t="s">
        <v>605</v>
      </c>
      <c r="C74" s="282">
        <f>2028.917+24.916+31.477</f>
        <v>2085.31</v>
      </c>
      <c r="D74" s="282">
        <f>2028.917+24.916+31.477</f>
        <v>2085.31</v>
      </c>
      <c r="E74" s="282">
        <f t="shared" si="1"/>
        <v>100</v>
      </c>
      <c r="F74" s="279"/>
      <c r="G74" s="279"/>
      <c r="H74" s="279"/>
      <c r="I74" s="279"/>
    </row>
    <row r="75" spans="1:9" ht="38.25">
      <c r="A75" s="280" t="s">
        <v>459</v>
      </c>
      <c r="B75" s="281" t="s">
        <v>471</v>
      </c>
      <c r="C75" s="282">
        <f>15187.98931-1780.44804</f>
        <v>13407.541270000002</v>
      </c>
      <c r="D75" s="282">
        <v>12402.09</v>
      </c>
      <c r="E75" s="282">
        <f t="shared" si="1"/>
        <v>92.5008526936274</v>
      </c>
      <c r="F75" s="279"/>
      <c r="G75" s="279"/>
      <c r="H75" s="279"/>
      <c r="I75" s="279"/>
    </row>
    <row r="76" spans="1:9" ht="38.25">
      <c r="A76" s="280" t="s">
        <v>459</v>
      </c>
      <c r="B76" s="281" t="s">
        <v>795</v>
      </c>
      <c r="C76" s="282">
        <f>9404.94341-411.76491</f>
        <v>8993.1785</v>
      </c>
      <c r="D76" s="282">
        <v>8830.74</v>
      </c>
      <c r="E76" s="282">
        <f t="shared" si="1"/>
        <v>98.19375874725493</v>
      </c>
      <c r="F76" s="279"/>
      <c r="G76" s="279"/>
      <c r="H76" s="279"/>
      <c r="I76" s="279"/>
    </row>
    <row r="77" spans="1:9" ht="48.75" customHeight="1">
      <c r="A77" s="280" t="s">
        <v>401</v>
      </c>
      <c r="B77" s="281" t="s">
        <v>458</v>
      </c>
      <c r="C77" s="282">
        <v>9748.65</v>
      </c>
      <c r="D77" s="282">
        <v>9421.61</v>
      </c>
      <c r="E77" s="282">
        <f t="shared" si="1"/>
        <v>96.64527908992528</v>
      </c>
      <c r="F77" s="279"/>
      <c r="G77" s="279"/>
      <c r="H77" s="279"/>
      <c r="I77" s="279"/>
    </row>
    <row r="78" spans="1:9" ht="51" customHeight="1">
      <c r="A78" s="280" t="s">
        <v>401</v>
      </c>
      <c r="B78" s="281" t="s">
        <v>606</v>
      </c>
      <c r="C78" s="282">
        <v>10728.88</v>
      </c>
      <c r="D78" s="282">
        <v>10728.88</v>
      </c>
      <c r="E78" s="282">
        <f t="shared" si="1"/>
        <v>100</v>
      </c>
      <c r="F78" s="279"/>
      <c r="G78" s="279"/>
      <c r="H78" s="279"/>
      <c r="I78" s="279"/>
    </row>
    <row r="79" spans="1:9" ht="25.5">
      <c r="A79" s="280" t="s">
        <v>401</v>
      </c>
      <c r="B79" s="281" t="s">
        <v>607</v>
      </c>
      <c r="C79" s="282">
        <f>1.78737+0.0298</f>
        <v>1.81717</v>
      </c>
      <c r="D79" s="282">
        <f>1.78737+0.0298</f>
        <v>1.81717</v>
      </c>
      <c r="E79" s="282">
        <f t="shared" si="1"/>
        <v>100</v>
      </c>
      <c r="F79" s="279"/>
      <c r="G79" s="279"/>
      <c r="H79" s="279"/>
      <c r="I79" s="279"/>
    </row>
    <row r="80" spans="1:9" ht="51">
      <c r="A80" s="280" t="s">
        <v>401</v>
      </c>
      <c r="B80" s="281" t="s">
        <v>412</v>
      </c>
      <c r="C80" s="282">
        <v>3.38708</v>
      </c>
      <c r="D80" s="282">
        <v>3.38708</v>
      </c>
      <c r="E80" s="282">
        <f t="shared" si="1"/>
        <v>100</v>
      </c>
      <c r="F80" s="279"/>
      <c r="G80" s="279"/>
      <c r="H80" s="279"/>
      <c r="I80" s="279"/>
    </row>
    <row r="81" spans="1:9" ht="38.25">
      <c r="A81" s="280" t="s">
        <v>401</v>
      </c>
      <c r="B81" s="281" t="s">
        <v>796</v>
      </c>
      <c r="C81" s="282">
        <v>944.53307</v>
      </c>
      <c r="D81" s="282">
        <v>890.77</v>
      </c>
      <c r="E81" s="282">
        <f t="shared" si="1"/>
        <v>94.3079737801028</v>
      </c>
      <c r="F81" s="279"/>
      <c r="G81" s="279"/>
      <c r="H81" s="279"/>
      <c r="I81" s="279"/>
    </row>
    <row r="82" spans="1:9" ht="89.25">
      <c r="A82" s="280" t="s">
        <v>401</v>
      </c>
      <c r="B82" s="281" t="s">
        <v>574</v>
      </c>
      <c r="C82" s="282">
        <v>114.286</v>
      </c>
      <c r="D82" s="282">
        <v>0</v>
      </c>
      <c r="E82" s="282">
        <f t="shared" si="1"/>
        <v>0</v>
      </c>
      <c r="F82" s="279"/>
      <c r="G82" s="279"/>
      <c r="H82" s="279"/>
      <c r="I82" s="279"/>
    </row>
    <row r="83" spans="1:9" ht="13.5">
      <c r="A83" s="287" t="s">
        <v>567</v>
      </c>
      <c r="B83" s="288" t="s">
        <v>568</v>
      </c>
      <c r="C83" s="289">
        <f>C84</f>
        <v>362.90900000000005</v>
      </c>
      <c r="D83" s="289">
        <f>D84</f>
        <v>362.909</v>
      </c>
      <c r="E83" s="289">
        <f t="shared" si="1"/>
        <v>99.99999999999999</v>
      </c>
      <c r="F83" s="279"/>
      <c r="G83" s="279"/>
      <c r="H83" s="279"/>
      <c r="I83" s="279"/>
    </row>
    <row r="84" spans="1:248" ht="54" customHeight="1">
      <c r="A84" s="280" t="s">
        <v>567</v>
      </c>
      <c r="B84" s="281" t="s">
        <v>800</v>
      </c>
      <c r="C84" s="282">
        <f>353.579+4.122+5.208</f>
        <v>362.90900000000005</v>
      </c>
      <c r="D84" s="282">
        <v>362.909</v>
      </c>
      <c r="E84" s="282">
        <f t="shared" si="1"/>
        <v>99.99999999999999</v>
      </c>
      <c r="F84" s="291"/>
      <c r="G84" s="291"/>
      <c r="H84" s="291"/>
      <c r="I84" s="291"/>
      <c r="J84" s="292"/>
      <c r="K84" s="292"/>
      <c r="L84" s="292"/>
      <c r="M84" s="292"/>
      <c r="N84" s="292"/>
      <c r="O84" s="292"/>
      <c r="P84" s="292"/>
      <c r="Q84" s="292"/>
      <c r="R84" s="292"/>
      <c r="S84" s="292"/>
      <c r="T84" s="292"/>
      <c r="U84" s="292"/>
      <c r="V84" s="292"/>
      <c r="W84" s="292"/>
      <c r="X84" s="292"/>
      <c r="Y84" s="292"/>
      <c r="Z84" s="292"/>
      <c r="AA84" s="292"/>
      <c r="AB84" s="292"/>
      <c r="AC84" s="292"/>
      <c r="AD84" s="292"/>
      <c r="AE84" s="292"/>
      <c r="AF84" s="292"/>
      <c r="AG84" s="292"/>
      <c r="AH84" s="292"/>
      <c r="AI84" s="292"/>
      <c r="AJ84" s="292"/>
      <c r="AK84" s="292"/>
      <c r="AL84" s="292"/>
      <c r="AM84" s="292"/>
      <c r="AN84" s="292"/>
      <c r="AO84" s="292"/>
      <c r="AP84" s="292"/>
      <c r="AQ84" s="292"/>
      <c r="AR84" s="292"/>
      <c r="AS84" s="292"/>
      <c r="AT84" s="292"/>
      <c r="AU84" s="292"/>
      <c r="AV84" s="292"/>
      <c r="AW84" s="292"/>
      <c r="AX84" s="292"/>
      <c r="AY84" s="292"/>
      <c r="AZ84" s="292"/>
      <c r="BA84" s="292"/>
      <c r="BB84" s="292"/>
      <c r="BC84" s="292"/>
      <c r="BD84" s="292"/>
      <c r="BE84" s="292"/>
      <c r="BF84" s="292"/>
      <c r="BG84" s="292"/>
      <c r="BH84" s="292"/>
      <c r="BI84" s="292"/>
      <c r="BJ84" s="292"/>
      <c r="BK84" s="292"/>
      <c r="BL84" s="292"/>
      <c r="BM84" s="292"/>
      <c r="BN84" s="292"/>
      <c r="BO84" s="292"/>
      <c r="BP84" s="292"/>
      <c r="BQ84" s="292"/>
      <c r="BR84" s="292"/>
      <c r="BS84" s="292"/>
      <c r="BT84" s="292"/>
      <c r="BU84" s="292"/>
      <c r="BV84" s="292"/>
      <c r="BW84" s="292"/>
      <c r="BX84" s="292"/>
      <c r="BY84" s="292"/>
      <c r="BZ84" s="292"/>
      <c r="CA84" s="292"/>
      <c r="CB84" s="292"/>
      <c r="CC84" s="292"/>
      <c r="CD84" s="292"/>
      <c r="CE84" s="292"/>
      <c r="CF84" s="292"/>
      <c r="CG84" s="292"/>
      <c r="CH84" s="292"/>
      <c r="CI84" s="292"/>
      <c r="CJ84" s="292"/>
      <c r="CK84" s="292"/>
      <c r="CL84" s="292"/>
      <c r="CM84" s="292"/>
      <c r="CN84" s="292"/>
      <c r="CO84" s="292"/>
      <c r="CP84" s="292"/>
      <c r="CQ84" s="292"/>
      <c r="CR84" s="292"/>
      <c r="CS84" s="292"/>
      <c r="CT84" s="292"/>
      <c r="CU84" s="292"/>
      <c r="CV84" s="292"/>
      <c r="CW84" s="292"/>
      <c r="CX84" s="292"/>
      <c r="CY84" s="292"/>
      <c r="CZ84" s="292"/>
      <c r="DA84" s="292"/>
      <c r="DB84" s="292"/>
      <c r="DC84" s="292"/>
      <c r="DD84" s="292"/>
      <c r="DE84" s="292"/>
      <c r="DF84" s="292"/>
      <c r="DG84" s="292"/>
      <c r="DH84" s="292"/>
      <c r="DI84" s="292"/>
      <c r="DJ84" s="292"/>
      <c r="DK84" s="292"/>
      <c r="DL84" s="292"/>
      <c r="DM84" s="292"/>
      <c r="DN84" s="292"/>
      <c r="DO84" s="292"/>
      <c r="DP84" s="292"/>
      <c r="DQ84" s="292"/>
      <c r="DR84" s="292"/>
      <c r="DS84" s="292"/>
      <c r="DT84" s="292"/>
      <c r="DU84" s="292"/>
      <c r="DV84" s="292"/>
      <c r="DW84" s="292"/>
      <c r="DX84" s="292"/>
      <c r="DY84" s="292"/>
      <c r="DZ84" s="292"/>
      <c r="EA84" s="292"/>
      <c r="EB84" s="292"/>
      <c r="EC84" s="292"/>
      <c r="ED84" s="292"/>
      <c r="EE84" s="292"/>
      <c r="EF84" s="292"/>
      <c r="EG84" s="292"/>
      <c r="EH84" s="292"/>
      <c r="EI84" s="292"/>
      <c r="EJ84" s="292"/>
      <c r="EK84" s="292"/>
      <c r="EL84" s="292"/>
      <c r="EM84" s="292"/>
      <c r="EN84" s="292"/>
      <c r="EO84" s="292"/>
      <c r="EP84" s="292"/>
      <c r="EQ84" s="292"/>
      <c r="ER84" s="292"/>
      <c r="ES84" s="292"/>
      <c r="ET84" s="292"/>
      <c r="EU84" s="292"/>
      <c r="EV84" s="292"/>
      <c r="EW84" s="292"/>
      <c r="EX84" s="292"/>
      <c r="EY84" s="292"/>
      <c r="EZ84" s="292"/>
      <c r="FA84" s="292"/>
      <c r="FB84" s="292"/>
      <c r="FC84" s="292"/>
      <c r="FD84" s="292"/>
      <c r="FE84" s="292"/>
      <c r="FF84" s="292"/>
      <c r="FG84" s="292"/>
      <c r="FH84" s="292"/>
      <c r="FI84" s="292"/>
      <c r="FJ84" s="292"/>
      <c r="FK84" s="292"/>
      <c r="FL84" s="292"/>
      <c r="FM84" s="292"/>
      <c r="FN84" s="292"/>
      <c r="FO84" s="292"/>
      <c r="FP84" s="292"/>
      <c r="FQ84" s="292"/>
      <c r="FR84" s="292"/>
      <c r="FS84" s="292"/>
      <c r="FT84" s="292"/>
      <c r="FU84" s="292"/>
      <c r="FV84" s="292"/>
      <c r="FW84" s="292"/>
      <c r="FX84" s="292"/>
      <c r="FY84" s="292"/>
      <c r="FZ84" s="292"/>
      <c r="GA84" s="292"/>
      <c r="GB84" s="292"/>
      <c r="GC84" s="292"/>
      <c r="GD84" s="292"/>
      <c r="GE84" s="292"/>
      <c r="GF84" s="292"/>
      <c r="GG84" s="292"/>
      <c r="GH84" s="292"/>
      <c r="GI84" s="292"/>
      <c r="GJ84" s="292"/>
      <c r="GK84" s="292"/>
      <c r="GL84" s="292"/>
      <c r="GM84" s="292"/>
      <c r="GN84" s="292"/>
      <c r="GO84" s="292"/>
      <c r="GP84" s="292"/>
      <c r="GQ84" s="292"/>
      <c r="GR84" s="292"/>
      <c r="GS84" s="292"/>
      <c r="GT84" s="292"/>
      <c r="GU84" s="292"/>
      <c r="GV84" s="292"/>
      <c r="GW84" s="292"/>
      <c r="GX84" s="292"/>
      <c r="GY84" s="292"/>
      <c r="GZ84" s="292"/>
      <c r="HA84" s="292"/>
      <c r="HB84" s="292"/>
      <c r="HC84" s="292"/>
      <c r="HD84" s="292"/>
      <c r="HE84" s="292"/>
      <c r="HF84" s="292"/>
      <c r="HG84" s="292"/>
      <c r="HH84" s="292"/>
      <c r="HI84" s="292"/>
      <c r="HJ84" s="292"/>
      <c r="HK84" s="292"/>
      <c r="HL84" s="292"/>
      <c r="HM84" s="292"/>
      <c r="HN84" s="292"/>
      <c r="HO84" s="292"/>
      <c r="HP84" s="292"/>
      <c r="HQ84" s="292"/>
      <c r="HR84" s="292"/>
      <c r="HS84" s="292"/>
      <c r="HT84" s="292"/>
      <c r="HU84" s="292"/>
      <c r="HV84" s="292"/>
      <c r="HW84" s="292"/>
      <c r="HX84" s="292"/>
      <c r="HY84" s="292"/>
      <c r="HZ84" s="292"/>
      <c r="IA84" s="292"/>
      <c r="IB84" s="292"/>
      <c r="IC84" s="292"/>
      <c r="ID84" s="292"/>
      <c r="IE84" s="292"/>
      <c r="IF84" s="292"/>
      <c r="IG84" s="292"/>
      <c r="IH84" s="292"/>
      <c r="II84" s="292"/>
      <c r="IJ84" s="292"/>
      <c r="IK84" s="292"/>
      <c r="IL84" s="292"/>
      <c r="IM84" s="292"/>
      <c r="IN84" s="292"/>
    </row>
    <row r="85" spans="1:248" ht="12.75">
      <c r="A85" s="275" t="s">
        <v>462</v>
      </c>
      <c r="B85" s="276" t="s">
        <v>468</v>
      </c>
      <c r="C85" s="278">
        <f>SUM(C86:C88)</f>
        <v>21814.11191</v>
      </c>
      <c r="D85" s="278">
        <f>SUM(D86:D88)</f>
        <v>19182.99752</v>
      </c>
      <c r="E85" s="278">
        <f t="shared" si="1"/>
        <v>87.93847578642958</v>
      </c>
      <c r="F85" s="291"/>
      <c r="G85" s="291"/>
      <c r="H85" s="291"/>
      <c r="I85" s="291"/>
      <c r="J85" s="292"/>
      <c r="K85" s="292"/>
      <c r="L85" s="292"/>
      <c r="M85" s="292"/>
      <c r="N85" s="292"/>
      <c r="O85" s="292"/>
      <c r="P85" s="292"/>
      <c r="Q85" s="292"/>
      <c r="R85" s="292"/>
      <c r="S85" s="292"/>
      <c r="T85" s="292"/>
      <c r="U85" s="292"/>
      <c r="V85" s="292"/>
      <c r="W85" s="292"/>
      <c r="X85" s="292"/>
      <c r="Y85" s="292"/>
      <c r="Z85" s="292"/>
      <c r="AA85" s="292"/>
      <c r="AB85" s="292"/>
      <c r="AC85" s="292"/>
      <c r="AD85" s="292"/>
      <c r="AE85" s="292"/>
      <c r="AF85" s="292"/>
      <c r="AG85" s="292"/>
      <c r="AH85" s="292"/>
      <c r="AI85" s="292"/>
      <c r="AJ85" s="292"/>
      <c r="AK85" s="292"/>
      <c r="AL85" s="292"/>
      <c r="AM85" s="292"/>
      <c r="AN85" s="292"/>
      <c r="AO85" s="292"/>
      <c r="AP85" s="292"/>
      <c r="AQ85" s="292"/>
      <c r="AR85" s="292"/>
      <c r="AS85" s="292"/>
      <c r="AT85" s="292"/>
      <c r="AU85" s="292"/>
      <c r="AV85" s="292"/>
      <c r="AW85" s="292"/>
      <c r="AX85" s="292"/>
      <c r="AY85" s="292"/>
      <c r="AZ85" s="292"/>
      <c r="BA85" s="292"/>
      <c r="BB85" s="292"/>
      <c r="BC85" s="292"/>
      <c r="BD85" s="292"/>
      <c r="BE85" s="292"/>
      <c r="BF85" s="292"/>
      <c r="BG85" s="292"/>
      <c r="BH85" s="292"/>
      <c r="BI85" s="292"/>
      <c r="BJ85" s="292"/>
      <c r="BK85" s="292"/>
      <c r="BL85" s="292"/>
      <c r="BM85" s="292"/>
      <c r="BN85" s="292"/>
      <c r="BO85" s="292"/>
      <c r="BP85" s="292"/>
      <c r="BQ85" s="292"/>
      <c r="BR85" s="292"/>
      <c r="BS85" s="292"/>
      <c r="BT85" s="292"/>
      <c r="BU85" s="292"/>
      <c r="BV85" s="292"/>
      <c r="BW85" s="292"/>
      <c r="BX85" s="292"/>
      <c r="BY85" s="292"/>
      <c r="BZ85" s="292"/>
      <c r="CA85" s="292"/>
      <c r="CB85" s="292"/>
      <c r="CC85" s="292"/>
      <c r="CD85" s="292"/>
      <c r="CE85" s="292"/>
      <c r="CF85" s="292"/>
      <c r="CG85" s="292"/>
      <c r="CH85" s="292"/>
      <c r="CI85" s="292"/>
      <c r="CJ85" s="292"/>
      <c r="CK85" s="292"/>
      <c r="CL85" s="292"/>
      <c r="CM85" s="292"/>
      <c r="CN85" s="292"/>
      <c r="CO85" s="292"/>
      <c r="CP85" s="292"/>
      <c r="CQ85" s="292"/>
      <c r="CR85" s="292"/>
      <c r="CS85" s="292"/>
      <c r="CT85" s="292"/>
      <c r="CU85" s="292"/>
      <c r="CV85" s="292"/>
      <c r="CW85" s="292"/>
      <c r="CX85" s="292"/>
      <c r="CY85" s="292"/>
      <c r="CZ85" s="292"/>
      <c r="DA85" s="292"/>
      <c r="DB85" s="292"/>
      <c r="DC85" s="292"/>
      <c r="DD85" s="292"/>
      <c r="DE85" s="292"/>
      <c r="DF85" s="292"/>
      <c r="DG85" s="292"/>
      <c r="DH85" s="292"/>
      <c r="DI85" s="292"/>
      <c r="DJ85" s="292"/>
      <c r="DK85" s="292"/>
      <c r="DL85" s="292"/>
      <c r="DM85" s="292"/>
      <c r="DN85" s="292"/>
      <c r="DO85" s="292"/>
      <c r="DP85" s="292"/>
      <c r="DQ85" s="292"/>
      <c r="DR85" s="292"/>
      <c r="DS85" s="292"/>
      <c r="DT85" s="292"/>
      <c r="DU85" s="292"/>
      <c r="DV85" s="292"/>
      <c r="DW85" s="292"/>
      <c r="DX85" s="292"/>
      <c r="DY85" s="292"/>
      <c r="DZ85" s="292"/>
      <c r="EA85" s="292"/>
      <c r="EB85" s="292"/>
      <c r="EC85" s="292"/>
      <c r="ED85" s="292"/>
      <c r="EE85" s="292"/>
      <c r="EF85" s="292"/>
      <c r="EG85" s="292"/>
      <c r="EH85" s="292"/>
      <c r="EI85" s="292"/>
      <c r="EJ85" s="292"/>
      <c r="EK85" s="292"/>
      <c r="EL85" s="292"/>
      <c r="EM85" s="292"/>
      <c r="EN85" s="292"/>
      <c r="EO85" s="292"/>
      <c r="EP85" s="292"/>
      <c r="EQ85" s="292"/>
      <c r="ER85" s="292"/>
      <c r="ES85" s="292"/>
      <c r="ET85" s="292"/>
      <c r="EU85" s="292"/>
      <c r="EV85" s="292"/>
      <c r="EW85" s="292"/>
      <c r="EX85" s="292"/>
      <c r="EY85" s="292"/>
      <c r="EZ85" s="292"/>
      <c r="FA85" s="292"/>
      <c r="FB85" s="292"/>
      <c r="FC85" s="292"/>
      <c r="FD85" s="292"/>
      <c r="FE85" s="292"/>
      <c r="FF85" s="292"/>
      <c r="FG85" s="292"/>
      <c r="FH85" s="292"/>
      <c r="FI85" s="292"/>
      <c r="FJ85" s="292"/>
      <c r="FK85" s="292"/>
      <c r="FL85" s="292"/>
      <c r="FM85" s="292"/>
      <c r="FN85" s="292"/>
      <c r="FO85" s="292"/>
      <c r="FP85" s="292"/>
      <c r="FQ85" s="292"/>
      <c r="FR85" s="292"/>
      <c r="FS85" s="292"/>
      <c r="FT85" s="292"/>
      <c r="FU85" s="292"/>
      <c r="FV85" s="292"/>
      <c r="FW85" s="292"/>
      <c r="FX85" s="292"/>
      <c r="FY85" s="292"/>
      <c r="FZ85" s="292"/>
      <c r="GA85" s="292"/>
      <c r="GB85" s="292"/>
      <c r="GC85" s="292"/>
      <c r="GD85" s="292"/>
      <c r="GE85" s="292"/>
      <c r="GF85" s="292"/>
      <c r="GG85" s="292"/>
      <c r="GH85" s="292"/>
      <c r="GI85" s="292"/>
      <c r="GJ85" s="292"/>
      <c r="GK85" s="292"/>
      <c r="GL85" s="292"/>
      <c r="GM85" s="292"/>
      <c r="GN85" s="292"/>
      <c r="GO85" s="292"/>
      <c r="GP85" s="292"/>
      <c r="GQ85" s="292"/>
      <c r="GR85" s="292"/>
      <c r="GS85" s="292"/>
      <c r="GT85" s="292"/>
      <c r="GU85" s="292"/>
      <c r="GV85" s="292"/>
      <c r="GW85" s="292"/>
      <c r="GX85" s="292"/>
      <c r="GY85" s="292"/>
      <c r="GZ85" s="292"/>
      <c r="HA85" s="292"/>
      <c r="HB85" s="292"/>
      <c r="HC85" s="292"/>
      <c r="HD85" s="292"/>
      <c r="HE85" s="292"/>
      <c r="HF85" s="292"/>
      <c r="HG85" s="292"/>
      <c r="HH85" s="292"/>
      <c r="HI85" s="292"/>
      <c r="HJ85" s="292"/>
      <c r="HK85" s="292"/>
      <c r="HL85" s="292"/>
      <c r="HM85" s="292"/>
      <c r="HN85" s="292"/>
      <c r="HO85" s="292"/>
      <c r="HP85" s="292"/>
      <c r="HQ85" s="292"/>
      <c r="HR85" s="292"/>
      <c r="HS85" s="292"/>
      <c r="HT85" s="292"/>
      <c r="HU85" s="292"/>
      <c r="HV85" s="292"/>
      <c r="HW85" s="292"/>
      <c r="HX85" s="292"/>
      <c r="HY85" s="292"/>
      <c r="HZ85" s="292"/>
      <c r="IA85" s="292"/>
      <c r="IB85" s="292"/>
      <c r="IC85" s="292"/>
      <c r="ID85" s="292"/>
      <c r="IE85" s="292"/>
      <c r="IF85" s="292"/>
      <c r="IG85" s="292"/>
      <c r="IH85" s="292"/>
      <c r="II85" s="292"/>
      <c r="IJ85" s="292"/>
      <c r="IK85" s="292"/>
      <c r="IL85" s="292"/>
      <c r="IM85" s="292"/>
      <c r="IN85" s="292"/>
    </row>
    <row r="86" spans="1:248" ht="51" customHeight="1">
      <c r="A86" s="280" t="s">
        <v>517</v>
      </c>
      <c r="B86" s="281" t="s">
        <v>520</v>
      </c>
      <c r="C86" s="282">
        <f>19305+1170</f>
        <v>20475</v>
      </c>
      <c r="D86" s="282">
        <v>17846.60513</v>
      </c>
      <c r="E86" s="282">
        <f t="shared" si="1"/>
        <v>87.16290661782662</v>
      </c>
      <c r="F86" s="291"/>
      <c r="G86" s="291"/>
      <c r="H86" s="291"/>
      <c r="I86" s="291"/>
      <c r="J86" s="292"/>
      <c r="K86" s="292"/>
      <c r="L86" s="292"/>
      <c r="M86" s="292"/>
      <c r="N86" s="292"/>
      <c r="O86" s="292"/>
      <c r="P86" s="292"/>
      <c r="Q86" s="292"/>
      <c r="R86" s="292"/>
      <c r="S86" s="292"/>
      <c r="T86" s="292"/>
      <c r="U86" s="292"/>
      <c r="V86" s="292"/>
      <c r="W86" s="292"/>
      <c r="X86" s="292"/>
      <c r="Y86" s="292"/>
      <c r="Z86" s="292"/>
      <c r="AA86" s="292"/>
      <c r="AB86" s="292"/>
      <c r="AC86" s="292"/>
      <c r="AD86" s="292"/>
      <c r="AE86" s="292"/>
      <c r="AF86" s="292"/>
      <c r="AG86" s="292"/>
      <c r="AH86" s="292"/>
      <c r="AI86" s="292"/>
      <c r="AJ86" s="292"/>
      <c r="AK86" s="292"/>
      <c r="AL86" s="292"/>
      <c r="AM86" s="292"/>
      <c r="AN86" s="292"/>
      <c r="AO86" s="292"/>
      <c r="AP86" s="292"/>
      <c r="AQ86" s="292"/>
      <c r="AR86" s="292"/>
      <c r="AS86" s="292"/>
      <c r="AT86" s="292"/>
      <c r="AU86" s="292"/>
      <c r="AV86" s="292"/>
      <c r="AW86" s="292"/>
      <c r="AX86" s="292"/>
      <c r="AY86" s="292"/>
      <c r="AZ86" s="292"/>
      <c r="BA86" s="292"/>
      <c r="BB86" s="292"/>
      <c r="BC86" s="292"/>
      <c r="BD86" s="292"/>
      <c r="BE86" s="292"/>
      <c r="BF86" s="292"/>
      <c r="BG86" s="292"/>
      <c r="BH86" s="292"/>
      <c r="BI86" s="292"/>
      <c r="BJ86" s="292"/>
      <c r="BK86" s="292"/>
      <c r="BL86" s="292"/>
      <c r="BM86" s="292"/>
      <c r="BN86" s="292"/>
      <c r="BO86" s="292"/>
      <c r="BP86" s="292"/>
      <c r="BQ86" s="292"/>
      <c r="BR86" s="292"/>
      <c r="BS86" s="292"/>
      <c r="BT86" s="292"/>
      <c r="BU86" s="292"/>
      <c r="BV86" s="292"/>
      <c r="BW86" s="292"/>
      <c r="BX86" s="292"/>
      <c r="BY86" s="292"/>
      <c r="BZ86" s="292"/>
      <c r="CA86" s="292"/>
      <c r="CB86" s="292"/>
      <c r="CC86" s="292"/>
      <c r="CD86" s="292"/>
      <c r="CE86" s="292"/>
      <c r="CF86" s="292"/>
      <c r="CG86" s="292"/>
      <c r="CH86" s="292"/>
      <c r="CI86" s="292"/>
      <c r="CJ86" s="292"/>
      <c r="CK86" s="292"/>
      <c r="CL86" s="292"/>
      <c r="CM86" s="292"/>
      <c r="CN86" s="292"/>
      <c r="CO86" s="292"/>
      <c r="CP86" s="292"/>
      <c r="CQ86" s="292"/>
      <c r="CR86" s="292"/>
      <c r="CS86" s="292"/>
      <c r="CT86" s="292"/>
      <c r="CU86" s="292"/>
      <c r="CV86" s="292"/>
      <c r="CW86" s="292"/>
      <c r="CX86" s="292"/>
      <c r="CY86" s="292"/>
      <c r="CZ86" s="292"/>
      <c r="DA86" s="292"/>
      <c r="DB86" s="292"/>
      <c r="DC86" s="292"/>
      <c r="DD86" s="292"/>
      <c r="DE86" s="292"/>
      <c r="DF86" s="292"/>
      <c r="DG86" s="292"/>
      <c r="DH86" s="292"/>
      <c r="DI86" s="292"/>
      <c r="DJ86" s="292"/>
      <c r="DK86" s="292"/>
      <c r="DL86" s="292"/>
      <c r="DM86" s="292"/>
      <c r="DN86" s="292"/>
      <c r="DO86" s="292"/>
      <c r="DP86" s="292"/>
      <c r="DQ86" s="292"/>
      <c r="DR86" s="292"/>
      <c r="DS86" s="292"/>
      <c r="DT86" s="292"/>
      <c r="DU86" s="292"/>
      <c r="DV86" s="292"/>
      <c r="DW86" s="292"/>
      <c r="DX86" s="292"/>
      <c r="DY86" s="292"/>
      <c r="DZ86" s="292"/>
      <c r="EA86" s="292"/>
      <c r="EB86" s="292"/>
      <c r="EC86" s="292"/>
      <c r="ED86" s="292"/>
      <c r="EE86" s="292"/>
      <c r="EF86" s="292"/>
      <c r="EG86" s="292"/>
      <c r="EH86" s="292"/>
      <c r="EI86" s="292"/>
      <c r="EJ86" s="292"/>
      <c r="EK86" s="292"/>
      <c r="EL86" s="292"/>
      <c r="EM86" s="292"/>
      <c r="EN86" s="292"/>
      <c r="EO86" s="292"/>
      <c r="EP86" s="292"/>
      <c r="EQ86" s="292"/>
      <c r="ER86" s="292"/>
      <c r="ES86" s="292"/>
      <c r="ET86" s="292"/>
      <c r="EU86" s="292"/>
      <c r="EV86" s="292"/>
      <c r="EW86" s="292"/>
      <c r="EX86" s="292"/>
      <c r="EY86" s="292"/>
      <c r="EZ86" s="292"/>
      <c r="FA86" s="292"/>
      <c r="FB86" s="292"/>
      <c r="FC86" s="292"/>
      <c r="FD86" s="292"/>
      <c r="FE86" s="292"/>
      <c r="FF86" s="292"/>
      <c r="FG86" s="292"/>
      <c r="FH86" s="292"/>
      <c r="FI86" s="292"/>
      <c r="FJ86" s="292"/>
      <c r="FK86" s="292"/>
      <c r="FL86" s="292"/>
      <c r="FM86" s="292"/>
      <c r="FN86" s="292"/>
      <c r="FO86" s="292"/>
      <c r="FP86" s="292"/>
      <c r="FQ86" s="292"/>
      <c r="FR86" s="292"/>
      <c r="FS86" s="292"/>
      <c r="FT86" s="292"/>
      <c r="FU86" s="292"/>
      <c r="FV86" s="292"/>
      <c r="FW86" s="292"/>
      <c r="FX86" s="292"/>
      <c r="FY86" s="292"/>
      <c r="FZ86" s="292"/>
      <c r="GA86" s="292"/>
      <c r="GB86" s="292"/>
      <c r="GC86" s="292"/>
      <c r="GD86" s="292"/>
      <c r="GE86" s="292"/>
      <c r="GF86" s="292"/>
      <c r="GG86" s="292"/>
      <c r="GH86" s="292"/>
      <c r="GI86" s="292"/>
      <c r="GJ86" s="292"/>
      <c r="GK86" s="292"/>
      <c r="GL86" s="292"/>
      <c r="GM86" s="292"/>
      <c r="GN86" s="292"/>
      <c r="GO86" s="292"/>
      <c r="GP86" s="292"/>
      <c r="GQ86" s="292"/>
      <c r="GR86" s="292"/>
      <c r="GS86" s="292"/>
      <c r="GT86" s="292"/>
      <c r="GU86" s="292"/>
      <c r="GV86" s="292"/>
      <c r="GW86" s="292"/>
      <c r="GX86" s="292"/>
      <c r="GY86" s="292"/>
      <c r="GZ86" s="292"/>
      <c r="HA86" s="292"/>
      <c r="HB86" s="292"/>
      <c r="HC86" s="292"/>
      <c r="HD86" s="292"/>
      <c r="HE86" s="292"/>
      <c r="HF86" s="292"/>
      <c r="HG86" s="292"/>
      <c r="HH86" s="292"/>
      <c r="HI86" s="292"/>
      <c r="HJ86" s="292"/>
      <c r="HK86" s="292"/>
      <c r="HL86" s="292"/>
      <c r="HM86" s="292"/>
      <c r="HN86" s="292"/>
      <c r="HO86" s="292"/>
      <c r="HP86" s="292"/>
      <c r="HQ86" s="292"/>
      <c r="HR86" s="292"/>
      <c r="HS86" s="292"/>
      <c r="HT86" s="292"/>
      <c r="HU86" s="292"/>
      <c r="HV86" s="292"/>
      <c r="HW86" s="292"/>
      <c r="HX86" s="292"/>
      <c r="HY86" s="292"/>
      <c r="HZ86" s="292"/>
      <c r="IA86" s="292"/>
      <c r="IB86" s="292"/>
      <c r="IC86" s="292"/>
      <c r="ID86" s="292"/>
      <c r="IE86" s="292"/>
      <c r="IF86" s="292"/>
      <c r="IG86" s="292"/>
      <c r="IH86" s="292"/>
      <c r="II86" s="292"/>
      <c r="IJ86" s="292"/>
      <c r="IK86" s="292"/>
      <c r="IL86" s="292"/>
      <c r="IM86" s="292"/>
      <c r="IN86" s="292"/>
    </row>
    <row r="87" spans="1:248" ht="65.25" customHeight="1">
      <c r="A87" s="280" t="s">
        <v>797</v>
      </c>
      <c r="B87" s="281" t="s">
        <v>699</v>
      </c>
      <c r="C87" s="282">
        <f>989.4248-632.4318</f>
        <v>356.99300000000005</v>
      </c>
      <c r="D87" s="282">
        <v>354.27348</v>
      </c>
      <c r="E87" s="282">
        <f t="shared" si="1"/>
        <v>99.23821475491114</v>
      </c>
      <c r="F87" s="291"/>
      <c r="G87" s="291"/>
      <c r="H87" s="291"/>
      <c r="I87" s="291"/>
      <c r="J87" s="292"/>
      <c r="K87" s="292"/>
      <c r="L87" s="292"/>
      <c r="M87" s="292"/>
      <c r="N87" s="292"/>
      <c r="O87" s="292"/>
      <c r="P87" s="292"/>
      <c r="Q87" s="292"/>
      <c r="R87" s="292"/>
      <c r="S87" s="292"/>
      <c r="T87" s="292"/>
      <c r="U87" s="292"/>
      <c r="V87" s="292"/>
      <c r="W87" s="292"/>
      <c r="X87" s="292"/>
      <c r="Y87" s="292"/>
      <c r="Z87" s="292"/>
      <c r="AA87" s="292"/>
      <c r="AB87" s="292"/>
      <c r="AC87" s="292"/>
      <c r="AD87" s="292"/>
      <c r="AE87" s="292"/>
      <c r="AF87" s="292"/>
      <c r="AG87" s="292"/>
      <c r="AH87" s="292"/>
      <c r="AI87" s="292"/>
      <c r="AJ87" s="292"/>
      <c r="AK87" s="292"/>
      <c r="AL87" s="292"/>
      <c r="AM87" s="292"/>
      <c r="AN87" s="292"/>
      <c r="AO87" s="292"/>
      <c r="AP87" s="292"/>
      <c r="AQ87" s="292"/>
      <c r="AR87" s="292"/>
      <c r="AS87" s="292"/>
      <c r="AT87" s="292"/>
      <c r="AU87" s="292"/>
      <c r="AV87" s="292"/>
      <c r="AW87" s="292"/>
      <c r="AX87" s="292"/>
      <c r="AY87" s="292"/>
      <c r="AZ87" s="292"/>
      <c r="BA87" s="292"/>
      <c r="BB87" s="292"/>
      <c r="BC87" s="292"/>
      <c r="BD87" s="292"/>
      <c r="BE87" s="292"/>
      <c r="BF87" s="292"/>
      <c r="BG87" s="292"/>
      <c r="BH87" s="292"/>
      <c r="BI87" s="292"/>
      <c r="BJ87" s="292"/>
      <c r="BK87" s="292"/>
      <c r="BL87" s="292"/>
      <c r="BM87" s="292"/>
      <c r="BN87" s="292"/>
      <c r="BO87" s="292"/>
      <c r="BP87" s="292"/>
      <c r="BQ87" s="292"/>
      <c r="BR87" s="292"/>
      <c r="BS87" s="292"/>
      <c r="BT87" s="292"/>
      <c r="BU87" s="292"/>
      <c r="BV87" s="292"/>
      <c r="BW87" s="292"/>
      <c r="BX87" s="292"/>
      <c r="BY87" s="292"/>
      <c r="BZ87" s="292"/>
      <c r="CA87" s="292"/>
      <c r="CB87" s="292"/>
      <c r="CC87" s="292"/>
      <c r="CD87" s="292"/>
      <c r="CE87" s="292"/>
      <c r="CF87" s="292"/>
      <c r="CG87" s="292"/>
      <c r="CH87" s="292"/>
      <c r="CI87" s="292"/>
      <c r="CJ87" s="292"/>
      <c r="CK87" s="292"/>
      <c r="CL87" s="292"/>
      <c r="CM87" s="292"/>
      <c r="CN87" s="292"/>
      <c r="CO87" s="292"/>
      <c r="CP87" s="292"/>
      <c r="CQ87" s="292"/>
      <c r="CR87" s="292"/>
      <c r="CS87" s="292"/>
      <c r="CT87" s="292"/>
      <c r="CU87" s="292"/>
      <c r="CV87" s="292"/>
      <c r="CW87" s="292"/>
      <c r="CX87" s="292"/>
      <c r="CY87" s="292"/>
      <c r="CZ87" s="292"/>
      <c r="DA87" s="292"/>
      <c r="DB87" s="292"/>
      <c r="DC87" s="292"/>
      <c r="DD87" s="292"/>
      <c r="DE87" s="292"/>
      <c r="DF87" s="292"/>
      <c r="DG87" s="292"/>
      <c r="DH87" s="292"/>
      <c r="DI87" s="292"/>
      <c r="DJ87" s="292"/>
      <c r="DK87" s="292"/>
      <c r="DL87" s="292"/>
      <c r="DM87" s="292"/>
      <c r="DN87" s="292"/>
      <c r="DO87" s="292"/>
      <c r="DP87" s="292"/>
      <c r="DQ87" s="292"/>
      <c r="DR87" s="292"/>
      <c r="DS87" s="292"/>
      <c r="DT87" s="292"/>
      <c r="DU87" s="292"/>
      <c r="DV87" s="292"/>
      <c r="DW87" s="292"/>
      <c r="DX87" s="292"/>
      <c r="DY87" s="292"/>
      <c r="DZ87" s="292"/>
      <c r="EA87" s="292"/>
      <c r="EB87" s="292"/>
      <c r="EC87" s="292"/>
      <c r="ED87" s="292"/>
      <c r="EE87" s="292"/>
      <c r="EF87" s="292"/>
      <c r="EG87" s="292"/>
      <c r="EH87" s="292"/>
      <c r="EI87" s="292"/>
      <c r="EJ87" s="292"/>
      <c r="EK87" s="292"/>
      <c r="EL87" s="292"/>
      <c r="EM87" s="292"/>
      <c r="EN87" s="292"/>
      <c r="EO87" s="292"/>
      <c r="EP87" s="292"/>
      <c r="EQ87" s="292"/>
      <c r="ER87" s="292"/>
      <c r="ES87" s="292"/>
      <c r="ET87" s="292"/>
      <c r="EU87" s="292"/>
      <c r="EV87" s="292"/>
      <c r="EW87" s="292"/>
      <c r="EX87" s="292"/>
      <c r="EY87" s="292"/>
      <c r="EZ87" s="292"/>
      <c r="FA87" s="292"/>
      <c r="FB87" s="292"/>
      <c r="FC87" s="292"/>
      <c r="FD87" s="292"/>
      <c r="FE87" s="292"/>
      <c r="FF87" s="292"/>
      <c r="FG87" s="292"/>
      <c r="FH87" s="292"/>
      <c r="FI87" s="292"/>
      <c r="FJ87" s="292"/>
      <c r="FK87" s="292"/>
      <c r="FL87" s="292"/>
      <c r="FM87" s="292"/>
      <c r="FN87" s="292"/>
      <c r="FO87" s="292"/>
      <c r="FP87" s="292"/>
      <c r="FQ87" s="292"/>
      <c r="FR87" s="292"/>
      <c r="FS87" s="292"/>
      <c r="FT87" s="292"/>
      <c r="FU87" s="292"/>
      <c r="FV87" s="292"/>
      <c r="FW87" s="292"/>
      <c r="FX87" s="292"/>
      <c r="FY87" s="292"/>
      <c r="FZ87" s="292"/>
      <c r="GA87" s="292"/>
      <c r="GB87" s="292"/>
      <c r="GC87" s="292"/>
      <c r="GD87" s="292"/>
      <c r="GE87" s="292"/>
      <c r="GF87" s="292"/>
      <c r="GG87" s="292"/>
      <c r="GH87" s="292"/>
      <c r="GI87" s="292"/>
      <c r="GJ87" s="292"/>
      <c r="GK87" s="292"/>
      <c r="GL87" s="292"/>
      <c r="GM87" s="292"/>
      <c r="GN87" s="292"/>
      <c r="GO87" s="292"/>
      <c r="GP87" s="292"/>
      <c r="GQ87" s="292"/>
      <c r="GR87" s="292"/>
      <c r="GS87" s="292"/>
      <c r="GT87" s="292"/>
      <c r="GU87" s="292"/>
      <c r="GV87" s="292"/>
      <c r="GW87" s="292"/>
      <c r="GX87" s="292"/>
      <c r="GY87" s="292"/>
      <c r="GZ87" s="292"/>
      <c r="HA87" s="292"/>
      <c r="HB87" s="292"/>
      <c r="HC87" s="292"/>
      <c r="HD87" s="292"/>
      <c r="HE87" s="292"/>
      <c r="HF87" s="292"/>
      <c r="HG87" s="292"/>
      <c r="HH87" s="292"/>
      <c r="HI87" s="292"/>
      <c r="HJ87" s="292"/>
      <c r="HK87" s="292"/>
      <c r="HL87" s="292"/>
      <c r="HM87" s="292"/>
      <c r="HN87" s="292"/>
      <c r="HO87" s="292"/>
      <c r="HP87" s="292"/>
      <c r="HQ87" s="292"/>
      <c r="HR87" s="292"/>
      <c r="HS87" s="292"/>
      <c r="HT87" s="292"/>
      <c r="HU87" s="292"/>
      <c r="HV87" s="292"/>
      <c r="HW87" s="292"/>
      <c r="HX87" s="292"/>
      <c r="HY87" s="292"/>
      <c r="HZ87" s="292"/>
      <c r="IA87" s="292"/>
      <c r="IB87" s="292"/>
      <c r="IC87" s="292"/>
      <c r="ID87" s="292"/>
      <c r="IE87" s="292"/>
      <c r="IF87" s="292"/>
      <c r="IG87" s="292"/>
      <c r="IH87" s="292"/>
      <c r="II87" s="292"/>
      <c r="IJ87" s="292"/>
      <c r="IK87" s="292"/>
      <c r="IL87" s="292"/>
      <c r="IM87" s="292"/>
      <c r="IN87" s="292"/>
    </row>
    <row r="88" spans="1:248" ht="50.25" customHeight="1">
      <c r="A88" s="280" t="s">
        <v>463</v>
      </c>
      <c r="B88" s="281" t="s">
        <v>361</v>
      </c>
      <c r="C88" s="282">
        <f>1290-328.58109+20.7</f>
        <v>982.11891</v>
      </c>
      <c r="D88" s="282">
        <v>982.11891</v>
      </c>
      <c r="E88" s="282">
        <f t="shared" si="1"/>
        <v>100</v>
      </c>
      <c r="F88" s="291"/>
      <c r="G88" s="291"/>
      <c r="H88" s="291"/>
      <c r="I88" s="291"/>
      <c r="J88" s="292"/>
      <c r="K88" s="292"/>
      <c r="L88" s="292"/>
      <c r="M88" s="292"/>
      <c r="N88" s="292"/>
      <c r="O88" s="292"/>
      <c r="P88" s="292"/>
      <c r="Q88" s="292"/>
      <c r="R88" s="292"/>
      <c r="S88" s="292"/>
      <c r="T88" s="292"/>
      <c r="U88" s="292"/>
      <c r="V88" s="292"/>
      <c r="W88" s="292"/>
      <c r="X88" s="292"/>
      <c r="Y88" s="292"/>
      <c r="Z88" s="292"/>
      <c r="AA88" s="292"/>
      <c r="AB88" s="292"/>
      <c r="AC88" s="292"/>
      <c r="AD88" s="292"/>
      <c r="AE88" s="292"/>
      <c r="AF88" s="292"/>
      <c r="AG88" s="292"/>
      <c r="AH88" s="292"/>
      <c r="AI88" s="292"/>
      <c r="AJ88" s="292"/>
      <c r="AK88" s="292"/>
      <c r="AL88" s="292"/>
      <c r="AM88" s="292"/>
      <c r="AN88" s="292"/>
      <c r="AO88" s="292"/>
      <c r="AP88" s="292"/>
      <c r="AQ88" s="292"/>
      <c r="AR88" s="292"/>
      <c r="AS88" s="292"/>
      <c r="AT88" s="292"/>
      <c r="AU88" s="292"/>
      <c r="AV88" s="292"/>
      <c r="AW88" s="292"/>
      <c r="AX88" s="292"/>
      <c r="AY88" s="292"/>
      <c r="AZ88" s="292"/>
      <c r="BA88" s="292"/>
      <c r="BB88" s="292"/>
      <c r="BC88" s="292"/>
      <c r="BD88" s="292"/>
      <c r="BE88" s="292"/>
      <c r="BF88" s="292"/>
      <c r="BG88" s="292"/>
      <c r="BH88" s="292"/>
      <c r="BI88" s="292"/>
      <c r="BJ88" s="292"/>
      <c r="BK88" s="292"/>
      <c r="BL88" s="292"/>
      <c r="BM88" s="292"/>
      <c r="BN88" s="292"/>
      <c r="BO88" s="292"/>
      <c r="BP88" s="292"/>
      <c r="BQ88" s="292"/>
      <c r="BR88" s="292"/>
      <c r="BS88" s="292"/>
      <c r="BT88" s="292"/>
      <c r="BU88" s="292"/>
      <c r="BV88" s="292"/>
      <c r="BW88" s="292"/>
      <c r="BX88" s="292"/>
      <c r="BY88" s="292"/>
      <c r="BZ88" s="292"/>
      <c r="CA88" s="292"/>
      <c r="CB88" s="292"/>
      <c r="CC88" s="292"/>
      <c r="CD88" s="292"/>
      <c r="CE88" s="292"/>
      <c r="CF88" s="292"/>
      <c r="CG88" s="292"/>
      <c r="CH88" s="292"/>
      <c r="CI88" s="292"/>
      <c r="CJ88" s="292"/>
      <c r="CK88" s="292"/>
      <c r="CL88" s="292"/>
      <c r="CM88" s="292"/>
      <c r="CN88" s="292"/>
      <c r="CO88" s="292"/>
      <c r="CP88" s="292"/>
      <c r="CQ88" s="292"/>
      <c r="CR88" s="292"/>
      <c r="CS88" s="292"/>
      <c r="CT88" s="292"/>
      <c r="CU88" s="292"/>
      <c r="CV88" s="292"/>
      <c r="CW88" s="292"/>
      <c r="CX88" s="292"/>
      <c r="CY88" s="292"/>
      <c r="CZ88" s="292"/>
      <c r="DA88" s="292"/>
      <c r="DB88" s="292"/>
      <c r="DC88" s="292"/>
      <c r="DD88" s="292"/>
      <c r="DE88" s="292"/>
      <c r="DF88" s="292"/>
      <c r="DG88" s="292"/>
      <c r="DH88" s="292"/>
      <c r="DI88" s="292"/>
      <c r="DJ88" s="292"/>
      <c r="DK88" s="292"/>
      <c r="DL88" s="292"/>
      <c r="DM88" s="292"/>
      <c r="DN88" s="292"/>
      <c r="DO88" s="292"/>
      <c r="DP88" s="292"/>
      <c r="DQ88" s="292"/>
      <c r="DR88" s="292"/>
      <c r="DS88" s="292"/>
      <c r="DT88" s="292"/>
      <c r="DU88" s="292"/>
      <c r="DV88" s="292"/>
      <c r="DW88" s="292"/>
      <c r="DX88" s="292"/>
      <c r="DY88" s="292"/>
      <c r="DZ88" s="292"/>
      <c r="EA88" s="292"/>
      <c r="EB88" s="292"/>
      <c r="EC88" s="292"/>
      <c r="ED88" s="292"/>
      <c r="EE88" s="292"/>
      <c r="EF88" s="292"/>
      <c r="EG88" s="292"/>
      <c r="EH88" s="292"/>
      <c r="EI88" s="292"/>
      <c r="EJ88" s="292"/>
      <c r="EK88" s="292"/>
      <c r="EL88" s="292"/>
      <c r="EM88" s="292"/>
      <c r="EN88" s="292"/>
      <c r="EO88" s="292"/>
      <c r="EP88" s="292"/>
      <c r="EQ88" s="292"/>
      <c r="ER88" s="292"/>
      <c r="ES88" s="292"/>
      <c r="ET88" s="292"/>
      <c r="EU88" s="292"/>
      <c r="EV88" s="292"/>
      <c r="EW88" s="292"/>
      <c r="EX88" s="292"/>
      <c r="EY88" s="292"/>
      <c r="EZ88" s="292"/>
      <c r="FA88" s="292"/>
      <c r="FB88" s="292"/>
      <c r="FC88" s="292"/>
      <c r="FD88" s="292"/>
      <c r="FE88" s="292"/>
      <c r="FF88" s="292"/>
      <c r="FG88" s="292"/>
      <c r="FH88" s="292"/>
      <c r="FI88" s="292"/>
      <c r="FJ88" s="292"/>
      <c r="FK88" s="292"/>
      <c r="FL88" s="292"/>
      <c r="FM88" s="292"/>
      <c r="FN88" s="292"/>
      <c r="FO88" s="292"/>
      <c r="FP88" s="292"/>
      <c r="FQ88" s="292"/>
      <c r="FR88" s="292"/>
      <c r="FS88" s="292"/>
      <c r="FT88" s="292"/>
      <c r="FU88" s="292"/>
      <c r="FV88" s="292"/>
      <c r="FW88" s="292"/>
      <c r="FX88" s="292"/>
      <c r="FY88" s="292"/>
      <c r="FZ88" s="292"/>
      <c r="GA88" s="292"/>
      <c r="GB88" s="292"/>
      <c r="GC88" s="292"/>
      <c r="GD88" s="292"/>
      <c r="GE88" s="292"/>
      <c r="GF88" s="292"/>
      <c r="GG88" s="292"/>
      <c r="GH88" s="292"/>
      <c r="GI88" s="292"/>
      <c r="GJ88" s="292"/>
      <c r="GK88" s="292"/>
      <c r="GL88" s="292"/>
      <c r="GM88" s="292"/>
      <c r="GN88" s="292"/>
      <c r="GO88" s="292"/>
      <c r="GP88" s="292"/>
      <c r="GQ88" s="292"/>
      <c r="GR88" s="292"/>
      <c r="GS88" s="292"/>
      <c r="GT88" s="292"/>
      <c r="GU88" s="292"/>
      <c r="GV88" s="292"/>
      <c r="GW88" s="292"/>
      <c r="GX88" s="292"/>
      <c r="GY88" s="292"/>
      <c r="GZ88" s="292"/>
      <c r="HA88" s="292"/>
      <c r="HB88" s="292"/>
      <c r="HC88" s="292"/>
      <c r="HD88" s="292"/>
      <c r="HE88" s="292"/>
      <c r="HF88" s="292"/>
      <c r="HG88" s="292"/>
      <c r="HH88" s="292"/>
      <c r="HI88" s="292"/>
      <c r="HJ88" s="292"/>
      <c r="HK88" s="292"/>
      <c r="HL88" s="292"/>
      <c r="HM88" s="292"/>
      <c r="HN88" s="292"/>
      <c r="HO88" s="292"/>
      <c r="HP88" s="292"/>
      <c r="HQ88" s="292"/>
      <c r="HR88" s="292"/>
      <c r="HS88" s="292"/>
      <c r="HT88" s="292"/>
      <c r="HU88" s="292"/>
      <c r="HV88" s="292"/>
      <c r="HW88" s="292"/>
      <c r="HX88" s="292"/>
      <c r="HY88" s="292"/>
      <c r="HZ88" s="292"/>
      <c r="IA88" s="292"/>
      <c r="IB88" s="292"/>
      <c r="IC88" s="292"/>
      <c r="ID88" s="292"/>
      <c r="IE88" s="292"/>
      <c r="IF88" s="292"/>
      <c r="IG88" s="292"/>
      <c r="IH88" s="292"/>
      <c r="II88" s="292"/>
      <c r="IJ88" s="292"/>
      <c r="IK88" s="292"/>
      <c r="IL88" s="292"/>
      <c r="IM88" s="292"/>
      <c r="IN88" s="292"/>
    </row>
    <row r="89" spans="1:248" ht="50.25" customHeight="1">
      <c r="A89" s="287" t="s">
        <v>660</v>
      </c>
      <c r="B89" s="288" t="s">
        <v>659</v>
      </c>
      <c r="C89" s="290">
        <v>0</v>
      </c>
      <c r="D89" s="289">
        <v>-1632.04</v>
      </c>
      <c r="E89" s="289" t="e">
        <f t="shared" si="1"/>
        <v>#DIV/0!</v>
      </c>
      <c r="F89" s="291"/>
      <c r="G89" s="291"/>
      <c r="H89" s="291"/>
      <c r="I89" s="291"/>
      <c r="J89" s="292"/>
      <c r="K89" s="292"/>
      <c r="L89" s="292"/>
      <c r="M89" s="292"/>
      <c r="N89" s="292"/>
      <c r="O89" s="292"/>
      <c r="P89" s="292"/>
      <c r="Q89" s="292"/>
      <c r="R89" s="292"/>
      <c r="S89" s="292"/>
      <c r="T89" s="292"/>
      <c r="U89" s="292"/>
      <c r="V89" s="292"/>
      <c r="W89" s="292"/>
      <c r="X89" s="292"/>
      <c r="Y89" s="292"/>
      <c r="Z89" s="292"/>
      <c r="AA89" s="292"/>
      <c r="AB89" s="292"/>
      <c r="AC89" s="292"/>
      <c r="AD89" s="292"/>
      <c r="AE89" s="292"/>
      <c r="AF89" s="292"/>
      <c r="AG89" s="292"/>
      <c r="AH89" s="292"/>
      <c r="AI89" s="292"/>
      <c r="AJ89" s="292"/>
      <c r="AK89" s="292"/>
      <c r="AL89" s="292"/>
      <c r="AM89" s="292"/>
      <c r="AN89" s="292"/>
      <c r="AO89" s="292"/>
      <c r="AP89" s="292"/>
      <c r="AQ89" s="292"/>
      <c r="AR89" s="292"/>
      <c r="AS89" s="292"/>
      <c r="AT89" s="292"/>
      <c r="AU89" s="292"/>
      <c r="AV89" s="292"/>
      <c r="AW89" s="292"/>
      <c r="AX89" s="292"/>
      <c r="AY89" s="292"/>
      <c r="AZ89" s="292"/>
      <c r="BA89" s="292"/>
      <c r="BB89" s="292"/>
      <c r="BC89" s="292"/>
      <c r="BD89" s="292"/>
      <c r="BE89" s="292"/>
      <c r="BF89" s="292"/>
      <c r="BG89" s="292"/>
      <c r="BH89" s="292"/>
      <c r="BI89" s="292"/>
      <c r="BJ89" s="292"/>
      <c r="BK89" s="292"/>
      <c r="BL89" s="292"/>
      <c r="BM89" s="292"/>
      <c r="BN89" s="292"/>
      <c r="BO89" s="292"/>
      <c r="BP89" s="292"/>
      <c r="BQ89" s="292"/>
      <c r="BR89" s="292"/>
      <c r="BS89" s="292"/>
      <c r="BT89" s="292"/>
      <c r="BU89" s="292"/>
      <c r="BV89" s="292"/>
      <c r="BW89" s="292"/>
      <c r="BX89" s="292"/>
      <c r="BY89" s="292"/>
      <c r="BZ89" s="292"/>
      <c r="CA89" s="292"/>
      <c r="CB89" s="292"/>
      <c r="CC89" s="292"/>
      <c r="CD89" s="292"/>
      <c r="CE89" s="292"/>
      <c r="CF89" s="292"/>
      <c r="CG89" s="292"/>
      <c r="CH89" s="292"/>
      <c r="CI89" s="292"/>
      <c r="CJ89" s="292"/>
      <c r="CK89" s="292"/>
      <c r="CL89" s="292"/>
      <c r="CM89" s="292"/>
      <c r="CN89" s="292"/>
      <c r="CO89" s="292"/>
      <c r="CP89" s="292"/>
      <c r="CQ89" s="292"/>
      <c r="CR89" s="292"/>
      <c r="CS89" s="292"/>
      <c r="CT89" s="292"/>
      <c r="CU89" s="292"/>
      <c r="CV89" s="292"/>
      <c r="CW89" s="292"/>
      <c r="CX89" s="292"/>
      <c r="CY89" s="292"/>
      <c r="CZ89" s="292"/>
      <c r="DA89" s="292"/>
      <c r="DB89" s="292"/>
      <c r="DC89" s="292"/>
      <c r="DD89" s="292"/>
      <c r="DE89" s="292"/>
      <c r="DF89" s="292"/>
      <c r="DG89" s="292"/>
      <c r="DH89" s="292"/>
      <c r="DI89" s="292"/>
      <c r="DJ89" s="292"/>
      <c r="DK89" s="292"/>
      <c r="DL89" s="292"/>
      <c r="DM89" s="292"/>
      <c r="DN89" s="292"/>
      <c r="DO89" s="292"/>
      <c r="DP89" s="292"/>
      <c r="DQ89" s="292"/>
      <c r="DR89" s="292"/>
      <c r="DS89" s="292"/>
      <c r="DT89" s="292"/>
      <c r="DU89" s="292"/>
      <c r="DV89" s="292"/>
      <c r="DW89" s="292"/>
      <c r="DX89" s="292"/>
      <c r="DY89" s="292"/>
      <c r="DZ89" s="292"/>
      <c r="EA89" s="292"/>
      <c r="EB89" s="292"/>
      <c r="EC89" s="292"/>
      <c r="ED89" s="292"/>
      <c r="EE89" s="292"/>
      <c r="EF89" s="292"/>
      <c r="EG89" s="292"/>
      <c r="EH89" s="292"/>
      <c r="EI89" s="292"/>
      <c r="EJ89" s="292"/>
      <c r="EK89" s="292"/>
      <c r="EL89" s="292"/>
      <c r="EM89" s="292"/>
      <c r="EN89" s="292"/>
      <c r="EO89" s="292"/>
      <c r="EP89" s="292"/>
      <c r="EQ89" s="292"/>
      <c r="ER89" s="292"/>
      <c r="ES89" s="292"/>
      <c r="ET89" s="292"/>
      <c r="EU89" s="292"/>
      <c r="EV89" s="292"/>
      <c r="EW89" s="292"/>
      <c r="EX89" s="292"/>
      <c r="EY89" s="292"/>
      <c r="EZ89" s="292"/>
      <c r="FA89" s="292"/>
      <c r="FB89" s="292"/>
      <c r="FC89" s="292"/>
      <c r="FD89" s="292"/>
      <c r="FE89" s="292"/>
      <c r="FF89" s="292"/>
      <c r="FG89" s="292"/>
      <c r="FH89" s="292"/>
      <c r="FI89" s="292"/>
      <c r="FJ89" s="292"/>
      <c r="FK89" s="292"/>
      <c r="FL89" s="292"/>
      <c r="FM89" s="292"/>
      <c r="FN89" s="292"/>
      <c r="FO89" s="292"/>
      <c r="FP89" s="292"/>
      <c r="FQ89" s="292"/>
      <c r="FR89" s="292"/>
      <c r="FS89" s="292"/>
      <c r="FT89" s="292"/>
      <c r="FU89" s="292"/>
      <c r="FV89" s="292"/>
      <c r="FW89" s="292"/>
      <c r="FX89" s="292"/>
      <c r="FY89" s="292"/>
      <c r="FZ89" s="292"/>
      <c r="GA89" s="292"/>
      <c r="GB89" s="292"/>
      <c r="GC89" s="292"/>
      <c r="GD89" s="292"/>
      <c r="GE89" s="292"/>
      <c r="GF89" s="292"/>
      <c r="GG89" s="292"/>
      <c r="GH89" s="292"/>
      <c r="GI89" s="292"/>
      <c r="GJ89" s="292"/>
      <c r="GK89" s="292"/>
      <c r="GL89" s="292"/>
      <c r="GM89" s="292"/>
      <c r="GN89" s="292"/>
      <c r="GO89" s="292"/>
      <c r="GP89" s="292"/>
      <c r="GQ89" s="292"/>
      <c r="GR89" s="292"/>
      <c r="GS89" s="292"/>
      <c r="GT89" s="292"/>
      <c r="GU89" s="292"/>
      <c r="GV89" s="292"/>
      <c r="GW89" s="292"/>
      <c r="GX89" s="292"/>
      <c r="GY89" s="292"/>
      <c r="GZ89" s="292"/>
      <c r="HA89" s="292"/>
      <c r="HB89" s="292"/>
      <c r="HC89" s="292"/>
      <c r="HD89" s="292"/>
      <c r="HE89" s="292"/>
      <c r="HF89" s="292"/>
      <c r="HG89" s="292"/>
      <c r="HH89" s="292"/>
      <c r="HI89" s="292"/>
      <c r="HJ89" s="292"/>
      <c r="HK89" s="292"/>
      <c r="HL89" s="292"/>
      <c r="HM89" s="292"/>
      <c r="HN89" s="292"/>
      <c r="HO89" s="292"/>
      <c r="HP89" s="292"/>
      <c r="HQ89" s="292"/>
      <c r="HR89" s="292"/>
      <c r="HS89" s="292"/>
      <c r="HT89" s="292"/>
      <c r="HU89" s="292"/>
      <c r="HV89" s="292"/>
      <c r="HW89" s="292"/>
      <c r="HX89" s="292"/>
      <c r="HY89" s="292"/>
      <c r="HZ89" s="292"/>
      <c r="IA89" s="292"/>
      <c r="IB89" s="292"/>
      <c r="IC89" s="292"/>
      <c r="ID89" s="292"/>
      <c r="IE89" s="292"/>
      <c r="IF89" s="292"/>
      <c r="IG89" s="292"/>
      <c r="IH89" s="292"/>
      <c r="II89" s="292"/>
      <c r="IJ89" s="292"/>
      <c r="IK89" s="292"/>
      <c r="IL89" s="292"/>
      <c r="IM89" s="292"/>
      <c r="IN89" s="292"/>
    </row>
    <row r="90" spans="1:9" ht="12.75">
      <c r="A90" s="280"/>
      <c r="B90" s="276" t="s">
        <v>227</v>
      </c>
      <c r="C90" s="277">
        <f>C10+C45</f>
        <v>698743.10644</v>
      </c>
      <c r="D90" s="277">
        <v>700215.64</v>
      </c>
      <c r="E90" s="278">
        <f t="shared" si="1"/>
        <v>100.21074033452757</v>
      </c>
      <c r="F90" s="279"/>
      <c r="G90" s="279"/>
      <c r="H90" s="279"/>
      <c r="I90" s="279"/>
    </row>
    <row r="91" spans="2:9" ht="12.75">
      <c r="B91" s="294"/>
      <c r="F91" s="279"/>
      <c r="G91" s="279"/>
      <c r="H91" s="279"/>
      <c r="I91" s="279"/>
    </row>
    <row r="92" spans="2:9" ht="12.75">
      <c r="B92" s="295"/>
      <c r="E92" s="271"/>
      <c r="F92" s="279"/>
      <c r="G92" s="279"/>
      <c r="H92" s="279"/>
      <c r="I92" s="279"/>
    </row>
    <row r="93" spans="2:9" ht="12.75">
      <c r="B93" s="295"/>
      <c r="E93" s="271"/>
      <c r="F93" s="279"/>
      <c r="G93" s="279"/>
      <c r="H93" s="279"/>
      <c r="I93" s="279"/>
    </row>
  </sheetData>
  <sheetProtection/>
  <mergeCells count="10">
    <mergeCell ref="C1:E1"/>
    <mergeCell ref="C2:E2"/>
    <mergeCell ref="C3:E3"/>
    <mergeCell ref="C4:E4"/>
    <mergeCell ref="A6:E6"/>
    <mergeCell ref="A8:A9"/>
    <mergeCell ref="B8:B9"/>
    <mergeCell ref="C8:C9"/>
    <mergeCell ref="D8:D9"/>
    <mergeCell ref="E8:E9"/>
  </mergeCells>
  <printOptions/>
  <pageMargins left="0.7" right="0.7" top="0.75" bottom="0.75" header="0.3" footer="0.3"/>
  <pageSetup horizontalDpi="600" verticalDpi="600" orientation="portrait" paperSize="9" scale="55" r:id="rId1"/>
  <rowBreaks count="1" manualBreakCount="1">
    <brk id="55" max="255" man="1"/>
  </rowBreaks>
</worksheet>
</file>

<file path=xl/worksheets/sheet3.xml><?xml version="1.0" encoding="utf-8"?>
<worksheet xmlns="http://schemas.openxmlformats.org/spreadsheetml/2006/main" xmlns:r="http://schemas.openxmlformats.org/officeDocument/2006/relationships">
  <sheetPr>
    <tabColor rgb="FF00B050"/>
  </sheetPr>
  <dimension ref="A1:N772"/>
  <sheetViews>
    <sheetView view="pageBreakPreview" zoomScale="55" zoomScaleSheetLayoutView="55" workbookViewId="0" topLeftCell="A645">
      <selection activeCell="A446" sqref="A427:A446"/>
    </sheetView>
  </sheetViews>
  <sheetFormatPr defaultColWidth="8.75390625" defaultRowHeight="12.75"/>
  <cols>
    <col min="1" max="1" width="46.00390625" style="130" customWidth="1"/>
    <col min="2" max="2" width="4.75390625" style="131" customWidth="1"/>
    <col min="3" max="3" width="5.375" style="131" customWidth="1"/>
    <col min="4" max="4" width="14.75390625" style="131" customWidth="1"/>
    <col min="5" max="5" width="5.625" style="131" customWidth="1"/>
    <col min="6" max="6" width="16.75390625" style="127" customWidth="1"/>
    <col min="7" max="7" width="18.75390625" style="170" customWidth="1"/>
    <col min="8" max="8" width="19.125" style="127" customWidth="1"/>
    <col min="9" max="10" width="15.375" style="127" bestFit="1" customWidth="1"/>
    <col min="11" max="11" width="19.375" style="127" customWidth="1"/>
    <col min="12" max="12" width="13.875" style="127" customWidth="1"/>
    <col min="13" max="16384" width="8.75390625" style="127" customWidth="1"/>
  </cols>
  <sheetData>
    <row r="1" spans="1:14" ht="15.75">
      <c r="A1" s="127"/>
      <c r="B1" s="127"/>
      <c r="C1" s="127"/>
      <c r="D1" s="127"/>
      <c r="E1" s="127"/>
      <c r="H1" s="162" t="s">
        <v>756</v>
      </c>
      <c r="I1" s="161"/>
      <c r="J1" s="161"/>
      <c r="K1" s="161"/>
      <c r="L1" s="161"/>
      <c r="M1" s="161"/>
      <c r="N1" s="161"/>
    </row>
    <row r="2" spans="1:14" ht="15.75">
      <c r="A2" s="127"/>
      <c r="B2" s="127"/>
      <c r="C2" s="127"/>
      <c r="D2" s="127"/>
      <c r="E2" s="127"/>
      <c r="G2" s="311" t="s">
        <v>312</v>
      </c>
      <c r="H2" s="311"/>
      <c r="I2" s="161"/>
      <c r="J2" s="161"/>
      <c r="K2" s="161"/>
      <c r="L2" s="161"/>
      <c r="M2" s="161"/>
      <c r="N2" s="161"/>
    </row>
    <row r="3" spans="1:14" ht="15.75">
      <c r="A3" s="127"/>
      <c r="B3" s="127"/>
      <c r="C3" s="127"/>
      <c r="D3" s="127"/>
      <c r="E3" s="127"/>
      <c r="F3" s="312" t="s">
        <v>313</v>
      </c>
      <c r="G3" s="312"/>
      <c r="H3" s="312"/>
      <c r="I3" s="161"/>
      <c r="J3" s="161"/>
      <c r="K3" s="161"/>
      <c r="L3" s="161"/>
      <c r="M3" s="161"/>
      <c r="N3" s="161"/>
    </row>
    <row r="4" spans="1:14" ht="15.75" customHeight="1">
      <c r="A4" s="127"/>
      <c r="B4" s="127"/>
      <c r="C4" s="127"/>
      <c r="D4" s="127"/>
      <c r="E4" s="127"/>
      <c r="G4" s="171" t="s">
        <v>666</v>
      </c>
      <c r="H4" s="163"/>
      <c r="I4" s="163"/>
      <c r="J4" s="162"/>
      <c r="K4" s="162"/>
      <c r="L4" s="162"/>
      <c r="M4" s="162"/>
      <c r="N4" s="162"/>
    </row>
    <row r="6" spans="1:6" ht="15.75">
      <c r="A6" s="314" t="s">
        <v>314</v>
      </c>
      <c r="B6" s="314"/>
      <c r="C6" s="314"/>
      <c r="D6" s="314"/>
      <c r="E6" s="314"/>
      <c r="F6" s="314"/>
    </row>
    <row r="7" spans="1:7" ht="15.75">
      <c r="A7" s="314" t="s">
        <v>761</v>
      </c>
      <c r="B7" s="314"/>
      <c r="C7" s="314"/>
      <c r="D7" s="314"/>
      <c r="E7" s="314"/>
      <c r="F7" s="314"/>
      <c r="G7" s="314"/>
    </row>
    <row r="8" spans="1:7" ht="15.75">
      <c r="A8" s="314" t="s">
        <v>92</v>
      </c>
      <c r="B8" s="314"/>
      <c r="C8" s="314"/>
      <c r="D8" s="314"/>
      <c r="E8" s="314"/>
      <c r="F8" s="314"/>
      <c r="G8" s="314"/>
    </row>
    <row r="9" spans="1:6" ht="15.75">
      <c r="A9" s="132"/>
      <c r="B9" s="132"/>
      <c r="C9" s="133"/>
      <c r="D9" s="133"/>
      <c r="E9" s="133"/>
      <c r="F9" s="133"/>
    </row>
    <row r="10" spans="1:8" ht="26.25" customHeight="1">
      <c r="A10" s="313" t="s">
        <v>262</v>
      </c>
      <c r="B10" s="313" t="s">
        <v>99</v>
      </c>
      <c r="C10" s="313" t="s">
        <v>100</v>
      </c>
      <c r="D10" s="313" t="s">
        <v>264</v>
      </c>
      <c r="E10" s="313" t="s">
        <v>101</v>
      </c>
      <c r="F10" s="313" t="s">
        <v>667</v>
      </c>
      <c r="G10" s="309" t="s">
        <v>757</v>
      </c>
      <c r="H10" s="310" t="s">
        <v>758</v>
      </c>
    </row>
    <row r="11" spans="1:8" ht="23.25" customHeight="1">
      <c r="A11" s="313"/>
      <c r="B11" s="313"/>
      <c r="C11" s="313"/>
      <c r="D11" s="313"/>
      <c r="E11" s="313"/>
      <c r="F11" s="313"/>
      <c r="G11" s="309"/>
      <c r="H11" s="310"/>
    </row>
    <row r="12" spans="1:8" s="134" customFormat="1" ht="15.75">
      <c r="A12" s="72">
        <v>1</v>
      </c>
      <c r="B12" s="72">
        <v>2</v>
      </c>
      <c r="C12" s="72">
        <v>3</v>
      </c>
      <c r="D12" s="72">
        <v>4</v>
      </c>
      <c r="E12" s="72">
        <v>5</v>
      </c>
      <c r="F12" s="72">
        <v>6</v>
      </c>
      <c r="G12" s="81"/>
      <c r="H12" s="160"/>
    </row>
    <row r="13" spans="1:8" s="135" customFormat="1" ht="15.75">
      <c r="A13" s="73" t="s">
        <v>102</v>
      </c>
      <c r="B13" s="74" t="s">
        <v>103</v>
      </c>
      <c r="C13" s="74" t="s">
        <v>104</v>
      </c>
      <c r="D13" s="74" t="s">
        <v>243</v>
      </c>
      <c r="E13" s="74" t="s">
        <v>315</v>
      </c>
      <c r="F13" s="75">
        <f>F14+F20+F35+F48+F68+F74+F45</f>
        <v>75306.54715000001</v>
      </c>
      <c r="G13" s="75">
        <f>G14+G20+G35+G48+G68+G74+G45</f>
        <v>69042.09443000001</v>
      </c>
      <c r="H13" s="164">
        <f aca="true" t="shared" si="0" ref="H13:H21">G13/F13</f>
        <v>0.9168139696071566</v>
      </c>
    </row>
    <row r="14" spans="1:9" s="137" customFormat="1" ht="63">
      <c r="A14" s="76" t="s">
        <v>269</v>
      </c>
      <c r="B14" s="77" t="s">
        <v>103</v>
      </c>
      <c r="C14" s="77" t="s">
        <v>105</v>
      </c>
      <c r="D14" s="77" t="s">
        <v>243</v>
      </c>
      <c r="E14" s="77" t="s">
        <v>315</v>
      </c>
      <c r="F14" s="78">
        <f aca="true" t="shared" si="1" ref="F14:G18">F15</f>
        <v>2618.2859999999996</v>
      </c>
      <c r="G14" s="78">
        <f t="shared" si="1"/>
        <v>2611.88484</v>
      </c>
      <c r="H14" s="267">
        <f t="shared" si="0"/>
        <v>0.9975552097822776</v>
      </c>
      <c r="I14" s="136"/>
    </row>
    <row r="15" spans="1:8" ht="31.5">
      <c r="A15" s="79" t="s">
        <v>106</v>
      </c>
      <c r="B15" s="80" t="s">
        <v>103</v>
      </c>
      <c r="C15" s="80" t="s">
        <v>105</v>
      </c>
      <c r="D15" s="80" t="s">
        <v>7</v>
      </c>
      <c r="E15" s="80" t="s">
        <v>315</v>
      </c>
      <c r="F15" s="81">
        <f t="shared" si="1"/>
        <v>2618.2859999999996</v>
      </c>
      <c r="G15" s="81">
        <f t="shared" si="1"/>
        <v>2611.88484</v>
      </c>
      <c r="H15" s="166">
        <f t="shared" si="0"/>
        <v>0.9975552097822776</v>
      </c>
    </row>
    <row r="16" spans="1:8" ht="47.25">
      <c r="A16" s="79" t="s">
        <v>107</v>
      </c>
      <c r="B16" s="80" t="s">
        <v>103</v>
      </c>
      <c r="C16" s="80" t="s">
        <v>105</v>
      </c>
      <c r="D16" s="80" t="s">
        <v>8</v>
      </c>
      <c r="E16" s="80" t="s">
        <v>315</v>
      </c>
      <c r="F16" s="81">
        <f t="shared" si="1"/>
        <v>2618.2859999999996</v>
      </c>
      <c r="G16" s="81">
        <f t="shared" si="1"/>
        <v>2611.88484</v>
      </c>
      <c r="H16" s="166">
        <f t="shared" si="0"/>
        <v>0.9975552097822776</v>
      </c>
    </row>
    <row r="17" spans="1:8" s="138" customFormat="1" ht="15.75">
      <c r="A17" s="82" t="s">
        <v>320</v>
      </c>
      <c r="B17" s="83" t="s">
        <v>103</v>
      </c>
      <c r="C17" s="83" t="s">
        <v>105</v>
      </c>
      <c r="D17" s="83" t="s">
        <v>9</v>
      </c>
      <c r="E17" s="83" t="s">
        <v>315</v>
      </c>
      <c r="F17" s="84">
        <f t="shared" si="1"/>
        <v>2618.2859999999996</v>
      </c>
      <c r="G17" s="84">
        <f t="shared" si="1"/>
        <v>2611.88484</v>
      </c>
      <c r="H17" s="166">
        <f t="shared" si="0"/>
        <v>0.9975552097822776</v>
      </c>
    </row>
    <row r="18" spans="1:8" ht="94.5">
      <c r="A18" s="79" t="s">
        <v>134</v>
      </c>
      <c r="B18" s="80" t="s">
        <v>103</v>
      </c>
      <c r="C18" s="80" t="s">
        <v>105</v>
      </c>
      <c r="D18" s="80" t="s">
        <v>9</v>
      </c>
      <c r="E18" s="80" t="s">
        <v>108</v>
      </c>
      <c r="F18" s="81">
        <f t="shared" si="1"/>
        <v>2618.2859999999996</v>
      </c>
      <c r="G18" s="81">
        <f t="shared" si="1"/>
        <v>2611.88484</v>
      </c>
      <c r="H18" s="166">
        <f t="shared" si="0"/>
        <v>0.9975552097822776</v>
      </c>
    </row>
    <row r="19" spans="1:8" ht="31.5">
      <c r="A19" s="79" t="s">
        <v>136</v>
      </c>
      <c r="B19" s="80" t="s">
        <v>103</v>
      </c>
      <c r="C19" s="80" t="s">
        <v>105</v>
      </c>
      <c r="D19" s="80" t="s">
        <v>9</v>
      </c>
      <c r="E19" s="80" t="s">
        <v>135</v>
      </c>
      <c r="F19" s="22">
        <f>1832.759+21+553.493+115.5+35+28.2+32.334</f>
        <v>2618.2859999999996</v>
      </c>
      <c r="G19" s="81">
        <v>2611.88484</v>
      </c>
      <c r="H19" s="166">
        <f t="shared" si="0"/>
        <v>0.9975552097822776</v>
      </c>
    </row>
    <row r="20" spans="1:8" s="137" customFormat="1" ht="78.75">
      <c r="A20" s="76" t="s">
        <v>109</v>
      </c>
      <c r="B20" s="77" t="s">
        <v>103</v>
      </c>
      <c r="C20" s="77" t="s">
        <v>110</v>
      </c>
      <c r="D20" s="77" t="s">
        <v>243</v>
      </c>
      <c r="E20" s="77" t="s">
        <v>315</v>
      </c>
      <c r="F20" s="78">
        <f>F21</f>
        <v>4497.21</v>
      </c>
      <c r="G20" s="78">
        <f>G21</f>
        <v>4405.60958</v>
      </c>
      <c r="H20" s="267">
        <f t="shared" si="0"/>
        <v>0.9796317227792343</v>
      </c>
    </row>
    <row r="21" spans="1:8" ht="31.5">
      <c r="A21" s="79" t="s">
        <v>106</v>
      </c>
      <c r="B21" s="80" t="s">
        <v>103</v>
      </c>
      <c r="C21" s="80" t="s">
        <v>110</v>
      </c>
      <c r="D21" s="80" t="s">
        <v>7</v>
      </c>
      <c r="E21" s="80" t="s">
        <v>315</v>
      </c>
      <c r="F21" s="81">
        <f>F22</f>
        <v>4497.21</v>
      </c>
      <c r="G21" s="81">
        <f>G22</f>
        <v>4405.60958</v>
      </c>
      <c r="H21" s="166">
        <f t="shared" si="0"/>
        <v>0.9796317227792343</v>
      </c>
    </row>
    <row r="22" spans="1:8" ht="47.25">
      <c r="A22" s="79" t="s">
        <v>107</v>
      </c>
      <c r="B22" s="80" t="s">
        <v>103</v>
      </c>
      <c r="C22" s="80" t="s">
        <v>110</v>
      </c>
      <c r="D22" s="80" t="s">
        <v>8</v>
      </c>
      <c r="E22" s="80" t="s">
        <v>315</v>
      </c>
      <c r="F22" s="81">
        <f>F28+F23</f>
        <v>4497.21</v>
      </c>
      <c r="G22" s="81">
        <f>G28+G23</f>
        <v>4405.60958</v>
      </c>
      <c r="H22" s="166">
        <f aca="true" t="shared" si="2" ref="H22:H34">G22/F22</f>
        <v>0.9796317227792343</v>
      </c>
    </row>
    <row r="23" spans="1:8" s="138" customFormat="1" ht="31.5">
      <c r="A23" s="82" t="s">
        <v>130</v>
      </c>
      <c r="B23" s="83" t="s">
        <v>103</v>
      </c>
      <c r="C23" s="83" t="s">
        <v>110</v>
      </c>
      <c r="D23" s="83" t="s">
        <v>10</v>
      </c>
      <c r="E23" s="83" t="s">
        <v>315</v>
      </c>
      <c r="F23" s="84">
        <f>F24+F26</f>
        <v>2149.7</v>
      </c>
      <c r="G23" s="84">
        <f>G24+G26</f>
        <v>2103.67925</v>
      </c>
      <c r="H23" s="166">
        <f t="shared" si="2"/>
        <v>0.978592012839001</v>
      </c>
    </row>
    <row r="24" spans="1:8" ht="94.5">
      <c r="A24" s="79" t="s">
        <v>134</v>
      </c>
      <c r="B24" s="80" t="s">
        <v>103</v>
      </c>
      <c r="C24" s="80" t="s">
        <v>110</v>
      </c>
      <c r="D24" s="80" t="s">
        <v>10</v>
      </c>
      <c r="E24" s="80" t="s">
        <v>108</v>
      </c>
      <c r="F24" s="22">
        <f>F25</f>
        <v>2149.7</v>
      </c>
      <c r="G24" s="22">
        <f>G25</f>
        <v>2103.67925</v>
      </c>
      <c r="H24" s="166">
        <f t="shared" si="2"/>
        <v>0.978592012839001</v>
      </c>
    </row>
    <row r="25" spans="1:8" ht="31.5">
      <c r="A25" s="79" t="s">
        <v>136</v>
      </c>
      <c r="B25" s="80" t="s">
        <v>103</v>
      </c>
      <c r="C25" s="80" t="s">
        <v>110</v>
      </c>
      <c r="D25" s="80" t="s">
        <v>10</v>
      </c>
      <c r="E25" s="80" t="s">
        <v>135</v>
      </c>
      <c r="F25" s="22">
        <f>1683.129+508.305+133.371+39.195+10.5+3.2-228</f>
        <v>2149.7</v>
      </c>
      <c r="G25" s="81">
        <v>2103.67925</v>
      </c>
      <c r="H25" s="166">
        <f t="shared" si="2"/>
        <v>0.978592012839001</v>
      </c>
    </row>
    <row r="26" spans="1:8" ht="31.5" hidden="1">
      <c r="A26" s="79" t="s">
        <v>137</v>
      </c>
      <c r="B26" s="80" t="s">
        <v>103</v>
      </c>
      <c r="C26" s="80" t="s">
        <v>110</v>
      </c>
      <c r="D26" s="80" t="s">
        <v>10</v>
      </c>
      <c r="E26" s="80" t="s">
        <v>112</v>
      </c>
      <c r="F26" s="22">
        <f>F27</f>
        <v>0</v>
      </c>
      <c r="G26" s="22">
        <f>G27</f>
        <v>0</v>
      </c>
      <c r="H26" s="166" t="e">
        <f t="shared" si="2"/>
        <v>#DIV/0!</v>
      </c>
    </row>
    <row r="27" spans="1:8" ht="47.25" hidden="1">
      <c r="A27" s="79" t="s">
        <v>138</v>
      </c>
      <c r="B27" s="80" t="s">
        <v>103</v>
      </c>
      <c r="C27" s="80" t="s">
        <v>110</v>
      </c>
      <c r="D27" s="80" t="s">
        <v>10</v>
      </c>
      <c r="E27" s="80" t="s">
        <v>139</v>
      </c>
      <c r="F27" s="22">
        <f>15-15</f>
        <v>0</v>
      </c>
      <c r="G27" s="81">
        <v>0</v>
      </c>
      <c r="H27" s="166" t="e">
        <f t="shared" si="2"/>
        <v>#DIV/0!</v>
      </c>
    </row>
    <row r="28" spans="1:8" s="138" customFormat="1" ht="47.25">
      <c r="A28" s="82" t="s">
        <v>111</v>
      </c>
      <c r="B28" s="83" t="s">
        <v>103</v>
      </c>
      <c r="C28" s="83" t="s">
        <v>110</v>
      </c>
      <c r="D28" s="83" t="s">
        <v>11</v>
      </c>
      <c r="E28" s="83" t="s">
        <v>315</v>
      </c>
      <c r="F28" s="23">
        <f>F29+F31+F33</f>
        <v>2347.51</v>
      </c>
      <c r="G28" s="23">
        <f>G29+G31+G33</f>
        <v>2301.93033</v>
      </c>
      <c r="H28" s="166">
        <f t="shared" si="2"/>
        <v>0.9805838228591145</v>
      </c>
    </row>
    <row r="29" spans="1:8" ht="94.5">
      <c r="A29" s="79" t="s">
        <v>134</v>
      </c>
      <c r="B29" s="80" t="s">
        <v>103</v>
      </c>
      <c r="C29" s="80" t="s">
        <v>110</v>
      </c>
      <c r="D29" s="80" t="s">
        <v>11</v>
      </c>
      <c r="E29" s="80" t="s">
        <v>108</v>
      </c>
      <c r="F29" s="22">
        <f>F30</f>
        <v>1088.1309999999999</v>
      </c>
      <c r="G29" s="22">
        <f>G30</f>
        <v>1048.87963</v>
      </c>
      <c r="H29" s="166">
        <f t="shared" si="2"/>
        <v>0.9639277164238498</v>
      </c>
    </row>
    <row r="30" spans="1:8" ht="31.5">
      <c r="A30" s="79" t="s">
        <v>136</v>
      </c>
      <c r="B30" s="80" t="s">
        <v>103</v>
      </c>
      <c r="C30" s="80" t="s">
        <v>110</v>
      </c>
      <c r="D30" s="80" t="s">
        <v>11</v>
      </c>
      <c r="E30" s="80" t="s">
        <v>135</v>
      </c>
      <c r="F30" s="22">
        <f>1883.548+568.831-890.779-133.371-39.195-238.553-77.35+15</f>
        <v>1088.1309999999999</v>
      </c>
      <c r="G30" s="81">
        <v>1048.87963</v>
      </c>
      <c r="H30" s="166">
        <f t="shared" si="2"/>
        <v>0.9639277164238498</v>
      </c>
    </row>
    <row r="31" spans="1:8" ht="31.5">
      <c r="A31" s="79" t="s">
        <v>137</v>
      </c>
      <c r="B31" s="80" t="s">
        <v>103</v>
      </c>
      <c r="C31" s="80" t="s">
        <v>110</v>
      </c>
      <c r="D31" s="80" t="s">
        <v>11</v>
      </c>
      <c r="E31" s="80" t="s">
        <v>112</v>
      </c>
      <c r="F31" s="22">
        <f>F32</f>
        <v>1254.3790000000001</v>
      </c>
      <c r="G31" s="22">
        <f>G32</f>
        <v>1249.5507</v>
      </c>
      <c r="H31" s="166">
        <f t="shared" si="2"/>
        <v>0.9961508443620308</v>
      </c>
    </row>
    <row r="32" spans="1:9" ht="47.25">
      <c r="A32" s="79" t="s">
        <v>138</v>
      </c>
      <c r="B32" s="80" t="s">
        <v>103</v>
      </c>
      <c r="C32" s="80" t="s">
        <v>110</v>
      </c>
      <c r="D32" s="80" t="s">
        <v>11</v>
      </c>
      <c r="E32" s="80" t="s">
        <v>139</v>
      </c>
      <c r="F32" s="22">
        <f>425.9+890.779-15-50-16+96-77.3</f>
        <v>1254.3790000000001</v>
      </c>
      <c r="G32" s="81">
        <v>1249.5507</v>
      </c>
      <c r="H32" s="166">
        <f t="shared" si="2"/>
        <v>0.9961508443620308</v>
      </c>
      <c r="I32" s="139"/>
    </row>
    <row r="33" spans="1:8" ht="15.75">
      <c r="A33" s="79" t="s">
        <v>142</v>
      </c>
      <c r="B33" s="80" t="s">
        <v>103</v>
      </c>
      <c r="C33" s="80" t="s">
        <v>110</v>
      </c>
      <c r="D33" s="80" t="s">
        <v>11</v>
      </c>
      <c r="E33" s="80" t="s">
        <v>143</v>
      </c>
      <c r="F33" s="22">
        <f>F34</f>
        <v>5</v>
      </c>
      <c r="G33" s="22">
        <f>G34</f>
        <v>3.5</v>
      </c>
      <c r="H33" s="166">
        <f t="shared" si="2"/>
        <v>0.7</v>
      </c>
    </row>
    <row r="34" spans="1:8" ht="15.75">
      <c r="A34" s="79" t="s">
        <v>140</v>
      </c>
      <c r="B34" s="80" t="s">
        <v>103</v>
      </c>
      <c r="C34" s="80" t="s">
        <v>110</v>
      </c>
      <c r="D34" s="80" t="s">
        <v>11</v>
      </c>
      <c r="E34" s="80" t="s">
        <v>141</v>
      </c>
      <c r="F34" s="81">
        <v>5</v>
      </c>
      <c r="G34" s="81">
        <v>3.5</v>
      </c>
      <c r="H34" s="166">
        <f t="shared" si="2"/>
        <v>0.7</v>
      </c>
    </row>
    <row r="35" spans="1:8" s="137" customFormat="1" ht="94.5">
      <c r="A35" s="76" t="s">
        <v>253</v>
      </c>
      <c r="B35" s="77" t="s">
        <v>103</v>
      </c>
      <c r="C35" s="77" t="s">
        <v>114</v>
      </c>
      <c r="D35" s="77" t="s">
        <v>243</v>
      </c>
      <c r="E35" s="77" t="s">
        <v>315</v>
      </c>
      <c r="F35" s="78">
        <f aca="true" t="shared" si="3" ref="F35:G37">F36</f>
        <v>37182.78654000001</v>
      </c>
      <c r="G35" s="78">
        <f t="shared" si="3"/>
        <v>35249.317769999994</v>
      </c>
      <c r="H35" s="267">
        <f>G35/F35</f>
        <v>0.9480009716883362</v>
      </c>
    </row>
    <row r="36" spans="1:8" ht="31.5">
      <c r="A36" s="79" t="s">
        <v>106</v>
      </c>
      <c r="B36" s="80" t="s">
        <v>103</v>
      </c>
      <c r="C36" s="80" t="s">
        <v>114</v>
      </c>
      <c r="D36" s="80" t="s">
        <v>7</v>
      </c>
      <c r="E36" s="80" t="s">
        <v>315</v>
      </c>
      <c r="F36" s="81">
        <f t="shared" si="3"/>
        <v>37182.78654000001</v>
      </c>
      <c r="G36" s="81">
        <f t="shared" si="3"/>
        <v>35249.317769999994</v>
      </c>
      <c r="H36" s="166">
        <f>G36/F36</f>
        <v>0.9480009716883362</v>
      </c>
    </row>
    <row r="37" spans="1:8" ht="47.25">
      <c r="A37" s="79" t="s">
        <v>107</v>
      </c>
      <c r="B37" s="80" t="s">
        <v>103</v>
      </c>
      <c r="C37" s="80" t="s">
        <v>114</v>
      </c>
      <c r="D37" s="80" t="s">
        <v>8</v>
      </c>
      <c r="E37" s="80" t="s">
        <v>315</v>
      </c>
      <c r="F37" s="81">
        <f t="shared" si="3"/>
        <v>37182.78654000001</v>
      </c>
      <c r="G37" s="81">
        <f t="shared" si="3"/>
        <v>35249.317769999994</v>
      </c>
      <c r="H37" s="166">
        <f aca="true" t="shared" si="4" ref="H37:H44">G37/F37</f>
        <v>0.9480009716883362</v>
      </c>
    </row>
    <row r="38" spans="1:8" s="138" customFormat="1" ht="47.25">
      <c r="A38" s="82" t="s">
        <v>111</v>
      </c>
      <c r="B38" s="83" t="s">
        <v>103</v>
      </c>
      <c r="C38" s="83" t="s">
        <v>114</v>
      </c>
      <c r="D38" s="83" t="s">
        <v>11</v>
      </c>
      <c r="E38" s="83" t="s">
        <v>315</v>
      </c>
      <c r="F38" s="84">
        <f>F39+F41+F43</f>
        <v>37182.78654000001</v>
      </c>
      <c r="G38" s="84">
        <f>G39+G41+G43</f>
        <v>35249.317769999994</v>
      </c>
      <c r="H38" s="166">
        <f t="shared" si="4"/>
        <v>0.9480009716883362</v>
      </c>
    </row>
    <row r="39" spans="1:8" ht="94.5">
      <c r="A39" s="79" t="s">
        <v>134</v>
      </c>
      <c r="B39" s="80" t="s">
        <v>103</v>
      </c>
      <c r="C39" s="80" t="s">
        <v>114</v>
      </c>
      <c r="D39" s="80" t="s">
        <v>11</v>
      </c>
      <c r="E39" s="80" t="s">
        <v>108</v>
      </c>
      <c r="F39" s="81">
        <f>F40</f>
        <v>24835.011000000006</v>
      </c>
      <c r="G39" s="81">
        <f>G40</f>
        <v>24232.23649</v>
      </c>
      <c r="H39" s="166">
        <f t="shared" si="4"/>
        <v>0.975728840627451</v>
      </c>
    </row>
    <row r="40" spans="1:8" ht="31.5">
      <c r="A40" s="79" t="s">
        <v>136</v>
      </c>
      <c r="B40" s="80" t="s">
        <v>103</v>
      </c>
      <c r="C40" s="80" t="s">
        <v>114</v>
      </c>
      <c r="D40" s="3" t="s">
        <v>11</v>
      </c>
      <c r="E40" s="3" t="s">
        <v>135</v>
      </c>
      <c r="F40" s="22">
        <f>12875.553+180+3926.417+3574.989+45+1079.647+3283.739+64+991.689-(698.9844+231.2046)-178.2-45.3-32.334</f>
        <v>24835.011000000006</v>
      </c>
      <c r="G40" s="81">
        <v>24232.23649</v>
      </c>
      <c r="H40" s="166">
        <f t="shared" si="4"/>
        <v>0.975728840627451</v>
      </c>
    </row>
    <row r="41" spans="1:8" ht="31.5">
      <c r="A41" s="79" t="s">
        <v>137</v>
      </c>
      <c r="B41" s="80" t="s">
        <v>103</v>
      </c>
      <c r="C41" s="80" t="s">
        <v>114</v>
      </c>
      <c r="D41" s="3" t="s">
        <v>11</v>
      </c>
      <c r="E41" s="3" t="s">
        <v>112</v>
      </c>
      <c r="F41" s="22">
        <f>F42</f>
        <v>11833.45554</v>
      </c>
      <c r="G41" s="22">
        <f>G42</f>
        <v>10652.65071</v>
      </c>
      <c r="H41" s="166">
        <f t="shared" si="4"/>
        <v>0.9002147068530753</v>
      </c>
    </row>
    <row r="42" spans="1:8" ht="47.25">
      <c r="A42" s="79" t="s">
        <v>138</v>
      </c>
      <c r="B42" s="80" t="s">
        <v>103</v>
      </c>
      <c r="C42" s="80" t="s">
        <v>114</v>
      </c>
      <c r="D42" s="3" t="s">
        <v>11</v>
      </c>
      <c r="E42" s="3" t="s">
        <v>139</v>
      </c>
      <c r="F42" s="22">
        <f>6774.6+253+223.7+2187.20789+1000-75.45639+100+800+280+250+40.40404</f>
        <v>11833.45554</v>
      </c>
      <c r="G42" s="81">
        <v>10652.65071</v>
      </c>
      <c r="H42" s="166">
        <f t="shared" si="4"/>
        <v>0.9002147068530753</v>
      </c>
    </row>
    <row r="43" spans="1:8" ht="15.75">
      <c r="A43" s="79" t="s">
        <v>142</v>
      </c>
      <c r="B43" s="80" t="s">
        <v>103</v>
      </c>
      <c r="C43" s="80" t="s">
        <v>114</v>
      </c>
      <c r="D43" s="80" t="s">
        <v>11</v>
      </c>
      <c r="E43" s="80" t="s">
        <v>143</v>
      </c>
      <c r="F43" s="81">
        <f>F44</f>
        <v>514.32</v>
      </c>
      <c r="G43" s="81">
        <f>G44</f>
        <v>364.43057</v>
      </c>
      <c r="H43" s="166">
        <f t="shared" si="4"/>
        <v>0.7085677593715973</v>
      </c>
    </row>
    <row r="44" spans="1:8" ht="15.75">
      <c r="A44" s="85" t="s">
        <v>140</v>
      </c>
      <c r="B44" s="80" t="s">
        <v>103</v>
      </c>
      <c r="C44" s="80" t="s">
        <v>114</v>
      </c>
      <c r="D44" s="80" t="s">
        <v>11</v>
      </c>
      <c r="E44" s="80" t="s">
        <v>141</v>
      </c>
      <c r="F44" s="22">
        <f>492+22.32</f>
        <v>514.32</v>
      </c>
      <c r="G44" s="81">
        <v>364.43057</v>
      </c>
      <c r="H44" s="166">
        <f t="shared" si="4"/>
        <v>0.7085677593715973</v>
      </c>
    </row>
    <row r="45" spans="1:8" s="137" customFormat="1" ht="47.25">
      <c r="A45" s="86" t="s">
        <v>502</v>
      </c>
      <c r="B45" s="77" t="s">
        <v>103</v>
      </c>
      <c r="C45" s="77" t="s">
        <v>296</v>
      </c>
      <c r="D45" s="77" t="s">
        <v>349</v>
      </c>
      <c r="E45" s="77" t="s">
        <v>315</v>
      </c>
      <c r="F45" s="78">
        <f>F46</f>
        <v>3.1229999999999993</v>
      </c>
      <c r="G45" s="78">
        <f>G46</f>
        <v>3.123</v>
      </c>
      <c r="H45" s="267">
        <f>G45/F45</f>
        <v>1.0000000000000002</v>
      </c>
    </row>
    <row r="46" spans="1:8" ht="31.5">
      <c r="A46" s="79" t="s">
        <v>137</v>
      </c>
      <c r="B46" s="80" t="s">
        <v>103</v>
      </c>
      <c r="C46" s="80" t="s">
        <v>296</v>
      </c>
      <c r="D46" s="80" t="s">
        <v>349</v>
      </c>
      <c r="E46" s="80" t="s">
        <v>112</v>
      </c>
      <c r="F46" s="81">
        <f>F47</f>
        <v>3.1229999999999993</v>
      </c>
      <c r="G46" s="81">
        <f>G47</f>
        <v>3.123</v>
      </c>
      <c r="H46" s="166">
        <f>G46/F46</f>
        <v>1.0000000000000002</v>
      </c>
    </row>
    <row r="47" spans="1:8" ht="47.25">
      <c r="A47" s="79" t="s">
        <v>138</v>
      </c>
      <c r="B47" s="80" t="s">
        <v>103</v>
      </c>
      <c r="C47" s="80" t="s">
        <v>296</v>
      </c>
      <c r="D47" s="80" t="s">
        <v>349</v>
      </c>
      <c r="E47" s="80" t="s">
        <v>139</v>
      </c>
      <c r="F47" s="29">
        <f>9.594-6.471</f>
        <v>3.1229999999999993</v>
      </c>
      <c r="G47" s="81">
        <v>3.123</v>
      </c>
      <c r="H47" s="166">
        <f>G47/F47</f>
        <v>1.0000000000000002</v>
      </c>
    </row>
    <row r="48" spans="1:8" s="137" customFormat="1" ht="63">
      <c r="A48" s="76" t="s">
        <v>305</v>
      </c>
      <c r="B48" s="77" t="s">
        <v>103</v>
      </c>
      <c r="C48" s="77" t="s">
        <v>116</v>
      </c>
      <c r="D48" s="77" t="s">
        <v>243</v>
      </c>
      <c r="E48" s="77" t="s">
        <v>315</v>
      </c>
      <c r="F48" s="78">
        <f>F49</f>
        <v>9854.754439999999</v>
      </c>
      <c r="G48" s="78">
        <f>G49</f>
        <v>9744.028890000001</v>
      </c>
      <c r="H48" s="267">
        <f>G48/F48</f>
        <v>0.988764250730534</v>
      </c>
    </row>
    <row r="49" spans="1:8" ht="31.5">
      <c r="A49" s="79" t="s">
        <v>272</v>
      </c>
      <c r="B49" s="80" t="s">
        <v>103</v>
      </c>
      <c r="C49" s="80" t="s">
        <v>116</v>
      </c>
      <c r="D49" s="80" t="s">
        <v>7</v>
      </c>
      <c r="E49" s="80" t="s">
        <v>315</v>
      </c>
      <c r="F49" s="81">
        <f>F50</f>
        <v>9854.754439999999</v>
      </c>
      <c r="G49" s="81">
        <f>G50</f>
        <v>9744.028890000001</v>
      </c>
      <c r="H49" s="166">
        <f>G49/F49</f>
        <v>0.988764250730534</v>
      </c>
    </row>
    <row r="50" spans="1:8" ht="47.25">
      <c r="A50" s="79" t="s">
        <v>107</v>
      </c>
      <c r="B50" s="80" t="s">
        <v>103</v>
      </c>
      <c r="C50" s="80" t="s">
        <v>116</v>
      </c>
      <c r="D50" s="80" t="s">
        <v>8</v>
      </c>
      <c r="E50" s="80" t="s">
        <v>315</v>
      </c>
      <c r="F50" s="81">
        <f>F51+F58+F65</f>
        <v>9854.754439999999</v>
      </c>
      <c r="G50" s="81">
        <f>G51+G58+G65</f>
        <v>9744.028890000001</v>
      </c>
      <c r="H50" s="166">
        <f aca="true" t="shared" si="5" ref="H50:H102">G50/F50</f>
        <v>0.988764250730534</v>
      </c>
    </row>
    <row r="51" spans="1:8" s="138" customFormat="1" ht="47.25">
      <c r="A51" s="82" t="s">
        <v>224</v>
      </c>
      <c r="B51" s="83" t="s">
        <v>103</v>
      </c>
      <c r="C51" s="83" t="s">
        <v>116</v>
      </c>
      <c r="D51" s="83" t="s">
        <v>11</v>
      </c>
      <c r="E51" s="83" t="s">
        <v>315</v>
      </c>
      <c r="F51" s="23">
        <f>F52+F54+F56</f>
        <v>7578.451439999999</v>
      </c>
      <c r="G51" s="23">
        <f>G52+G54+G56</f>
        <v>7542.710300000001</v>
      </c>
      <c r="H51" s="166">
        <f t="shared" si="5"/>
        <v>0.9952838465373873</v>
      </c>
    </row>
    <row r="52" spans="1:8" ht="94.5">
      <c r="A52" s="79" t="s">
        <v>134</v>
      </c>
      <c r="B52" s="80" t="s">
        <v>103</v>
      </c>
      <c r="C52" s="80" t="s">
        <v>116</v>
      </c>
      <c r="D52" s="80" t="s">
        <v>11</v>
      </c>
      <c r="E52" s="80" t="s">
        <v>108</v>
      </c>
      <c r="F52" s="22">
        <f>F53</f>
        <v>6494.682</v>
      </c>
      <c r="G52" s="22">
        <f>G53</f>
        <v>6477.06241</v>
      </c>
      <c r="H52" s="166">
        <f t="shared" si="5"/>
        <v>0.9972870742555218</v>
      </c>
    </row>
    <row r="53" spans="1:8" ht="31.5">
      <c r="A53" s="79" t="s">
        <v>136</v>
      </c>
      <c r="B53" s="80" t="s">
        <v>103</v>
      </c>
      <c r="C53" s="80" t="s">
        <v>116</v>
      </c>
      <c r="D53" s="80" t="s">
        <v>11</v>
      </c>
      <c r="E53" s="80" t="s">
        <v>135</v>
      </c>
      <c r="F53" s="22">
        <f>5669.802+13+1712.28-30-4.4-200-400-266</f>
        <v>6494.682</v>
      </c>
      <c r="G53" s="81">
        <v>6477.06241</v>
      </c>
      <c r="H53" s="166">
        <f t="shared" si="5"/>
        <v>0.9972870742555218</v>
      </c>
    </row>
    <row r="54" spans="1:8" ht="31.5">
      <c r="A54" s="79" t="s">
        <v>137</v>
      </c>
      <c r="B54" s="80" t="s">
        <v>103</v>
      </c>
      <c r="C54" s="80" t="s">
        <v>116</v>
      </c>
      <c r="D54" s="80" t="s">
        <v>11</v>
      </c>
      <c r="E54" s="80" t="s">
        <v>112</v>
      </c>
      <c r="F54" s="22">
        <f>F55</f>
        <v>1079.36944</v>
      </c>
      <c r="G54" s="22">
        <f>G55</f>
        <v>1061.24789</v>
      </c>
      <c r="H54" s="166">
        <f t="shared" si="5"/>
        <v>0.9832109847393865</v>
      </c>
    </row>
    <row r="55" spans="1:8" ht="47.25">
      <c r="A55" s="79" t="s">
        <v>138</v>
      </c>
      <c r="B55" s="80" t="s">
        <v>103</v>
      </c>
      <c r="C55" s="80" t="s">
        <v>116</v>
      </c>
      <c r="D55" s="80" t="s">
        <v>11</v>
      </c>
      <c r="E55" s="80" t="s">
        <v>139</v>
      </c>
      <c r="F55" s="22">
        <f>1499.3-329.93056-90</f>
        <v>1079.36944</v>
      </c>
      <c r="G55" s="81">
        <v>1061.24789</v>
      </c>
      <c r="H55" s="166">
        <f t="shared" si="5"/>
        <v>0.9832109847393865</v>
      </c>
    </row>
    <row r="56" spans="1:8" ht="15.75">
      <c r="A56" s="79" t="s">
        <v>142</v>
      </c>
      <c r="B56" s="80" t="s">
        <v>103</v>
      </c>
      <c r="C56" s="80" t="s">
        <v>116</v>
      </c>
      <c r="D56" s="80" t="s">
        <v>11</v>
      </c>
      <c r="E56" s="80" t="s">
        <v>143</v>
      </c>
      <c r="F56" s="22">
        <f>F57</f>
        <v>4.4</v>
      </c>
      <c r="G56" s="22">
        <f>G57</f>
        <v>4.4</v>
      </c>
      <c r="H56" s="166">
        <f t="shared" si="5"/>
        <v>1</v>
      </c>
    </row>
    <row r="57" spans="1:8" ht="15.75">
      <c r="A57" s="79" t="s">
        <v>140</v>
      </c>
      <c r="B57" s="80" t="s">
        <v>103</v>
      </c>
      <c r="C57" s="80" t="s">
        <v>116</v>
      </c>
      <c r="D57" s="80" t="s">
        <v>11</v>
      </c>
      <c r="E57" s="80" t="s">
        <v>141</v>
      </c>
      <c r="F57" s="22">
        <f>2+4.4-2</f>
        <v>4.4</v>
      </c>
      <c r="G57" s="81">
        <v>4.4</v>
      </c>
      <c r="H57" s="166">
        <f t="shared" si="5"/>
        <v>1</v>
      </c>
    </row>
    <row r="58" spans="1:8" s="138" customFormat="1" ht="47.25">
      <c r="A58" s="82" t="s">
        <v>117</v>
      </c>
      <c r="B58" s="83" t="s">
        <v>103</v>
      </c>
      <c r="C58" s="83" t="s">
        <v>116</v>
      </c>
      <c r="D58" s="83" t="s">
        <v>11</v>
      </c>
      <c r="E58" s="83" t="s">
        <v>315</v>
      </c>
      <c r="F58" s="23">
        <f>F61+F63+F59</f>
        <v>122.432</v>
      </c>
      <c r="G58" s="23">
        <f>G61+G63+G59</f>
        <v>108.488</v>
      </c>
      <c r="H58" s="166">
        <f t="shared" si="5"/>
        <v>0.8861082070047046</v>
      </c>
    </row>
    <row r="59" spans="1:8" s="138" customFormat="1" ht="94.5" hidden="1">
      <c r="A59" s="79" t="s">
        <v>134</v>
      </c>
      <c r="B59" s="80" t="s">
        <v>103</v>
      </c>
      <c r="C59" s="80" t="s">
        <v>116</v>
      </c>
      <c r="D59" s="83" t="s">
        <v>11</v>
      </c>
      <c r="E59" s="80" t="s">
        <v>108</v>
      </c>
      <c r="F59" s="81">
        <f>F60</f>
        <v>0</v>
      </c>
      <c r="G59" s="81">
        <f>G60</f>
        <v>0</v>
      </c>
      <c r="H59" s="166" t="e">
        <f t="shared" si="5"/>
        <v>#DIV/0!</v>
      </c>
    </row>
    <row r="60" spans="1:8" s="138" customFormat="1" ht="31.5" hidden="1">
      <c r="A60" s="79" t="s">
        <v>136</v>
      </c>
      <c r="B60" s="80" t="s">
        <v>103</v>
      </c>
      <c r="C60" s="80" t="s">
        <v>116</v>
      </c>
      <c r="D60" s="83" t="s">
        <v>11</v>
      </c>
      <c r="E60" s="80" t="s">
        <v>135</v>
      </c>
      <c r="F60" s="22">
        <f>795.186+240.146-(795.186+240.146)</f>
        <v>0</v>
      </c>
      <c r="G60" s="84"/>
      <c r="H60" s="166" t="e">
        <f t="shared" si="5"/>
        <v>#DIV/0!</v>
      </c>
    </row>
    <row r="61" spans="1:8" ht="31.5">
      <c r="A61" s="79" t="s">
        <v>137</v>
      </c>
      <c r="B61" s="80" t="s">
        <v>103</v>
      </c>
      <c r="C61" s="80" t="s">
        <v>116</v>
      </c>
      <c r="D61" s="80" t="s">
        <v>11</v>
      </c>
      <c r="E61" s="80" t="s">
        <v>112</v>
      </c>
      <c r="F61" s="81">
        <f>F62</f>
        <v>120.432</v>
      </c>
      <c r="G61" s="81">
        <f>G62</f>
        <v>107.988</v>
      </c>
      <c r="H61" s="166">
        <f t="shared" si="5"/>
        <v>0.896671980868872</v>
      </c>
    </row>
    <row r="62" spans="1:8" ht="47.25">
      <c r="A62" s="79" t="s">
        <v>138</v>
      </c>
      <c r="B62" s="80" t="s">
        <v>103</v>
      </c>
      <c r="C62" s="80" t="s">
        <v>116</v>
      </c>
      <c r="D62" s="80" t="s">
        <v>11</v>
      </c>
      <c r="E62" s="80" t="s">
        <v>139</v>
      </c>
      <c r="F62" s="22">
        <f>76.1+5+10+10+11.432+7.9</f>
        <v>120.432</v>
      </c>
      <c r="G62" s="81">
        <v>107.988</v>
      </c>
      <c r="H62" s="166">
        <f t="shared" si="5"/>
        <v>0.896671980868872</v>
      </c>
    </row>
    <row r="63" spans="1:8" ht="15.75">
      <c r="A63" s="79" t="s">
        <v>142</v>
      </c>
      <c r="B63" s="80" t="s">
        <v>103</v>
      </c>
      <c r="C63" s="80" t="s">
        <v>116</v>
      </c>
      <c r="D63" s="80" t="s">
        <v>11</v>
      </c>
      <c r="E63" s="80" t="s">
        <v>143</v>
      </c>
      <c r="F63" s="81">
        <f>F64</f>
        <v>2</v>
      </c>
      <c r="G63" s="81">
        <f>G64</f>
        <v>0.5</v>
      </c>
      <c r="H63" s="166">
        <f t="shared" si="5"/>
        <v>0.25</v>
      </c>
    </row>
    <row r="64" spans="1:8" ht="15.75">
      <c r="A64" s="85" t="s">
        <v>140</v>
      </c>
      <c r="B64" s="80" t="s">
        <v>103</v>
      </c>
      <c r="C64" s="80" t="s">
        <v>116</v>
      </c>
      <c r="D64" s="80" t="s">
        <v>11</v>
      </c>
      <c r="E64" s="80" t="s">
        <v>141</v>
      </c>
      <c r="F64" s="81">
        <v>2</v>
      </c>
      <c r="G64" s="81">
        <v>0.5</v>
      </c>
      <c r="H64" s="166">
        <f t="shared" si="5"/>
        <v>0.25</v>
      </c>
    </row>
    <row r="65" spans="1:8" s="138" customFormat="1" ht="31.5">
      <c r="A65" s="82" t="s">
        <v>118</v>
      </c>
      <c r="B65" s="83" t="s">
        <v>103</v>
      </c>
      <c r="C65" s="83" t="s">
        <v>116</v>
      </c>
      <c r="D65" s="83" t="s">
        <v>12</v>
      </c>
      <c r="E65" s="83" t="s">
        <v>315</v>
      </c>
      <c r="F65" s="84">
        <f>F67</f>
        <v>2153.871</v>
      </c>
      <c r="G65" s="84">
        <f>G67</f>
        <v>2092.83059</v>
      </c>
      <c r="H65" s="166">
        <f t="shared" si="5"/>
        <v>0.9716601365634246</v>
      </c>
    </row>
    <row r="66" spans="1:8" ht="105.75" customHeight="1">
      <c r="A66" s="79" t="s">
        <v>134</v>
      </c>
      <c r="B66" s="80" t="s">
        <v>103</v>
      </c>
      <c r="C66" s="80" t="s">
        <v>116</v>
      </c>
      <c r="D66" s="80" t="s">
        <v>12</v>
      </c>
      <c r="E66" s="80" t="s">
        <v>108</v>
      </c>
      <c r="F66" s="81">
        <f>F67</f>
        <v>2153.871</v>
      </c>
      <c r="G66" s="81">
        <f>G67</f>
        <v>2092.83059</v>
      </c>
      <c r="H66" s="166">
        <f t="shared" si="5"/>
        <v>0.9716601365634246</v>
      </c>
    </row>
    <row r="67" spans="1:8" ht="31.5">
      <c r="A67" s="79" t="s">
        <v>136</v>
      </c>
      <c r="B67" s="80" t="s">
        <v>103</v>
      </c>
      <c r="C67" s="80" t="s">
        <v>116</v>
      </c>
      <c r="D67" s="80" t="s">
        <v>12</v>
      </c>
      <c r="E67" s="80" t="s">
        <v>135</v>
      </c>
      <c r="F67" s="22">
        <f>1514.948+457.514+101.7+29.3+50.409</f>
        <v>2153.871</v>
      </c>
      <c r="G67" s="81">
        <v>2092.83059</v>
      </c>
      <c r="H67" s="166">
        <f t="shared" si="5"/>
        <v>0.9716601365634246</v>
      </c>
    </row>
    <row r="68" spans="1:8" s="137" customFormat="1" ht="15.75">
      <c r="A68" s="90" t="s">
        <v>119</v>
      </c>
      <c r="B68" s="77" t="s">
        <v>103</v>
      </c>
      <c r="C68" s="77" t="s">
        <v>120</v>
      </c>
      <c r="D68" s="77" t="s">
        <v>243</v>
      </c>
      <c r="E68" s="77" t="s">
        <v>315</v>
      </c>
      <c r="F68" s="78">
        <f aca="true" t="shared" si="6" ref="F68:G72">F69</f>
        <v>3125.2266999999997</v>
      </c>
      <c r="G68" s="78">
        <f t="shared" si="6"/>
        <v>0</v>
      </c>
      <c r="H68" s="267">
        <f t="shared" si="5"/>
        <v>0</v>
      </c>
    </row>
    <row r="69" spans="1:8" ht="31.5">
      <c r="A69" s="91" t="s">
        <v>106</v>
      </c>
      <c r="B69" s="80" t="s">
        <v>103</v>
      </c>
      <c r="C69" s="80" t="s">
        <v>120</v>
      </c>
      <c r="D69" s="92" t="s">
        <v>7</v>
      </c>
      <c r="E69" s="92" t="s">
        <v>315</v>
      </c>
      <c r="F69" s="81">
        <f t="shared" si="6"/>
        <v>3125.2266999999997</v>
      </c>
      <c r="G69" s="81">
        <f t="shared" si="6"/>
        <v>0</v>
      </c>
      <c r="H69" s="166">
        <f t="shared" si="5"/>
        <v>0</v>
      </c>
    </row>
    <row r="70" spans="1:8" ht="47.25">
      <c r="A70" s="91" t="s">
        <v>107</v>
      </c>
      <c r="B70" s="80" t="s">
        <v>103</v>
      </c>
      <c r="C70" s="80" t="s">
        <v>120</v>
      </c>
      <c r="D70" s="92" t="s">
        <v>8</v>
      </c>
      <c r="E70" s="92" t="s">
        <v>315</v>
      </c>
      <c r="F70" s="81">
        <f t="shared" si="6"/>
        <v>3125.2266999999997</v>
      </c>
      <c r="G70" s="81">
        <f t="shared" si="6"/>
        <v>0</v>
      </c>
      <c r="H70" s="166">
        <f t="shared" si="5"/>
        <v>0</v>
      </c>
    </row>
    <row r="71" spans="1:8" ht="31.5">
      <c r="A71" s="91" t="s">
        <v>402</v>
      </c>
      <c r="B71" s="80" t="s">
        <v>103</v>
      </c>
      <c r="C71" s="80" t="s">
        <v>120</v>
      </c>
      <c r="D71" s="80" t="s">
        <v>403</v>
      </c>
      <c r="E71" s="92" t="s">
        <v>315</v>
      </c>
      <c r="F71" s="81">
        <f t="shared" si="6"/>
        <v>3125.2266999999997</v>
      </c>
      <c r="G71" s="81">
        <f t="shared" si="6"/>
        <v>0</v>
      </c>
      <c r="H71" s="166">
        <f t="shared" si="5"/>
        <v>0</v>
      </c>
    </row>
    <row r="72" spans="1:8" ht="15.75">
      <c r="A72" s="91" t="s">
        <v>142</v>
      </c>
      <c r="B72" s="80" t="s">
        <v>103</v>
      </c>
      <c r="C72" s="80" t="s">
        <v>120</v>
      </c>
      <c r="D72" s="80" t="s">
        <v>403</v>
      </c>
      <c r="E72" s="92" t="s">
        <v>143</v>
      </c>
      <c r="F72" s="81">
        <f t="shared" si="6"/>
        <v>3125.2266999999997</v>
      </c>
      <c r="G72" s="81">
        <f t="shared" si="6"/>
        <v>0</v>
      </c>
      <c r="H72" s="166">
        <f t="shared" si="5"/>
        <v>0</v>
      </c>
    </row>
    <row r="73" spans="1:8" ht="15.75">
      <c r="A73" s="91" t="s">
        <v>144</v>
      </c>
      <c r="B73" s="80" t="s">
        <v>103</v>
      </c>
      <c r="C73" s="80" t="s">
        <v>120</v>
      </c>
      <c r="D73" s="80" t="s">
        <v>403</v>
      </c>
      <c r="E73" s="92" t="s">
        <v>145</v>
      </c>
      <c r="F73" s="22">
        <f>'[1]4'!G42</f>
        <v>3125.2266999999997</v>
      </c>
      <c r="G73" s="81">
        <v>0</v>
      </c>
      <c r="H73" s="166">
        <f t="shared" si="5"/>
        <v>0</v>
      </c>
    </row>
    <row r="74" spans="1:8" s="137" customFormat="1" ht="15.75">
      <c r="A74" s="76" t="s">
        <v>271</v>
      </c>
      <c r="B74" s="77" t="s">
        <v>103</v>
      </c>
      <c r="C74" s="77" t="s">
        <v>121</v>
      </c>
      <c r="D74" s="77" t="s">
        <v>243</v>
      </c>
      <c r="E74" s="77" t="s">
        <v>315</v>
      </c>
      <c r="F74" s="78">
        <f>F75+F103+F147+F165+F168+F171+F113</f>
        <v>18025.16047</v>
      </c>
      <c r="G74" s="78">
        <f>G75+G103+G147+G165+G168+G171+G113</f>
        <v>17028.13035</v>
      </c>
      <c r="H74" s="267">
        <f t="shared" si="5"/>
        <v>0.9446867548469597</v>
      </c>
    </row>
    <row r="75" spans="1:9" ht="15.75">
      <c r="A75" s="79" t="s">
        <v>122</v>
      </c>
      <c r="B75" s="80" t="s">
        <v>103</v>
      </c>
      <c r="C75" s="80" t="s">
        <v>121</v>
      </c>
      <c r="D75" s="80" t="s">
        <v>243</v>
      </c>
      <c r="E75" s="80" t="s">
        <v>315</v>
      </c>
      <c r="F75" s="81">
        <f>F76+F81+F86+F91+F96+F131+F101</f>
        <v>6288.3417</v>
      </c>
      <c r="G75" s="81">
        <f>G76+G81+G86+G91+G96+G131+G101</f>
        <v>6288.341699999999</v>
      </c>
      <c r="H75" s="166">
        <f t="shared" si="5"/>
        <v>0.9999999999999999</v>
      </c>
      <c r="I75" s="139"/>
    </row>
    <row r="76" spans="1:8" s="138" customFormat="1" ht="78.75">
      <c r="A76" s="82" t="s">
        <v>123</v>
      </c>
      <c r="B76" s="83" t="s">
        <v>103</v>
      </c>
      <c r="C76" s="83" t="s">
        <v>121</v>
      </c>
      <c r="D76" s="83" t="s">
        <v>13</v>
      </c>
      <c r="E76" s="83" t="s">
        <v>315</v>
      </c>
      <c r="F76" s="84">
        <f>F77+F79</f>
        <v>888.6279999999999</v>
      </c>
      <c r="G76" s="84">
        <f>G77+G79</f>
        <v>888.6279999999999</v>
      </c>
      <c r="H76" s="166">
        <f t="shared" si="5"/>
        <v>1</v>
      </c>
    </row>
    <row r="77" spans="1:8" ht="94.5">
      <c r="A77" s="79" t="s">
        <v>134</v>
      </c>
      <c r="B77" s="80" t="s">
        <v>103</v>
      </c>
      <c r="C77" s="80" t="s">
        <v>121</v>
      </c>
      <c r="D77" s="80" t="s">
        <v>13</v>
      </c>
      <c r="E77" s="80" t="s">
        <v>108</v>
      </c>
      <c r="F77" s="81">
        <f>F78</f>
        <v>832.7225</v>
      </c>
      <c r="G77" s="81">
        <f>G78</f>
        <v>832.7225</v>
      </c>
      <c r="H77" s="166">
        <f t="shared" si="5"/>
        <v>1</v>
      </c>
    </row>
    <row r="78" spans="1:8" ht="31.5">
      <c r="A78" s="93" t="s">
        <v>136</v>
      </c>
      <c r="B78" s="80" t="s">
        <v>103</v>
      </c>
      <c r="C78" s="80" t="s">
        <v>121</v>
      </c>
      <c r="D78" s="80" t="s">
        <v>13</v>
      </c>
      <c r="E78" s="80" t="s">
        <v>135</v>
      </c>
      <c r="F78" s="22">
        <f>'[1]4'!G47</f>
        <v>832.7225</v>
      </c>
      <c r="G78" s="22">
        <v>832.7225</v>
      </c>
      <c r="H78" s="166">
        <f t="shared" si="5"/>
        <v>1</v>
      </c>
    </row>
    <row r="79" spans="1:8" ht="31.5">
      <c r="A79" s="79" t="s">
        <v>137</v>
      </c>
      <c r="B79" s="80" t="s">
        <v>103</v>
      </c>
      <c r="C79" s="80" t="s">
        <v>121</v>
      </c>
      <c r="D79" s="80" t="s">
        <v>13</v>
      </c>
      <c r="E79" s="80" t="s">
        <v>112</v>
      </c>
      <c r="F79" s="22">
        <f>F80</f>
        <v>55.90549999999999</v>
      </c>
      <c r="G79" s="22">
        <f>G80</f>
        <v>55.9055</v>
      </c>
      <c r="H79" s="166">
        <f t="shared" si="5"/>
        <v>1.0000000000000002</v>
      </c>
    </row>
    <row r="80" spans="1:8" ht="47.25">
      <c r="A80" s="93" t="s">
        <v>138</v>
      </c>
      <c r="B80" s="80" t="s">
        <v>103</v>
      </c>
      <c r="C80" s="80" t="s">
        <v>121</v>
      </c>
      <c r="D80" s="80" t="s">
        <v>13</v>
      </c>
      <c r="E80" s="80" t="s">
        <v>139</v>
      </c>
      <c r="F80" s="22">
        <f>'[1]4'!G49</f>
        <v>55.90549999999999</v>
      </c>
      <c r="G80" s="81">
        <v>55.9055</v>
      </c>
      <c r="H80" s="166">
        <f t="shared" si="5"/>
        <v>1.0000000000000002</v>
      </c>
    </row>
    <row r="81" spans="1:11" s="141" customFormat="1" ht="47.25">
      <c r="A81" s="82" t="s">
        <v>325</v>
      </c>
      <c r="B81" s="83" t="s">
        <v>103</v>
      </c>
      <c r="C81" s="83" t="s">
        <v>121</v>
      </c>
      <c r="D81" s="94" t="s">
        <v>532</v>
      </c>
      <c r="E81" s="83" t="s">
        <v>315</v>
      </c>
      <c r="F81" s="84">
        <f>F82+F84</f>
        <v>1349.873</v>
      </c>
      <c r="G81" s="84">
        <f>G82+G84</f>
        <v>1349.8729999999998</v>
      </c>
      <c r="H81" s="166">
        <f t="shared" si="5"/>
        <v>0.9999999999999998</v>
      </c>
      <c r="I81" s="127"/>
      <c r="J81" s="140"/>
      <c r="K81" s="140"/>
    </row>
    <row r="82" spans="1:9" s="143" customFormat="1" ht="94.5">
      <c r="A82" s="79" t="s">
        <v>134</v>
      </c>
      <c r="B82" s="80" t="s">
        <v>103</v>
      </c>
      <c r="C82" s="80" t="s">
        <v>121</v>
      </c>
      <c r="D82" s="80" t="s">
        <v>532</v>
      </c>
      <c r="E82" s="80" t="s">
        <v>108</v>
      </c>
      <c r="F82" s="81">
        <f>F83</f>
        <v>1338.1853700000001</v>
      </c>
      <c r="G82" s="81">
        <f>G83</f>
        <v>1338.18537</v>
      </c>
      <c r="H82" s="166">
        <f t="shared" si="5"/>
        <v>0.9999999999999998</v>
      </c>
      <c r="I82" s="142"/>
    </row>
    <row r="83" spans="1:9" ht="31.5">
      <c r="A83" s="93" t="s">
        <v>136</v>
      </c>
      <c r="B83" s="80" t="s">
        <v>103</v>
      </c>
      <c r="C83" s="80" t="s">
        <v>121</v>
      </c>
      <c r="D83" s="80" t="s">
        <v>532</v>
      </c>
      <c r="E83" s="80" t="s">
        <v>135</v>
      </c>
      <c r="F83" s="22">
        <f>'[1]4'!G52</f>
        <v>1338.1853700000001</v>
      </c>
      <c r="G83" s="81">
        <v>1338.18537</v>
      </c>
      <c r="H83" s="166">
        <f t="shared" si="5"/>
        <v>0.9999999999999998</v>
      </c>
      <c r="I83" s="139"/>
    </row>
    <row r="84" spans="1:8" ht="31.5">
      <c r="A84" s="79" t="s">
        <v>137</v>
      </c>
      <c r="B84" s="80" t="s">
        <v>103</v>
      </c>
      <c r="C84" s="80" t="s">
        <v>121</v>
      </c>
      <c r="D84" s="80" t="s">
        <v>532</v>
      </c>
      <c r="E84" s="80" t="s">
        <v>112</v>
      </c>
      <c r="F84" s="22">
        <f>F85</f>
        <v>11.68763</v>
      </c>
      <c r="G84" s="22">
        <f>G85</f>
        <v>11.68763</v>
      </c>
      <c r="H84" s="166">
        <f t="shared" si="5"/>
        <v>1</v>
      </c>
    </row>
    <row r="85" spans="1:8" ht="47.25">
      <c r="A85" s="93" t="s">
        <v>138</v>
      </c>
      <c r="B85" s="80" t="s">
        <v>103</v>
      </c>
      <c r="C85" s="80" t="s">
        <v>121</v>
      </c>
      <c r="D85" s="80" t="s">
        <v>532</v>
      </c>
      <c r="E85" s="80" t="s">
        <v>139</v>
      </c>
      <c r="F85" s="22">
        <f>'[1]4'!G54</f>
        <v>11.68763</v>
      </c>
      <c r="G85" s="81">
        <v>11.68763</v>
      </c>
      <c r="H85" s="166">
        <f t="shared" si="5"/>
        <v>1</v>
      </c>
    </row>
    <row r="86" spans="1:8" s="138" customFormat="1" ht="47.25">
      <c r="A86" s="82" t="s">
        <v>124</v>
      </c>
      <c r="B86" s="83" t="s">
        <v>103</v>
      </c>
      <c r="C86" s="83" t="s">
        <v>121</v>
      </c>
      <c r="D86" s="83" t="s">
        <v>532</v>
      </c>
      <c r="E86" s="83" t="s">
        <v>315</v>
      </c>
      <c r="F86" s="84">
        <f>F87+F89</f>
        <v>950.0169999999999</v>
      </c>
      <c r="G86" s="84">
        <f>G87+G89</f>
        <v>950.0169999999999</v>
      </c>
      <c r="H86" s="166">
        <f t="shared" si="5"/>
        <v>1</v>
      </c>
    </row>
    <row r="87" spans="1:8" ht="94.5">
      <c r="A87" s="79" t="s">
        <v>134</v>
      </c>
      <c r="B87" s="80" t="s">
        <v>103</v>
      </c>
      <c r="C87" s="80" t="s">
        <v>121</v>
      </c>
      <c r="D87" s="80" t="s">
        <v>532</v>
      </c>
      <c r="E87" s="80" t="s">
        <v>108</v>
      </c>
      <c r="F87" s="81">
        <f>F88</f>
        <v>945.7202</v>
      </c>
      <c r="G87" s="81">
        <f>G88</f>
        <v>945.7202</v>
      </c>
      <c r="H87" s="166">
        <f t="shared" si="5"/>
        <v>1</v>
      </c>
    </row>
    <row r="88" spans="1:8" ht="31.5">
      <c r="A88" s="93" t="s">
        <v>136</v>
      </c>
      <c r="B88" s="80" t="s">
        <v>103</v>
      </c>
      <c r="C88" s="80" t="s">
        <v>121</v>
      </c>
      <c r="D88" s="80" t="s">
        <v>532</v>
      </c>
      <c r="E88" s="80" t="s">
        <v>135</v>
      </c>
      <c r="F88" s="22">
        <f>'[1]4'!G57</f>
        <v>945.7202</v>
      </c>
      <c r="G88" s="81">
        <v>945.7202</v>
      </c>
      <c r="H88" s="166">
        <f t="shared" si="5"/>
        <v>1</v>
      </c>
    </row>
    <row r="89" spans="1:8" ht="31.5">
      <c r="A89" s="79" t="s">
        <v>137</v>
      </c>
      <c r="B89" s="80" t="s">
        <v>103</v>
      </c>
      <c r="C89" s="80" t="s">
        <v>121</v>
      </c>
      <c r="D89" s="80" t="s">
        <v>532</v>
      </c>
      <c r="E89" s="80" t="s">
        <v>112</v>
      </c>
      <c r="F89" s="22">
        <f>F90</f>
        <v>4.2968</v>
      </c>
      <c r="G89" s="22">
        <f>G90</f>
        <v>4.2968</v>
      </c>
      <c r="H89" s="166">
        <f t="shared" si="5"/>
        <v>1</v>
      </c>
    </row>
    <row r="90" spans="1:8" ht="47.25">
      <c r="A90" s="93" t="s">
        <v>138</v>
      </c>
      <c r="B90" s="80" t="s">
        <v>103</v>
      </c>
      <c r="C90" s="80" t="s">
        <v>121</v>
      </c>
      <c r="D90" s="80" t="s">
        <v>532</v>
      </c>
      <c r="E90" s="80" t="s">
        <v>139</v>
      </c>
      <c r="F90" s="22">
        <f>'[1]4'!G59</f>
        <v>4.2968</v>
      </c>
      <c r="G90" s="81">
        <v>4.2968</v>
      </c>
      <c r="H90" s="166">
        <f t="shared" si="5"/>
        <v>1</v>
      </c>
    </row>
    <row r="91" spans="1:8" s="138" customFormat="1" ht="110.25">
      <c r="A91" s="82" t="s">
        <v>14</v>
      </c>
      <c r="B91" s="83" t="s">
        <v>103</v>
      </c>
      <c r="C91" s="83" t="s">
        <v>121</v>
      </c>
      <c r="D91" s="83" t="s">
        <v>244</v>
      </c>
      <c r="E91" s="83" t="s">
        <v>315</v>
      </c>
      <c r="F91" s="84">
        <f>F92+F94</f>
        <v>1490.622</v>
      </c>
      <c r="G91" s="84">
        <f>G92+G94</f>
        <v>1490.622</v>
      </c>
      <c r="H91" s="166">
        <f t="shared" si="5"/>
        <v>1</v>
      </c>
    </row>
    <row r="92" spans="1:8" ht="94.5">
      <c r="A92" s="79" t="s">
        <v>134</v>
      </c>
      <c r="B92" s="80" t="s">
        <v>103</v>
      </c>
      <c r="C92" s="80" t="s">
        <v>121</v>
      </c>
      <c r="D92" s="80" t="s">
        <v>244</v>
      </c>
      <c r="E92" s="80" t="s">
        <v>108</v>
      </c>
      <c r="F92" s="81">
        <f>F93</f>
        <v>1490.622</v>
      </c>
      <c r="G92" s="81">
        <f>G93</f>
        <v>1490.622</v>
      </c>
      <c r="H92" s="166">
        <f t="shared" si="5"/>
        <v>1</v>
      </c>
    </row>
    <row r="93" spans="1:8" ht="31.5">
      <c r="A93" s="93" t="s">
        <v>136</v>
      </c>
      <c r="B93" s="80" t="s">
        <v>103</v>
      </c>
      <c r="C93" s="80" t="s">
        <v>121</v>
      </c>
      <c r="D93" s="80" t="s">
        <v>244</v>
      </c>
      <c r="E93" s="80" t="s">
        <v>135</v>
      </c>
      <c r="F93" s="22">
        <f>1286.738+203.884</f>
        <v>1490.622</v>
      </c>
      <c r="G93" s="22">
        <v>1490.622</v>
      </c>
      <c r="H93" s="166">
        <f t="shared" si="5"/>
        <v>1</v>
      </c>
    </row>
    <row r="94" spans="1:8" ht="31.5" hidden="1">
      <c r="A94" s="79" t="s">
        <v>137</v>
      </c>
      <c r="B94" s="80" t="s">
        <v>103</v>
      </c>
      <c r="C94" s="80" t="s">
        <v>121</v>
      </c>
      <c r="D94" s="80" t="s">
        <v>244</v>
      </c>
      <c r="E94" s="80" t="s">
        <v>112</v>
      </c>
      <c r="F94" s="22">
        <f>F95</f>
        <v>0</v>
      </c>
      <c r="G94" s="22">
        <f>G95</f>
        <v>0</v>
      </c>
      <c r="H94" s="166" t="e">
        <f t="shared" si="5"/>
        <v>#DIV/0!</v>
      </c>
    </row>
    <row r="95" spans="1:8" ht="47.25" hidden="1">
      <c r="A95" s="93" t="s">
        <v>138</v>
      </c>
      <c r="B95" s="80" t="s">
        <v>103</v>
      </c>
      <c r="C95" s="80" t="s">
        <v>121</v>
      </c>
      <c r="D95" s="80" t="s">
        <v>244</v>
      </c>
      <c r="E95" s="80" t="s">
        <v>139</v>
      </c>
      <c r="F95" s="22">
        <f>203.884-203.884</f>
        <v>0</v>
      </c>
      <c r="G95" s="81"/>
      <c r="H95" s="166" t="e">
        <f t="shared" si="5"/>
        <v>#DIV/0!</v>
      </c>
    </row>
    <row r="96" spans="1:8" ht="80.25" customHeight="1">
      <c r="A96" s="95" t="s">
        <v>564</v>
      </c>
      <c r="B96" s="83" t="s">
        <v>103</v>
      </c>
      <c r="C96" s="83" t="s">
        <v>121</v>
      </c>
      <c r="D96" s="83" t="s">
        <v>565</v>
      </c>
      <c r="E96" s="83" t="s">
        <v>315</v>
      </c>
      <c r="F96" s="84">
        <f>F99+F97</f>
        <v>362.90900000000005</v>
      </c>
      <c r="G96" s="84">
        <f>G99+G97</f>
        <v>362.909</v>
      </c>
      <c r="H96" s="166">
        <f t="shared" si="5"/>
        <v>0.9999999999999999</v>
      </c>
    </row>
    <row r="97" spans="1:8" ht="94.5">
      <c r="A97" s="79" t="s">
        <v>134</v>
      </c>
      <c r="B97" s="80" t="s">
        <v>103</v>
      </c>
      <c r="C97" s="80" t="s">
        <v>121</v>
      </c>
      <c r="D97" s="80" t="s">
        <v>565</v>
      </c>
      <c r="E97" s="80" t="s">
        <v>108</v>
      </c>
      <c r="F97" s="84">
        <f>F98</f>
        <v>46.229800000000004</v>
      </c>
      <c r="G97" s="84">
        <f>G98</f>
        <v>46.2298</v>
      </c>
      <c r="H97" s="166">
        <f t="shared" si="5"/>
        <v>0.9999999999999999</v>
      </c>
    </row>
    <row r="98" spans="1:8" ht="31.5">
      <c r="A98" s="93" t="s">
        <v>136</v>
      </c>
      <c r="B98" s="80" t="s">
        <v>103</v>
      </c>
      <c r="C98" s="80" t="s">
        <v>121</v>
      </c>
      <c r="D98" s="80" t="s">
        <v>565</v>
      </c>
      <c r="E98" s="80" t="s">
        <v>135</v>
      </c>
      <c r="F98" s="23">
        <f>36.58635+9.64345</f>
        <v>46.229800000000004</v>
      </c>
      <c r="G98" s="81">
        <v>46.2298</v>
      </c>
      <c r="H98" s="166">
        <f t="shared" si="5"/>
        <v>0.9999999999999999</v>
      </c>
    </row>
    <row r="99" spans="1:8" ht="31.5">
      <c r="A99" s="79" t="s">
        <v>137</v>
      </c>
      <c r="B99" s="80" t="s">
        <v>103</v>
      </c>
      <c r="C99" s="80" t="s">
        <v>121</v>
      </c>
      <c r="D99" s="80" t="s">
        <v>565</v>
      </c>
      <c r="E99" s="80" t="s">
        <v>112</v>
      </c>
      <c r="F99" s="22">
        <f>F100</f>
        <v>316.67920000000004</v>
      </c>
      <c r="G99" s="22">
        <f>G100</f>
        <v>316.6792</v>
      </c>
      <c r="H99" s="166">
        <f t="shared" si="5"/>
        <v>0.9999999999999998</v>
      </c>
    </row>
    <row r="100" spans="1:8" ht="47.25">
      <c r="A100" s="93" t="s">
        <v>138</v>
      </c>
      <c r="B100" s="80" t="s">
        <v>103</v>
      </c>
      <c r="C100" s="80" t="s">
        <v>121</v>
      </c>
      <c r="D100" s="80" t="s">
        <v>565</v>
      </c>
      <c r="E100" s="80" t="s">
        <v>139</v>
      </c>
      <c r="F100" s="22">
        <f>353.579+4.122-41.0218</f>
        <v>316.67920000000004</v>
      </c>
      <c r="G100" s="81">
        <v>316.6792</v>
      </c>
      <c r="H100" s="166">
        <f t="shared" si="5"/>
        <v>0.9999999999999998</v>
      </c>
    </row>
    <row r="101" spans="1:8" ht="31.5" hidden="1">
      <c r="A101" s="93" t="s">
        <v>531</v>
      </c>
      <c r="B101" s="80" t="s">
        <v>103</v>
      </c>
      <c r="C101" s="80" t="s">
        <v>121</v>
      </c>
      <c r="D101" s="80" t="s">
        <v>533</v>
      </c>
      <c r="E101" s="80" t="s">
        <v>315</v>
      </c>
      <c r="F101" s="81">
        <f>F102</f>
        <v>0</v>
      </c>
      <c r="G101" s="81">
        <f>G102</f>
        <v>0</v>
      </c>
      <c r="H101" s="166" t="e">
        <f t="shared" si="5"/>
        <v>#DIV/0!</v>
      </c>
    </row>
    <row r="102" spans="1:8" ht="47.25" hidden="1">
      <c r="A102" s="93" t="s">
        <v>138</v>
      </c>
      <c r="B102" s="80" t="s">
        <v>103</v>
      </c>
      <c r="C102" s="80" t="s">
        <v>121</v>
      </c>
      <c r="D102" s="80" t="s">
        <v>533</v>
      </c>
      <c r="E102" s="80" t="s">
        <v>139</v>
      </c>
      <c r="F102" s="81"/>
      <c r="G102" s="81"/>
      <c r="H102" s="166" t="e">
        <f t="shared" si="5"/>
        <v>#DIV/0!</v>
      </c>
    </row>
    <row r="103" spans="1:8" ht="31.5">
      <c r="A103" s="79" t="s">
        <v>106</v>
      </c>
      <c r="B103" s="80" t="s">
        <v>103</v>
      </c>
      <c r="C103" s="80" t="s">
        <v>121</v>
      </c>
      <c r="D103" s="80" t="s">
        <v>7</v>
      </c>
      <c r="E103" s="80" t="s">
        <v>315</v>
      </c>
      <c r="F103" s="81">
        <f>F104</f>
        <v>10445.81877</v>
      </c>
      <c r="G103" s="81">
        <f>G104</f>
        <v>9477.381870000003</v>
      </c>
      <c r="H103" s="166">
        <f aca="true" t="shared" si="7" ref="H103:H144">G103/F103</f>
        <v>0.9072895173347912</v>
      </c>
    </row>
    <row r="104" spans="1:8" ht="47.25">
      <c r="A104" s="79" t="s">
        <v>107</v>
      </c>
      <c r="B104" s="80" t="s">
        <v>103</v>
      </c>
      <c r="C104" s="80" t="s">
        <v>121</v>
      </c>
      <c r="D104" s="80" t="s">
        <v>8</v>
      </c>
      <c r="E104" s="80" t="s">
        <v>315</v>
      </c>
      <c r="F104" s="81">
        <f>F105+F110+F115+F118+F123+F138+F141+F144+F126</f>
        <v>10445.81877</v>
      </c>
      <c r="G104" s="81">
        <f>G105+G110+G115+G118+G123+G138+G141+G144+G126</f>
        <v>9477.381870000003</v>
      </c>
      <c r="H104" s="166">
        <f t="shared" si="7"/>
        <v>0.9072895173347912</v>
      </c>
    </row>
    <row r="105" spans="1:8" s="138" customFormat="1" ht="47.25">
      <c r="A105" s="82" t="s">
        <v>404</v>
      </c>
      <c r="B105" s="83" t="s">
        <v>103</v>
      </c>
      <c r="C105" s="83" t="s">
        <v>121</v>
      </c>
      <c r="D105" s="83" t="s">
        <v>11</v>
      </c>
      <c r="E105" s="83" t="s">
        <v>315</v>
      </c>
      <c r="F105" s="84">
        <f>F106+F108</f>
        <v>5919.285</v>
      </c>
      <c r="G105" s="84">
        <f>G106+G108</f>
        <v>5761.72813</v>
      </c>
      <c r="H105" s="166">
        <f t="shared" si="7"/>
        <v>0.9733824490626825</v>
      </c>
    </row>
    <row r="106" spans="1:8" ht="94.5">
      <c r="A106" s="79" t="s">
        <v>134</v>
      </c>
      <c r="B106" s="80" t="s">
        <v>103</v>
      </c>
      <c r="C106" s="80" t="s">
        <v>121</v>
      </c>
      <c r="D106" s="80" t="s">
        <v>11</v>
      </c>
      <c r="E106" s="80" t="s">
        <v>108</v>
      </c>
      <c r="F106" s="81">
        <f>F107</f>
        <v>5719.785</v>
      </c>
      <c r="G106" s="81">
        <f>G107</f>
        <v>5662.90455</v>
      </c>
      <c r="H106" s="166">
        <f t="shared" si="7"/>
        <v>0.9900554915962752</v>
      </c>
    </row>
    <row r="107" spans="1:8" ht="31.5">
      <c r="A107" s="93" t="s">
        <v>136</v>
      </c>
      <c r="B107" s="80" t="s">
        <v>103</v>
      </c>
      <c r="C107" s="80" t="s">
        <v>121</v>
      </c>
      <c r="D107" s="80" t="s">
        <v>11</v>
      </c>
      <c r="E107" s="80" t="s">
        <v>135</v>
      </c>
      <c r="F107" s="22">
        <f>4147.454+59+1252.531+50.3+15.2+150+45.3</f>
        <v>5719.785</v>
      </c>
      <c r="G107" s="81">
        <v>5662.90455</v>
      </c>
      <c r="H107" s="166">
        <f t="shared" si="7"/>
        <v>0.9900554915962752</v>
      </c>
    </row>
    <row r="108" spans="1:8" ht="31.5">
      <c r="A108" s="79" t="s">
        <v>137</v>
      </c>
      <c r="B108" s="80" t="s">
        <v>103</v>
      </c>
      <c r="C108" s="80" t="s">
        <v>121</v>
      </c>
      <c r="D108" s="80" t="s">
        <v>11</v>
      </c>
      <c r="E108" s="80" t="s">
        <v>112</v>
      </c>
      <c r="F108" s="81">
        <f>F109</f>
        <v>199.5</v>
      </c>
      <c r="G108" s="81">
        <f>G109</f>
        <v>98.82358</v>
      </c>
      <c r="H108" s="166">
        <f t="shared" si="7"/>
        <v>0.4953562907268171</v>
      </c>
    </row>
    <row r="109" spans="1:8" ht="47.25">
      <c r="A109" s="93" t="s">
        <v>138</v>
      </c>
      <c r="B109" s="80" t="s">
        <v>103</v>
      </c>
      <c r="C109" s="80" t="s">
        <v>121</v>
      </c>
      <c r="D109" s="80" t="s">
        <v>11</v>
      </c>
      <c r="E109" s="80" t="s">
        <v>139</v>
      </c>
      <c r="F109" s="81">
        <v>199.5</v>
      </c>
      <c r="G109" s="81">
        <v>98.82358</v>
      </c>
      <c r="H109" s="166">
        <f t="shared" si="7"/>
        <v>0.4953562907268171</v>
      </c>
    </row>
    <row r="110" spans="1:8" s="138" customFormat="1" ht="15.75">
      <c r="A110" s="82" t="s">
        <v>146</v>
      </c>
      <c r="B110" s="83" t="s">
        <v>103</v>
      </c>
      <c r="C110" s="83" t="s">
        <v>121</v>
      </c>
      <c r="D110" s="83" t="s">
        <v>15</v>
      </c>
      <c r="E110" s="83" t="s">
        <v>315</v>
      </c>
      <c r="F110" s="84">
        <f>F111</f>
        <v>5.511099999999999</v>
      </c>
      <c r="G110" s="84">
        <f>G111</f>
        <v>0</v>
      </c>
      <c r="H110" s="166">
        <f t="shared" si="7"/>
        <v>0</v>
      </c>
    </row>
    <row r="111" spans="1:8" ht="15.75">
      <c r="A111" s="79" t="s">
        <v>142</v>
      </c>
      <c r="B111" s="80" t="s">
        <v>103</v>
      </c>
      <c r="C111" s="80" t="s">
        <v>121</v>
      </c>
      <c r="D111" s="80" t="s">
        <v>15</v>
      </c>
      <c r="E111" s="80" t="s">
        <v>143</v>
      </c>
      <c r="F111" s="81">
        <f>F112</f>
        <v>5.511099999999999</v>
      </c>
      <c r="G111" s="81">
        <f>G112</f>
        <v>0</v>
      </c>
      <c r="H111" s="166">
        <f t="shared" si="7"/>
        <v>0</v>
      </c>
    </row>
    <row r="112" spans="1:8" ht="15.75">
      <c r="A112" s="79" t="s">
        <v>146</v>
      </c>
      <c r="B112" s="80" t="s">
        <v>103</v>
      </c>
      <c r="C112" s="80" t="s">
        <v>121</v>
      </c>
      <c r="D112" s="80" t="s">
        <v>15</v>
      </c>
      <c r="E112" s="80" t="s">
        <v>147</v>
      </c>
      <c r="F112" s="31">
        <f>'[1]4'!G87</f>
        <v>5.511099999999999</v>
      </c>
      <c r="G112" s="81">
        <v>0</v>
      </c>
      <c r="H112" s="166">
        <f t="shared" si="7"/>
        <v>0</v>
      </c>
    </row>
    <row r="113" spans="1:8" ht="30">
      <c r="A113" s="15" t="s">
        <v>668</v>
      </c>
      <c r="B113" s="3" t="s">
        <v>103</v>
      </c>
      <c r="C113" s="3" t="s">
        <v>121</v>
      </c>
      <c r="D113" s="3" t="s">
        <v>11</v>
      </c>
      <c r="E113" s="3" t="s">
        <v>112</v>
      </c>
      <c r="F113" s="22">
        <f>F114</f>
        <v>1150</v>
      </c>
      <c r="G113" s="22">
        <f>G114</f>
        <v>1150</v>
      </c>
      <c r="H113" s="166">
        <f t="shared" si="7"/>
        <v>1</v>
      </c>
    </row>
    <row r="114" spans="1:8" ht="45">
      <c r="A114" s="99" t="s">
        <v>138</v>
      </c>
      <c r="B114" s="80" t="s">
        <v>103</v>
      </c>
      <c r="C114" s="80" t="s">
        <v>121</v>
      </c>
      <c r="D114" s="80" t="s">
        <v>11</v>
      </c>
      <c r="E114" s="80" t="s">
        <v>139</v>
      </c>
      <c r="F114" s="81">
        <v>1150</v>
      </c>
      <c r="G114" s="81">
        <v>1150</v>
      </c>
      <c r="H114" s="166">
        <f t="shared" si="7"/>
        <v>1</v>
      </c>
    </row>
    <row r="115" spans="1:8" s="138" customFormat="1" ht="63">
      <c r="A115" s="82" t="s">
        <v>281</v>
      </c>
      <c r="B115" s="83" t="s">
        <v>103</v>
      </c>
      <c r="C115" s="83" t="s">
        <v>121</v>
      </c>
      <c r="D115" s="83" t="s">
        <v>16</v>
      </c>
      <c r="E115" s="83" t="s">
        <v>315</v>
      </c>
      <c r="F115" s="84">
        <f>F116</f>
        <v>1060.86313</v>
      </c>
      <c r="G115" s="84">
        <f>G116</f>
        <v>821.77313</v>
      </c>
      <c r="H115" s="166">
        <f t="shared" si="7"/>
        <v>0.7746269115790649</v>
      </c>
    </row>
    <row r="116" spans="1:8" ht="31.5">
      <c r="A116" s="79" t="s">
        <v>137</v>
      </c>
      <c r="B116" s="80" t="s">
        <v>103</v>
      </c>
      <c r="C116" s="80" t="s">
        <v>121</v>
      </c>
      <c r="D116" s="80" t="s">
        <v>16</v>
      </c>
      <c r="E116" s="80" t="s">
        <v>112</v>
      </c>
      <c r="F116" s="81">
        <f>F117</f>
        <v>1060.86313</v>
      </c>
      <c r="G116" s="81">
        <f>G117</f>
        <v>821.77313</v>
      </c>
      <c r="H116" s="166">
        <f t="shared" si="7"/>
        <v>0.7746269115790649</v>
      </c>
    </row>
    <row r="117" spans="1:8" ht="47.25">
      <c r="A117" s="93" t="s">
        <v>138</v>
      </c>
      <c r="B117" s="80" t="s">
        <v>103</v>
      </c>
      <c r="C117" s="80" t="s">
        <v>121</v>
      </c>
      <c r="D117" s="80" t="s">
        <v>16</v>
      </c>
      <c r="E117" s="80" t="s">
        <v>139</v>
      </c>
      <c r="F117" s="22">
        <f>420.96+887-247.09687</f>
        <v>1060.86313</v>
      </c>
      <c r="G117" s="22">
        <v>821.77313</v>
      </c>
      <c r="H117" s="166">
        <f t="shared" si="7"/>
        <v>0.7746269115790649</v>
      </c>
    </row>
    <row r="118" spans="1:8" ht="15.75">
      <c r="A118" s="95" t="s">
        <v>376</v>
      </c>
      <c r="B118" s="83" t="s">
        <v>103</v>
      </c>
      <c r="C118" s="83" t="s">
        <v>121</v>
      </c>
      <c r="D118" s="83" t="s">
        <v>377</v>
      </c>
      <c r="E118" s="83" t="s">
        <v>315</v>
      </c>
      <c r="F118" s="84">
        <f>F119+F121</f>
        <v>2315.26154</v>
      </c>
      <c r="G118" s="84">
        <f>G119+G121</f>
        <v>1774.27434</v>
      </c>
      <c r="H118" s="166">
        <f t="shared" si="7"/>
        <v>0.7663386228063029</v>
      </c>
    </row>
    <row r="119" spans="1:8" ht="31.5">
      <c r="A119" s="79" t="s">
        <v>137</v>
      </c>
      <c r="B119" s="80" t="s">
        <v>103</v>
      </c>
      <c r="C119" s="80" t="s">
        <v>121</v>
      </c>
      <c r="D119" s="80" t="s">
        <v>377</v>
      </c>
      <c r="E119" s="80" t="s">
        <v>112</v>
      </c>
      <c r="F119" s="81">
        <f>F120</f>
        <v>2315.26154</v>
      </c>
      <c r="G119" s="81">
        <f>G120</f>
        <v>1774.27434</v>
      </c>
      <c r="H119" s="166">
        <f t="shared" si="7"/>
        <v>0.7663386228063029</v>
      </c>
    </row>
    <row r="120" spans="1:8" ht="47.25">
      <c r="A120" s="93" t="s">
        <v>138</v>
      </c>
      <c r="B120" s="80" t="s">
        <v>103</v>
      </c>
      <c r="C120" s="80" t="s">
        <v>121</v>
      </c>
      <c r="D120" s="80" t="s">
        <v>377</v>
      </c>
      <c r="E120" s="80" t="s">
        <v>139</v>
      </c>
      <c r="F120" s="22">
        <f>'[1]5'!D242</f>
        <v>2315.26154</v>
      </c>
      <c r="G120" s="81">
        <v>1774.27434</v>
      </c>
      <c r="H120" s="166">
        <f t="shared" si="7"/>
        <v>0.7663386228063029</v>
      </c>
    </row>
    <row r="121" spans="1:8" ht="15.75" hidden="1">
      <c r="A121" s="79" t="s">
        <v>142</v>
      </c>
      <c r="B121" s="80" t="s">
        <v>103</v>
      </c>
      <c r="C121" s="80" t="s">
        <v>121</v>
      </c>
      <c r="D121" s="80" t="s">
        <v>377</v>
      </c>
      <c r="E121" s="80" t="s">
        <v>143</v>
      </c>
      <c r="F121" s="81">
        <f>F122</f>
        <v>0</v>
      </c>
      <c r="G121" s="81"/>
      <c r="H121" s="166" t="e">
        <f t="shared" si="7"/>
        <v>#DIV/0!</v>
      </c>
    </row>
    <row r="122" spans="1:8" ht="15.75" hidden="1">
      <c r="A122" s="85" t="s">
        <v>140</v>
      </c>
      <c r="B122" s="80" t="s">
        <v>103</v>
      </c>
      <c r="C122" s="80" t="s">
        <v>121</v>
      </c>
      <c r="D122" s="80" t="s">
        <v>377</v>
      </c>
      <c r="E122" s="80" t="s">
        <v>141</v>
      </c>
      <c r="F122" s="81"/>
      <c r="G122" s="81"/>
      <c r="H122" s="166" t="e">
        <f t="shared" si="7"/>
        <v>#DIV/0!</v>
      </c>
    </row>
    <row r="123" spans="1:8" s="138" customFormat="1" ht="78.75">
      <c r="A123" s="56" t="s">
        <v>650</v>
      </c>
      <c r="B123" s="9" t="s">
        <v>103</v>
      </c>
      <c r="C123" s="9" t="s">
        <v>121</v>
      </c>
      <c r="D123" s="9" t="s">
        <v>649</v>
      </c>
      <c r="E123" s="9" t="s">
        <v>315</v>
      </c>
      <c r="F123" s="23">
        <f>F125+F129</f>
        <v>124.95</v>
      </c>
      <c r="G123" s="23">
        <f>G125+G129</f>
        <v>124.95</v>
      </c>
      <c r="H123" s="166">
        <f t="shared" si="7"/>
        <v>1</v>
      </c>
    </row>
    <row r="124" spans="1:8" s="138" customFormat="1" ht="31.5">
      <c r="A124" s="8" t="s">
        <v>137</v>
      </c>
      <c r="B124" s="3" t="s">
        <v>103</v>
      </c>
      <c r="C124" s="3" t="s">
        <v>121</v>
      </c>
      <c r="D124" s="9" t="s">
        <v>649</v>
      </c>
      <c r="E124" s="3" t="s">
        <v>112</v>
      </c>
      <c r="F124" s="22">
        <f>F125</f>
        <v>124.95</v>
      </c>
      <c r="G124" s="22">
        <f>G125</f>
        <v>124.95</v>
      </c>
      <c r="H124" s="166">
        <f t="shared" si="7"/>
        <v>1</v>
      </c>
    </row>
    <row r="125" spans="1:8" ht="47.25">
      <c r="A125" s="17" t="s">
        <v>138</v>
      </c>
      <c r="B125" s="3" t="s">
        <v>103</v>
      </c>
      <c r="C125" s="3" t="s">
        <v>121</v>
      </c>
      <c r="D125" s="9" t="s">
        <v>649</v>
      </c>
      <c r="E125" s="3" t="s">
        <v>139</v>
      </c>
      <c r="F125" s="22">
        <f>76.2+43.5+5.25</f>
        <v>124.95</v>
      </c>
      <c r="G125" s="81">
        <v>124.95</v>
      </c>
      <c r="H125" s="166">
        <f t="shared" si="7"/>
        <v>1</v>
      </c>
    </row>
    <row r="126" spans="1:8" s="138" customFormat="1" ht="126">
      <c r="A126" s="100" t="s">
        <v>669</v>
      </c>
      <c r="B126" s="9" t="s">
        <v>103</v>
      </c>
      <c r="C126" s="9" t="s">
        <v>121</v>
      </c>
      <c r="D126" s="9" t="s">
        <v>670</v>
      </c>
      <c r="E126" s="9" t="s">
        <v>315</v>
      </c>
      <c r="F126" s="23">
        <f>F127</f>
        <v>5</v>
      </c>
      <c r="G126" s="23">
        <f>G127</f>
        <v>5</v>
      </c>
      <c r="H126" s="166">
        <f t="shared" si="7"/>
        <v>1</v>
      </c>
    </row>
    <row r="127" spans="1:8" ht="31.5">
      <c r="A127" s="8" t="s">
        <v>137</v>
      </c>
      <c r="B127" s="3" t="s">
        <v>103</v>
      </c>
      <c r="C127" s="3" t="s">
        <v>121</v>
      </c>
      <c r="D127" s="9" t="s">
        <v>670</v>
      </c>
      <c r="E127" s="3" t="s">
        <v>112</v>
      </c>
      <c r="F127" s="22">
        <f>F128</f>
        <v>5</v>
      </c>
      <c r="G127" s="22">
        <f>G128</f>
        <v>5</v>
      </c>
      <c r="H127" s="166">
        <f t="shared" si="7"/>
        <v>1</v>
      </c>
    </row>
    <row r="128" spans="1:8" ht="47.25">
      <c r="A128" s="17" t="s">
        <v>138</v>
      </c>
      <c r="B128" s="3" t="s">
        <v>103</v>
      </c>
      <c r="C128" s="3" t="s">
        <v>121</v>
      </c>
      <c r="D128" s="9" t="s">
        <v>670</v>
      </c>
      <c r="E128" s="3" t="s">
        <v>139</v>
      </c>
      <c r="F128" s="22">
        <v>5</v>
      </c>
      <c r="G128" s="81">
        <v>5</v>
      </c>
      <c r="H128" s="166">
        <f t="shared" si="7"/>
        <v>1</v>
      </c>
    </row>
    <row r="129" spans="1:8" ht="15.75" hidden="1">
      <c r="A129" s="79" t="s">
        <v>142</v>
      </c>
      <c r="B129" s="80" t="s">
        <v>103</v>
      </c>
      <c r="C129" s="80" t="s">
        <v>121</v>
      </c>
      <c r="D129" s="80" t="s">
        <v>396</v>
      </c>
      <c r="E129" s="80" t="s">
        <v>143</v>
      </c>
      <c r="F129" s="81">
        <f>F130</f>
        <v>0</v>
      </c>
      <c r="G129" s="81"/>
      <c r="H129" s="166" t="e">
        <f t="shared" si="7"/>
        <v>#DIV/0!</v>
      </c>
    </row>
    <row r="130" spans="1:8" ht="15.75" hidden="1">
      <c r="A130" s="85" t="s">
        <v>140</v>
      </c>
      <c r="B130" s="80" t="s">
        <v>103</v>
      </c>
      <c r="C130" s="80" t="s">
        <v>121</v>
      </c>
      <c r="D130" s="80" t="s">
        <v>396</v>
      </c>
      <c r="E130" s="80" t="s">
        <v>141</v>
      </c>
      <c r="F130" s="81"/>
      <c r="G130" s="81"/>
      <c r="H130" s="166" t="e">
        <f t="shared" si="7"/>
        <v>#DIV/0!</v>
      </c>
    </row>
    <row r="131" spans="1:8" s="143" customFormat="1" ht="78.75">
      <c r="A131" s="87" t="s">
        <v>405</v>
      </c>
      <c r="B131" s="88" t="s">
        <v>103</v>
      </c>
      <c r="C131" s="88" t="s">
        <v>121</v>
      </c>
      <c r="D131" s="88" t="s">
        <v>243</v>
      </c>
      <c r="E131" s="88" t="s">
        <v>315</v>
      </c>
      <c r="F131" s="89">
        <f>F132</f>
        <v>1246.2927</v>
      </c>
      <c r="G131" s="89">
        <f>G132</f>
        <v>1246.2927</v>
      </c>
      <c r="H131" s="266">
        <f t="shared" si="7"/>
        <v>1</v>
      </c>
    </row>
    <row r="132" spans="1:8" ht="31.5">
      <c r="A132" s="79" t="s">
        <v>371</v>
      </c>
      <c r="B132" s="80" t="s">
        <v>103</v>
      </c>
      <c r="C132" s="80" t="s">
        <v>121</v>
      </c>
      <c r="D132" s="80" t="s">
        <v>7</v>
      </c>
      <c r="E132" s="80" t="s">
        <v>315</v>
      </c>
      <c r="F132" s="81">
        <f>F133</f>
        <v>1246.2927</v>
      </c>
      <c r="G132" s="81">
        <f>G133</f>
        <v>1246.2927</v>
      </c>
      <c r="H132" s="166">
        <f t="shared" si="7"/>
        <v>1</v>
      </c>
    </row>
    <row r="133" spans="1:8" ht="47.25">
      <c r="A133" s="79" t="s">
        <v>107</v>
      </c>
      <c r="B133" s="80" t="s">
        <v>103</v>
      </c>
      <c r="C133" s="80" t="s">
        <v>121</v>
      </c>
      <c r="D133" s="80" t="s">
        <v>8</v>
      </c>
      <c r="E133" s="80" t="s">
        <v>315</v>
      </c>
      <c r="F133" s="81">
        <f>F134+F136</f>
        <v>1246.2927</v>
      </c>
      <c r="G133" s="81">
        <f>G134+G136</f>
        <v>1246.2927</v>
      </c>
      <c r="H133" s="166">
        <f t="shared" si="7"/>
        <v>1</v>
      </c>
    </row>
    <row r="134" spans="1:8" ht="94.5">
      <c r="A134" s="79" t="s">
        <v>134</v>
      </c>
      <c r="B134" s="80" t="s">
        <v>103</v>
      </c>
      <c r="C134" s="80" t="s">
        <v>121</v>
      </c>
      <c r="D134" s="80" t="s">
        <v>406</v>
      </c>
      <c r="E134" s="80" t="s">
        <v>108</v>
      </c>
      <c r="F134" s="22">
        <f>F135</f>
        <v>1056.58781</v>
      </c>
      <c r="G134" s="22">
        <f>G135</f>
        <v>1056.58781</v>
      </c>
      <c r="H134" s="166">
        <f t="shared" si="7"/>
        <v>1</v>
      </c>
    </row>
    <row r="135" spans="1:8" ht="31.5">
      <c r="A135" s="79" t="s">
        <v>136</v>
      </c>
      <c r="B135" s="80" t="s">
        <v>103</v>
      </c>
      <c r="C135" s="80" t="s">
        <v>121</v>
      </c>
      <c r="D135" s="80" t="s">
        <v>406</v>
      </c>
      <c r="E135" s="80" t="s">
        <v>135</v>
      </c>
      <c r="F135" s="22">
        <f>'[1]4'!G108</f>
        <v>1056.58781</v>
      </c>
      <c r="G135" s="81">
        <v>1056.58781</v>
      </c>
      <c r="H135" s="166">
        <f t="shared" si="7"/>
        <v>1</v>
      </c>
    </row>
    <row r="136" spans="1:8" ht="31.5">
      <c r="A136" s="79" t="s">
        <v>137</v>
      </c>
      <c r="B136" s="80" t="s">
        <v>103</v>
      </c>
      <c r="C136" s="80" t="s">
        <v>121</v>
      </c>
      <c r="D136" s="80" t="s">
        <v>406</v>
      </c>
      <c r="E136" s="80" t="s">
        <v>112</v>
      </c>
      <c r="F136" s="22">
        <f>F137</f>
        <v>189.7048900000001</v>
      </c>
      <c r="G136" s="22">
        <f>G137</f>
        <v>189.70489</v>
      </c>
      <c r="H136" s="166">
        <f t="shared" si="7"/>
        <v>0.9999999999999996</v>
      </c>
    </row>
    <row r="137" spans="1:8" ht="47.25">
      <c r="A137" s="93" t="s">
        <v>138</v>
      </c>
      <c r="B137" s="80" t="s">
        <v>103</v>
      </c>
      <c r="C137" s="80" t="s">
        <v>121</v>
      </c>
      <c r="D137" s="80" t="s">
        <v>406</v>
      </c>
      <c r="E137" s="80" t="s">
        <v>139</v>
      </c>
      <c r="F137" s="22">
        <f>'[1]4'!G110</f>
        <v>189.7048900000001</v>
      </c>
      <c r="G137" s="81">
        <v>189.70489</v>
      </c>
      <c r="H137" s="166">
        <f t="shared" si="7"/>
        <v>0.9999999999999996</v>
      </c>
    </row>
    <row r="138" spans="1:8" ht="31.5">
      <c r="A138" s="87" t="s">
        <v>572</v>
      </c>
      <c r="B138" s="88" t="s">
        <v>103</v>
      </c>
      <c r="C138" s="88" t="s">
        <v>121</v>
      </c>
      <c r="D138" s="88" t="s">
        <v>573</v>
      </c>
      <c r="E138" s="88" t="s">
        <v>315</v>
      </c>
      <c r="F138" s="28">
        <f>F139</f>
        <v>234.948</v>
      </c>
      <c r="G138" s="28">
        <f>G139</f>
        <v>214.549</v>
      </c>
      <c r="H138" s="166">
        <f t="shared" si="7"/>
        <v>0.9131765326795717</v>
      </c>
    </row>
    <row r="139" spans="1:8" ht="31.5">
      <c r="A139" s="79" t="s">
        <v>137</v>
      </c>
      <c r="B139" s="80" t="s">
        <v>103</v>
      </c>
      <c r="C139" s="80" t="s">
        <v>121</v>
      </c>
      <c r="D139" s="80" t="s">
        <v>573</v>
      </c>
      <c r="E139" s="80" t="s">
        <v>112</v>
      </c>
      <c r="F139" s="22">
        <f>F140</f>
        <v>234.948</v>
      </c>
      <c r="G139" s="22">
        <f>G140</f>
        <v>214.549</v>
      </c>
      <c r="H139" s="166">
        <f t="shared" si="7"/>
        <v>0.9131765326795717</v>
      </c>
    </row>
    <row r="140" spans="1:8" ht="47.25">
      <c r="A140" s="93" t="s">
        <v>138</v>
      </c>
      <c r="B140" s="80" t="s">
        <v>103</v>
      </c>
      <c r="C140" s="80" t="s">
        <v>121</v>
      </c>
      <c r="D140" s="80" t="s">
        <v>573</v>
      </c>
      <c r="E140" s="80" t="s">
        <v>139</v>
      </c>
      <c r="F140" s="22">
        <f>110+19.5+80.84-5.392+9.101+20.899</f>
        <v>234.948</v>
      </c>
      <c r="G140" s="81">
        <v>214.549</v>
      </c>
      <c r="H140" s="166">
        <f t="shared" si="7"/>
        <v>0.9131765326795717</v>
      </c>
    </row>
    <row r="141" spans="1:8" ht="63">
      <c r="A141" s="95" t="s">
        <v>647</v>
      </c>
      <c r="B141" s="83" t="s">
        <v>103</v>
      </c>
      <c r="C141" s="83" t="s">
        <v>121</v>
      </c>
      <c r="D141" s="83" t="s">
        <v>648</v>
      </c>
      <c r="E141" s="83" t="s">
        <v>315</v>
      </c>
      <c r="F141" s="84">
        <f>F142</f>
        <v>550</v>
      </c>
      <c r="G141" s="84">
        <f>G142</f>
        <v>545.10727</v>
      </c>
      <c r="H141" s="166">
        <f t="shared" si="7"/>
        <v>0.9911041272727272</v>
      </c>
    </row>
    <row r="142" spans="1:8" ht="31.5">
      <c r="A142" s="79" t="s">
        <v>137</v>
      </c>
      <c r="B142" s="80" t="s">
        <v>103</v>
      </c>
      <c r="C142" s="80" t="s">
        <v>121</v>
      </c>
      <c r="D142" s="80" t="s">
        <v>648</v>
      </c>
      <c r="E142" s="80" t="s">
        <v>112</v>
      </c>
      <c r="F142" s="81">
        <f>F143</f>
        <v>550</v>
      </c>
      <c r="G142" s="81">
        <f>G143</f>
        <v>545.10727</v>
      </c>
      <c r="H142" s="166">
        <f t="shared" si="7"/>
        <v>0.9911041272727272</v>
      </c>
    </row>
    <row r="143" spans="1:8" ht="47.25">
      <c r="A143" s="93" t="s">
        <v>138</v>
      </c>
      <c r="B143" s="80" t="s">
        <v>103</v>
      </c>
      <c r="C143" s="80" t="s">
        <v>121</v>
      </c>
      <c r="D143" s="80" t="s">
        <v>648</v>
      </c>
      <c r="E143" s="80" t="s">
        <v>139</v>
      </c>
      <c r="F143" s="22">
        <f>'[1]5'!D257</f>
        <v>550</v>
      </c>
      <c r="G143" s="81">
        <v>545.10727</v>
      </c>
      <c r="H143" s="166">
        <f t="shared" si="7"/>
        <v>0.9911041272727272</v>
      </c>
    </row>
    <row r="144" spans="1:8" ht="63">
      <c r="A144" s="16" t="s">
        <v>671</v>
      </c>
      <c r="B144" s="9" t="s">
        <v>103</v>
      </c>
      <c r="C144" s="9" t="s">
        <v>121</v>
      </c>
      <c r="D144" s="9" t="s">
        <v>672</v>
      </c>
      <c r="E144" s="9" t="s">
        <v>315</v>
      </c>
      <c r="F144" s="23">
        <f>F145</f>
        <v>230</v>
      </c>
      <c r="G144" s="23">
        <f>G145</f>
        <v>230</v>
      </c>
      <c r="H144" s="166">
        <f t="shared" si="7"/>
        <v>1</v>
      </c>
    </row>
    <row r="145" spans="1:8" ht="31.5">
      <c r="A145" s="8" t="s">
        <v>137</v>
      </c>
      <c r="B145" s="3" t="s">
        <v>103</v>
      </c>
      <c r="C145" s="3" t="s">
        <v>121</v>
      </c>
      <c r="D145" s="3" t="s">
        <v>672</v>
      </c>
      <c r="E145" s="3" t="s">
        <v>112</v>
      </c>
      <c r="F145" s="22">
        <f>F146</f>
        <v>230</v>
      </c>
      <c r="G145" s="22">
        <f>G146</f>
        <v>230</v>
      </c>
      <c r="H145" s="166">
        <f aca="true" t="shared" si="8" ref="H145:H170">G145/F145</f>
        <v>1</v>
      </c>
    </row>
    <row r="146" spans="1:8" ht="47.25">
      <c r="A146" s="17" t="s">
        <v>138</v>
      </c>
      <c r="B146" s="3" t="s">
        <v>103</v>
      </c>
      <c r="C146" s="3" t="s">
        <v>121</v>
      </c>
      <c r="D146" s="3" t="s">
        <v>672</v>
      </c>
      <c r="E146" s="3" t="s">
        <v>139</v>
      </c>
      <c r="F146" s="22">
        <v>230</v>
      </c>
      <c r="G146" s="81">
        <v>230</v>
      </c>
      <c r="H146" s="166">
        <f t="shared" si="8"/>
        <v>1</v>
      </c>
    </row>
    <row r="147" spans="1:8" s="138" customFormat="1" ht="47.25">
      <c r="A147" s="82" t="s">
        <v>673</v>
      </c>
      <c r="B147" s="83" t="s">
        <v>103</v>
      </c>
      <c r="C147" s="83" t="s">
        <v>121</v>
      </c>
      <c r="D147" s="83" t="s">
        <v>22</v>
      </c>
      <c r="E147" s="83" t="s">
        <v>315</v>
      </c>
      <c r="F147" s="84">
        <f>F148+F151+F159+F162</f>
        <v>83</v>
      </c>
      <c r="G147" s="84">
        <f>G148+G151+G159+G162</f>
        <v>82.40678</v>
      </c>
      <c r="H147" s="166">
        <f t="shared" si="8"/>
        <v>0.9928527710843373</v>
      </c>
    </row>
    <row r="148" spans="1:8" s="144" customFormat="1" ht="22.5" customHeight="1" hidden="1">
      <c r="A148" s="101" t="s">
        <v>24</v>
      </c>
      <c r="B148" s="80" t="s">
        <v>103</v>
      </c>
      <c r="C148" s="80" t="s">
        <v>121</v>
      </c>
      <c r="D148" s="94" t="s">
        <v>23</v>
      </c>
      <c r="E148" s="80" t="s">
        <v>315</v>
      </c>
      <c r="F148" s="81">
        <f>F149</f>
        <v>0</v>
      </c>
      <c r="G148" s="174"/>
      <c r="H148" s="166" t="e">
        <f t="shared" si="8"/>
        <v>#DIV/0!</v>
      </c>
    </row>
    <row r="149" spans="1:8" ht="28.5" customHeight="1" hidden="1">
      <c r="A149" s="79" t="s">
        <v>137</v>
      </c>
      <c r="B149" s="80" t="s">
        <v>103</v>
      </c>
      <c r="C149" s="80" t="s">
        <v>121</v>
      </c>
      <c r="D149" s="94" t="s">
        <v>25</v>
      </c>
      <c r="E149" s="80" t="s">
        <v>112</v>
      </c>
      <c r="F149" s="81">
        <f>F150</f>
        <v>0</v>
      </c>
      <c r="G149" s="81"/>
      <c r="H149" s="166" t="e">
        <f t="shared" si="8"/>
        <v>#DIV/0!</v>
      </c>
    </row>
    <row r="150" spans="1:8" ht="24.75" customHeight="1" hidden="1">
      <c r="A150" s="93" t="s">
        <v>138</v>
      </c>
      <c r="B150" s="80" t="s">
        <v>103</v>
      </c>
      <c r="C150" s="80" t="s">
        <v>121</v>
      </c>
      <c r="D150" s="94" t="s">
        <v>26</v>
      </c>
      <c r="E150" s="80" t="s">
        <v>139</v>
      </c>
      <c r="F150" s="81"/>
      <c r="G150" s="81"/>
      <c r="H150" s="166" t="e">
        <f t="shared" si="8"/>
        <v>#DIV/0!</v>
      </c>
    </row>
    <row r="151" spans="1:8" ht="24" customHeight="1" hidden="1">
      <c r="A151" s="102" t="s">
        <v>225</v>
      </c>
      <c r="B151" s="80" t="s">
        <v>103</v>
      </c>
      <c r="C151" s="80" t="s">
        <v>121</v>
      </c>
      <c r="D151" s="94" t="s">
        <v>39</v>
      </c>
      <c r="E151" s="80" t="s">
        <v>315</v>
      </c>
      <c r="F151" s="81">
        <f>F152</f>
        <v>0</v>
      </c>
      <c r="G151" s="81"/>
      <c r="H151" s="166" t="e">
        <f t="shared" si="8"/>
        <v>#DIV/0!</v>
      </c>
    </row>
    <row r="152" spans="1:8" ht="27.75" customHeight="1" hidden="1">
      <c r="A152" s="82" t="s">
        <v>474</v>
      </c>
      <c r="B152" s="83" t="s">
        <v>103</v>
      </c>
      <c r="C152" s="83" t="s">
        <v>121</v>
      </c>
      <c r="D152" s="83" t="s">
        <v>243</v>
      </c>
      <c r="E152" s="83" t="s">
        <v>315</v>
      </c>
      <c r="F152" s="84">
        <f>F153+F156</f>
        <v>0</v>
      </c>
      <c r="G152" s="81"/>
      <c r="H152" s="166" t="e">
        <f t="shared" si="8"/>
        <v>#DIV/0!</v>
      </c>
    </row>
    <row r="153" spans="1:8" ht="25.5" customHeight="1" hidden="1">
      <c r="A153" s="79" t="s">
        <v>486</v>
      </c>
      <c r="B153" s="80" t="s">
        <v>103</v>
      </c>
      <c r="C153" s="80" t="s">
        <v>121</v>
      </c>
      <c r="D153" s="80" t="s">
        <v>478</v>
      </c>
      <c r="E153" s="80" t="s">
        <v>315</v>
      </c>
      <c r="F153" s="81">
        <f>F154</f>
        <v>0</v>
      </c>
      <c r="G153" s="81"/>
      <c r="H153" s="166" t="e">
        <f t="shared" si="8"/>
        <v>#DIV/0!</v>
      </c>
    </row>
    <row r="154" spans="1:8" ht="17.25" customHeight="1" hidden="1">
      <c r="A154" s="93" t="s">
        <v>440</v>
      </c>
      <c r="B154" s="80" t="s">
        <v>103</v>
      </c>
      <c r="C154" s="80" t="s">
        <v>121</v>
      </c>
      <c r="D154" s="80" t="s">
        <v>478</v>
      </c>
      <c r="E154" s="80" t="s">
        <v>441</v>
      </c>
      <c r="F154" s="81">
        <f>F155</f>
        <v>0</v>
      </c>
      <c r="G154" s="81"/>
      <c r="H154" s="166" t="e">
        <f t="shared" si="8"/>
        <v>#DIV/0!</v>
      </c>
    </row>
    <row r="155" spans="1:8" ht="25.5" customHeight="1" hidden="1">
      <c r="A155" s="93" t="s">
        <v>442</v>
      </c>
      <c r="B155" s="80" t="s">
        <v>103</v>
      </c>
      <c r="C155" s="80" t="s">
        <v>121</v>
      </c>
      <c r="D155" s="80" t="s">
        <v>478</v>
      </c>
      <c r="E155" s="80" t="s">
        <v>443</v>
      </c>
      <c r="F155" s="81"/>
      <c r="G155" s="81"/>
      <c r="H155" s="166" t="e">
        <f t="shared" si="8"/>
        <v>#DIV/0!</v>
      </c>
    </row>
    <row r="156" spans="1:8" ht="25.5" customHeight="1" hidden="1">
      <c r="A156" s="79" t="s">
        <v>487</v>
      </c>
      <c r="B156" s="80" t="s">
        <v>103</v>
      </c>
      <c r="C156" s="80" t="s">
        <v>121</v>
      </c>
      <c r="D156" s="3" t="s">
        <v>674</v>
      </c>
      <c r="E156" s="3" t="s">
        <v>315</v>
      </c>
      <c r="F156" s="81">
        <f>F157</f>
        <v>0</v>
      </c>
      <c r="G156" s="81"/>
      <c r="H156" s="166" t="e">
        <f t="shared" si="8"/>
        <v>#DIV/0!</v>
      </c>
    </row>
    <row r="157" spans="1:8" ht="21.75" customHeight="1" hidden="1">
      <c r="A157" s="93" t="s">
        <v>440</v>
      </c>
      <c r="B157" s="80" t="s">
        <v>103</v>
      </c>
      <c r="C157" s="80" t="s">
        <v>121</v>
      </c>
      <c r="D157" s="3" t="s">
        <v>674</v>
      </c>
      <c r="E157" s="3" t="s">
        <v>441</v>
      </c>
      <c r="F157" s="81">
        <f>F158</f>
        <v>0</v>
      </c>
      <c r="G157" s="81"/>
      <c r="H157" s="166" t="e">
        <f t="shared" si="8"/>
        <v>#DIV/0!</v>
      </c>
    </row>
    <row r="158" spans="1:8" ht="31.5" customHeight="1" hidden="1">
      <c r="A158" s="93" t="s">
        <v>442</v>
      </c>
      <c r="B158" s="80" t="s">
        <v>103</v>
      </c>
      <c r="C158" s="80" t="s">
        <v>121</v>
      </c>
      <c r="D158" s="3" t="s">
        <v>674</v>
      </c>
      <c r="E158" s="3" t="s">
        <v>443</v>
      </c>
      <c r="F158" s="22">
        <f>63-63</f>
        <v>0</v>
      </c>
      <c r="G158" s="81"/>
      <c r="H158" s="166" t="e">
        <f t="shared" si="8"/>
        <v>#DIV/0!</v>
      </c>
    </row>
    <row r="159" spans="1:8" ht="30" customHeight="1" hidden="1">
      <c r="A159" s="82" t="s">
        <v>485</v>
      </c>
      <c r="B159" s="83" t="s">
        <v>103</v>
      </c>
      <c r="C159" s="83" t="s">
        <v>121</v>
      </c>
      <c r="D159" s="83" t="s">
        <v>479</v>
      </c>
      <c r="E159" s="83" t="s">
        <v>315</v>
      </c>
      <c r="F159" s="84">
        <f>F160</f>
        <v>0</v>
      </c>
      <c r="G159" s="81"/>
      <c r="H159" s="166" t="e">
        <f t="shared" si="8"/>
        <v>#DIV/0!</v>
      </c>
    </row>
    <row r="160" spans="1:8" ht="36" customHeight="1" hidden="1">
      <c r="A160" s="79" t="s">
        <v>137</v>
      </c>
      <c r="B160" s="80" t="s">
        <v>103</v>
      </c>
      <c r="C160" s="80" t="s">
        <v>121</v>
      </c>
      <c r="D160" s="80" t="s">
        <v>479</v>
      </c>
      <c r="E160" s="80" t="s">
        <v>112</v>
      </c>
      <c r="F160" s="81">
        <f>F161</f>
        <v>0</v>
      </c>
      <c r="G160" s="81"/>
      <c r="H160" s="166" t="e">
        <f t="shared" si="8"/>
        <v>#DIV/0!</v>
      </c>
    </row>
    <row r="161" spans="1:8" ht="33.75" customHeight="1" hidden="1">
      <c r="A161" s="93" t="s">
        <v>138</v>
      </c>
      <c r="B161" s="80" t="s">
        <v>103</v>
      </c>
      <c r="C161" s="80" t="s">
        <v>121</v>
      </c>
      <c r="D161" s="80" t="s">
        <v>479</v>
      </c>
      <c r="E161" s="80" t="s">
        <v>139</v>
      </c>
      <c r="F161" s="81"/>
      <c r="G161" s="81"/>
      <c r="H161" s="166" t="e">
        <f t="shared" si="8"/>
        <v>#DIV/0!</v>
      </c>
    </row>
    <row r="162" spans="1:8" ht="31.5">
      <c r="A162" s="101" t="s">
        <v>27</v>
      </c>
      <c r="B162" s="80" t="s">
        <v>103</v>
      </c>
      <c r="C162" s="80" t="s">
        <v>121</v>
      </c>
      <c r="D162" s="80" t="s">
        <v>28</v>
      </c>
      <c r="E162" s="80" t="s">
        <v>315</v>
      </c>
      <c r="F162" s="81">
        <f>F163</f>
        <v>83</v>
      </c>
      <c r="G162" s="81">
        <f>G163</f>
        <v>82.40678</v>
      </c>
      <c r="H162" s="166">
        <f t="shared" si="8"/>
        <v>0.9928527710843373</v>
      </c>
    </row>
    <row r="163" spans="1:8" ht="31.5">
      <c r="A163" s="79" t="s">
        <v>137</v>
      </c>
      <c r="B163" s="80" t="s">
        <v>103</v>
      </c>
      <c r="C163" s="80" t="s">
        <v>121</v>
      </c>
      <c r="D163" s="80" t="s">
        <v>480</v>
      </c>
      <c r="E163" s="80" t="s">
        <v>112</v>
      </c>
      <c r="F163" s="81">
        <f>F164</f>
        <v>83</v>
      </c>
      <c r="G163" s="81">
        <f>G164</f>
        <v>82.40678</v>
      </c>
      <c r="H163" s="166">
        <f t="shared" si="8"/>
        <v>0.9928527710843373</v>
      </c>
    </row>
    <row r="164" spans="1:8" ht="47.25">
      <c r="A164" s="93" t="s">
        <v>138</v>
      </c>
      <c r="B164" s="80" t="s">
        <v>103</v>
      </c>
      <c r="C164" s="80" t="s">
        <v>121</v>
      </c>
      <c r="D164" s="80" t="s">
        <v>480</v>
      </c>
      <c r="E164" s="80" t="s">
        <v>139</v>
      </c>
      <c r="F164" s="81">
        <v>83</v>
      </c>
      <c r="G164" s="81">
        <v>82.40678</v>
      </c>
      <c r="H164" s="166">
        <f t="shared" si="8"/>
        <v>0.9928527710843373</v>
      </c>
    </row>
    <row r="165" spans="1:8" s="138" customFormat="1" ht="78.75">
      <c r="A165" s="10" t="s">
        <v>675</v>
      </c>
      <c r="B165" s="9" t="s">
        <v>103</v>
      </c>
      <c r="C165" s="9" t="s">
        <v>121</v>
      </c>
      <c r="D165" s="9" t="s">
        <v>29</v>
      </c>
      <c r="E165" s="9" t="s">
        <v>315</v>
      </c>
      <c r="F165" s="23">
        <f>F166</f>
        <v>28</v>
      </c>
      <c r="G165" s="23">
        <f>G166</f>
        <v>0</v>
      </c>
      <c r="H165" s="166">
        <f t="shared" si="8"/>
        <v>0</v>
      </c>
    </row>
    <row r="166" spans="1:8" ht="31.5">
      <c r="A166" s="8" t="s">
        <v>137</v>
      </c>
      <c r="B166" s="3" t="s">
        <v>103</v>
      </c>
      <c r="C166" s="3" t="s">
        <v>121</v>
      </c>
      <c r="D166" s="3" t="s">
        <v>30</v>
      </c>
      <c r="E166" s="3" t="s">
        <v>112</v>
      </c>
      <c r="F166" s="22">
        <f>F167</f>
        <v>28</v>
      </c>
      <c r="G166" s="22">
        <f>G167</f>
        <v>0</v>
      </c>
      <c r="H166" s="166">
        <f t="shared" si="8"/>
        <v>0</v>
      </c>
    </row>
    <row r="167" spans="1:8" ht="47.25">
      <c r="A167" s="17" t="s">
        <v>138</v>
      </c>
      <c r="B167" s="3" t="s">
        <v>103</v>
      </c>
      <c r="C167" s="3" t="s">
        <v>121</v>
      </c>
      <c r="D167" s="3" t="s">
        <v>31</v>
      </c>
      <c r="E167" s="3" t="s">
        <v>139</v>
      </c>
      <c r="F167" s="22">
        <v>28</v>
      </c>
      <c r="G167" s="81">
        <v>0</v>
      </c>
      <c r="H167" s="166">
        <f t="shared" si="8"/>
        <v>0</v>
      </c>
    </row>
    <row r="168" spans="1:8" ht="63">
      <c r="A168" s="95" t="s">
        <v>676</v>
      </c>
      <c r="B168" s="83" t="s">
        <v>103</v>
      </c>
      <c r="C168" s="83" t="s">
        <v>121</v>
      </c>
      <c r="D168" s="83" t="s">
        <v>407</v>
      </c>
      <c r="E168" s="83" t="s">
        <v>315</v>
      </c>
      <c r="F168" s="84">
        <f>F169</f>
        <v>20</v>
      </c>
      <c r="G168" s="84">
        <f>G169</f>
        <v>20</v>
      </c>
      <c r="H168" s="166">
        <f t="shared" si="8"/>
        <v>1</v>
      </c>
    </row>
    <row r="169" spans="1:8" ht="63">
      <c r="A169" s="93" t="s">
        <v>408</v>
      </c>
      <c r="B169" s="80" t="s">
        <v>103</v>
      </c>
      <c r="C169" s="80" t="s">
        <v>121</v>
      </c>
      <c r="D169" s="80" t="s">
        <v>409</v>
      </c>
      <c r="E169" s="80" t="s">
        <v>112</v>
      </c>
      <c r="F169" s="81">
        <f>F170</f>
        <v>20</v>
      </c>
      <c r="G169" s="81">
        <f>G170</f>
        <v>20</v>
      </c>
      <c r="H169" s="166">
        <f t="shared" si="8"/>
        <v>1</v>
      </c>
    </row>
    <row r="170" spans="1:8" ht="31.5">
      <c r="A170" s="93" t="s">
        <v>410</v>
      </c>
      <c r="B170" s="80" t="s">
        <v>103</v>
      </c>
      <c r="C170" s="80" t="s">
        <v>121</v>
      </c>
      <c r="D170" s="80" t="s">
        <v>411</v>
      </c>
      <c r="E170" s="80" t="s">
        <v>139</v>
      </c>
      <c r="F170" s="81">
        <v>20</v>
      </c>
      <c r="G170" s="81">
        <v>20</v>
      </c>
      <c r="H170" s="166">
        <f t="shared" si="8"/>
        <v>1</v>
      </c>
    </row>
    <row r="171" spans="1:8" ht="63">
      <c r="A171" s="10" t="s">
        <v>655</v>
      </c>
      <c r="B171" s="9" t="s">
        <v>103</v>
      </c>
      <c r="C171" s="9" t="s">
        <v>121</v>
      </c>
      <c r="D171" s="9" t="s">
        <v>656</v>
      </c>
      <c r="E171" s="9" t="s">
        <v>315</v>
      </c>
      <c r="F171" s="23">
        <f>F172</f>
        <v>10</v>
      </c>
      <c r="G171" s="23">
        <f>G172</f>
        <v>10</v>
      </c>
      <c r="H171" s="166">
        <f>G171/F171</f>
        <v>1</v>
      </c>
    </row>
    <row r="172" spans="1:8" ht="31.5">
      <c r="A172" s="8" t="s">
        <v>137</v>
      </c>
      <c r="B172" s="3" t="s">
        <v>103</v>
      </c>
      <c r="C172" s="3" t="s">
        <v>121</v>
      </c>
      <c r="D172" s="3" t="s">
        <v>657</v>
      </c>
      <c r="E172" s="3" t="s">
        <v>112</v>
      </c>
      <c r="F172" s="22">
        <f>F173</f>
        <v>10</v>
      </c>
      <c r="G172" s="22">
        <f>G173</f>
        <v>10</v>
      </c>
      <c r="H172" s="166">
        <f>G172/F172</f>
        <v>1</v>
      </c>
    </row>
    <row r="173" spans="1:8" ht="47.25">
      <c r="A173" s="17" t="s">
        <v>138</v>
      </c>
      <c r="B173" s="3" t="s">
        <v>103</v>
      </c>
      <c r="C173" s="3" t="s">
        <v>121</v>
      </c>
      <c r="D173" s="3" t="s">
        <v>657</v>
      </c>
      <c r="E173" s="3" t="s">
        <v>139</v>
      </c>
      <c r="F173" s="22">
        <v>10</v>
      </c>
      <c r="G173" s="81">
        <v>10</v>
      </c>
      <c r="H173" s="166">
        <f>G173/F173</f>
        <v>1</v>
      </c>
    </row>
    <row r="174" spans="1:8" s="145" customFormat="1" ht="47.25">
      <c r="A174" s="73" t="s">
        <v>283</v>
      </c>
      <c r="B174" s="74" t="s">
        <v>110</v>
      </c>
      <c r="C174" s="74" t="s">
        <v>104</v>
      </c>
      <c r="D174" s="74" t="s">
        <v>243</v>
      </c>
      <c r="E174" s="74" t="s">
        <v>315</v>
      </c>
      <c r="F174" s="75">
        <f>F175+F179</f>
        <v>90.72330000000001</v>
      </c>
      <c r="G174" s="75">
        <f>G175+G179</f>
        <v>90.7233</v>
      </c>
      <c r="H174" s="167">
        <f>G174/F174</f>
        <v>0.9999999999999999</v>
      </c>
    </row>
    <row r="175" spans="1:8" ht="63" hidden="1">
      <c r="A175" s="79" t="s">
        <v>284</v>
      </c>
      <c r="B175" s="80" t="s">
        <v>110</v>
      </c>
      <c r="C175" s="80" t="s">
        <v>285</v>
      </c>
      <c r="D175" s="80" t="s">
        <v>17</v>
      </c>
      <c r="E175" s="80" t="s">
        <v>315</v>
      </c>
      <c r="F175" s="81">
        <f>F176</f>
        <v>0</v>
      </c>
      <c r="G175" s="81"/>
      <c r="H175" s="166"/>
    </row>
    <row r="176" spans="1:8" ht="47.25" hidden="1">
      <c r="A176" s="79" t="s">
        <v>286</v>
      </c>
      <c r="B176" s="80" t="s">
        <v>110</v>
      </c>
      <c r="C176" s="80" t="s">
        <v>285</v>
      </c>
      <c r="D176" s="80" t="s">
        <v>17</v>
      </c>
      <c r="E176" s="80" t="s">
        <v>315</v>
      </c>
      <c r="F176" s="81">
        <f>F178</f>
        <v>0</v>
      </c>
      <c r="G176" s="81"/>
      <c r="H176" s="166"/>
    </row>
    <row r="177" spans="1:8" ht="31.5" hidden="1">
      <c r="A177" s="8" t="s">
        <v>137</v>
      </c>
      <c r="B177" s="80" t="s">
        <v>110</v>
      </c>
      <c r="C177" s="80" t="s">
        <v>285</v>
      </c>
      <c r="D177" s="80" t="s">
        <v>17</v>
      </c>
      <c r="E177" s="80" t="s">
        <v>112</v>
      </c>
      <c r="F177" s="81">
        <f>F178</f>
        <v>0</v>
      </c>
      <c r="G177" s="81"/>
      <c r="H177" s="166"/>
    </row>
    <row r="178" spans="1:8" ht="47.25" hidden="1">
      <c r="A178" s="17" t="s">
        <v>138</v>
      </c>
      <c r="B178" s="80" t="s">
        <v>110</v>
      </c>
      <c r="C178" s="80" t="s">
        <v>285</v>
      </c>
      <c r="D178" s="80" t="s">
        <v>17</v>
      </c>
      <c r="E178" s="80" t="s">
        <v>139</v>
      </c>
      <c r="F178" s="22">
        <f>100-100</f>
        <v>0</v>
      </c>
      <c r="G178" s="81"/>
      <c r="H178" s="166"/>
    </row>
    <row r="179" spans="1:8" ht="84" customHeight="1">
      <c r="A179" s="26" t="s">
        <v>677</v>
      </c>
      <c r="B179" s="25" t="s">
        <v>110</v>
      </c>
      <c r="C179" s="25" t="s">
        <v>285</v>
      </c>
      <c r="D179" s="25" t="s">
        <v>678</v>
      </c>
      <c r="E179" s="25" t="s">
        <v>315</v>
      </c>
      <c r="F179" s="104">
        <f>F180</f>
        <v>90.72330000000001</v>
      </c>
      <c r="G179" s="104">
        <f>G180</f>
        <v>90.7233</v>
      </c>
      <c r="H179" s="166">
        <f aca="true" t="shared" si="9" ref="H179:H184">G179/F179</f>
        <v>0.9999999999999999</v>
      </c>
    </row>
    <row r="180" spans="1:8" ht="30">
      <c r="A180" s="4" t="s">
        <v>137</v>
      </c>
      <c r="B180" s="105" t="s">
        <v>110</v>
      </c>
      <c r="C180" s="105" t="s">
        <v>285</v>
      </c>
      <c r="D180" s="105" t="s">
        <v>678</v>
      </c>
      <c r="E180" s="105" t="s">
        <v>112</v>
      </c>
      <c r="F180" s="106">
        <f>F181</f>
        <v>90.72330000000001</v>
      </c>
      <c r="G180" s="106">
        <f>G181</f>
        <v>90.7233</v>
      </c>
      <c r="H180" s="166">
        <f t="shared" si="9"/>
        <v>0.9999999999999999</v>
      </c>
    </row>
    <row r="181" spans="1:8" ht="45">
      <c r="A181" s="15" t="s">
        <v>138</v>
      </c>
      <c r="B181" s="105" t="s">
        <v>110</v>
      </c>
      <c r="C181" s="105" t="s">
        <v>285</v>
      </c>
      <c r="D181" s="105" t="s">
        <v>678</v>
      </c>
      <c r="E181" s="105" t="s">
        <v>139</v>
      </c>
      <c r="F181" s="107">
        <f>'[1]5'!D248</f>
        <v>90.72330000000001</v>
      </c>
      <c r="G181" s="129">
        <v>90.7233</v>
      </c>
      <c r="H181" s="166">
        <f t="shared" si="9"/>
        <v>0.9999999999999999</v>
      </c>
    </row>
    <row r="182" spans="1:8" s="145" customFormat="1" ht="15.75">
      <c r="A182" s="73" t="s">
        <v>287</v>
      </c>
      <c r="B182" s="74" t="s">
        <v>114</v>
      </c>
      <c r="C182" s="74" t="s">
        <v>104</v>
      </c>
      <c r="D182" s="74" t="s">
        <v>243</v>
      </c>
      <c r="E182" s="74" t="s">
        <v>315</v>
      </c>
      <c r="F182" s="75">
        <f>F193+F202+F183+F225</f>
        <v>31834.43364</v>
      </c>
      <c r="G182" s="75">
        <f>G193+G202+G183+G225</f>
        <v>22702.714329999995</v>
      </c>
      <c r="H182" s="167">
        <f t="shared" si="9"/>
        <v>0.7131496224099307</v>
      </c>
    </row>
    <row r="183" spans="1:8" s="146" customFormat="1" ht="15.75">
      <c r="A183" s="76" t="s">
        <v>179</v>
      </c>
      <c r="B183" s="77" t="s">
        <v>114</v>
      </c>
      <c r="C183" s="77" t="s">
        <v>296</v>
      </c>
      <c r="D183" s="77" t="s">
        <v>243</v>
      </c>
      <c r="E183" s="77" t="s">
        <v>315</v>
      </c>
      <c r="F183" s="78">
        <f>F187+F184+F190</f>
        <v>1054.53307</v>
      </c>
      <c r="G183" s="78">
        <f>G187+G184+G190</f>
        <v>1000.77153</v>
      </c>
      <c r="H183" s="168">
        <f t="shared" si="9"/>
        <v>0.9490186305869004</v>
      </c>
    </row>
    <row r="184" spans="1:8" ht="126">
      <c r="A184" s="82" t="s">
        <v>492</v>
      </c>
      <c r="B184" s="83" t="s">
        <v>114</v>
      </c>
      <c r="C184" s="83" t="s">
        <v>296</v>
      </c>
      <c r="D184" s="83" t="s">
        <v>33</v>
      </c>
      <c r="E184" s="83" t="s">
        <v>315</v>
      </c>
      <c r="F184" s="84">
        <f>F185</f>
        <v>944.53307</v>
      </c>
      <c r="G184" s="84">
        <f>G185</f>
        <v>890.77153</v>
      </c>
      <c r="H184" s="166">
        <f t="shared" si="9"/>
        <v>0.9430813576490233</v>
      </c>
    </row>
    <row r="185" spans="1:8" ht="31.5">
      <c r="A185" s="79" t="s">
        <v>137</v>
      </c>
      <c r="B185" s="80" t="s">
        <v>114</v>
      </c>
      <c r="C185" s="80" t="s">
        <v>296</v>
      </c>
      <c r="D185" s="80" t="s">
        <v>33</v>
      </c>
      <c r="E185" s="80" t="s">
        <v>112</v>
      </c>
      <c r="F185" s="81">
        <f>F186</f>
        <v>944.53307</v>
      </c>
      <c r="G185" s="81">
        <f>G186</f>
        <v>890.77153</v>
      </c>
      <c r="H185" s="166">
        <f aca="true" t="shared" si="10" ref="H185:H235">G185/F185</f>
        <v>0.9430813576490233</v>
      </c>
    </row>
    <row r="186" spans="1:8" ht="47.25">
      <c r="A186" s="93" t="s">
        <v>138</v>
      </c>
      <c r="B186" s="80" t="s">
        <v>114</v>
      </c>
      <c r="C186" s="80" t="s">
        <v>296</v>
      </c>
      <c r="D186" s="80" t="s">
        <v>33</v>
      </c>
      <c r="E186" s="80" t="s">
        <v>139</v>
      </c>
      <c r="F186" s="81">
        <v>944.53307</v>
      </c>
      <c r="G186" s="81">
        <v>890.77153</v>
      </c>
      <c r="H186" s="166">
        <f t="shared" si="10"/>
        <v>0.9430813576490233</v>
      </c>
    </row>
    <row r="187" spans="1:8" ht="78.75" hidden="1">
      <c r="A187" s="95" t="s">
        <v>632</v>
      </c>
      <c r="B187" s="83" t="s">
        <v>114</v>
      </c>
      <c r="C187" s="83" t="s">
        <v>296</v>
      </c>
      <c r="D187" s="83" t="s">
        <v>633</v>
      </c>
      <c r="E187" s="83" t="s">
        <v>315</v>
      </c>
      <c r="F187" s="84">
        <f>F188</f>
        <v>0</v>
      </c>
      <c r="G187" s="81"/>
      <c r="H187" s="166" t="e">
        <f t="shared" si="10"/>
        <v>#DIV/0!</v>
      </c>
    </row>
    <row r="188" spans="1:8" ht="31.5" hidden="1">
      <c r="A188" s="79" t="s">
        <v>137</v>
      </c>
      <c r="B188" s="80" t="s">
        <v>114</v>
      </c>
      <c r="C188" s="80" t="s">
        <v>296</v>
      </c>
      <c r="D188" s="80" t="s">
        <v>633</v>
      </c>
      <c r="E188" s="80" t="s">
        <v>112</v>
      </c>
      <c r="F188" s="81">
        <f>F189</f>
        <v>0</v>
      </c>
      <c r="G188" s="81"/>
      <c r="H188" s="166" t="e">
        <f t="shared" si="10"/>
        <v>#DIV/0!</v>
      </c>
    </row>
    <row r="189" spans="1:8" ht="47.25" hidden="1">
      <c r="A189" s="93" t="s">
        <v>138</v>
      </c>
      <c r="B189" s="80" t="s">
        <v>114</v>
      </c>
      <c r="C189" s="80" t="s">
        <v>296</v>
      </c>
      <c r="D189" s="80" t="s">
        <v>633</v>
      </c>
      <c r="E189" s="80" t="s">
        <v>139</v>
      </c>
      <c r="F189" s="81"/>
      <c r="G189" s="81"/>
      <c r="H189" s="166" t="e">
        <f t="shared" si="10"/>
        <v>#DIV/0!</v>
      </c>
    </row>
    <row r="190" spans="1:8" ht="63">
      <c r="A190" s="95" t="s">
        <v>679</v>
      </c>
      <c r="B190" s="80" t="s">
        <v>114</v>
      </c>
      <c r="C190" s="80" t="s">
        <v>296</v>
      </c>
      <c r="D190" s="80" t="s">
        <v>680</v>
      </c>
      <c r="E190" s="83" t="s">
        <v>315</v>
      </c>
      <c r="F190" s="81">
        <f>F191</f>
        <v>110</v>
      </c>
      <c r="G190" s="81">
        <f>G191</f>
        <v>110</v>
      </c>
      <c r="H190" s="166">
        <f t="shared" si="10"/>
        <v>1</v>
      </c>
    </row>
    <row r="191" spans="1:8" ht="31.5">
      <c r="A191" s="79" t="s">
        <v>137</v>
      </c>
      <c r="B191" s="80" t="s">
        <v>114</v>
      </c>
      <c r="C191" s="80" t="s">
        <v>296</v>
      </c>
      <c r="D191" s="80" t="s">
        <v>680</v>
      </c>
      <c r="E191" s="80" t="s">
        <v>112</v>
      </c>
      <c r="F191" s="81">
        <f>F192</f>
        <v>110</v>
      </c>
      <c r="G191" s="81">
        <f>G192</f>
        <v>110</v>
      </c>
      <c r="H191" s="166">
        <f t="shared" si="10"/>
        <v>1</v>
      </c>
    </row>
    <row r="192" spans="1:8" ht="47.25">
      <c r="A192" s="93" t="s">
        <v>138</v>
      </c>
      <c r="B192" s="80" t="s">
        <v>114</v>
      </c>
      <c r="C192" s="80" t="s">
        <v>296</v>
      </c>
      <c r="D192" s="80" t="s">
        <v>680</v>
      </c>
      <c r="E192" s="80" t="s">
        <v>139</v>
      </c>
      <c r="F192" s="22">
        <v>110</v>
      </c>
      <c r="G192" s="81">
        <v>110</v>
      </c>
      <c r="H192" s="166">
        <f t="shared" si="10"/>
        <v>1</v>
      </c>
    </row>
    <row r="193" spans="1:8" s="138" customFormat="1" ht="15.75">
      <c r="A193" s="76" t="s">
        <v>322</v>
      </c>
      <c r="B193" s="77" t="s">
        <v>114</v>
      </c>
      <c r="C193" s="77" t="s">
        <v>288</v>
      </c>
      <c r="D193" s="77" t="s">
        <v>243</v>
      </c>
      <c r="E193" s="77" t="s">
        <v>315</v>
      </c>
      <c r="F193" s="78">
        <f>F194+F197</f>
        <v>3003.38708</v>
      </c>
      <c r="G193" s="78">
        <f>G194+G197</f>
        <v>1522.0356</v>
      </c>
      <c r="H193" s="267">
        <f t="shared" si="10"/>
        <v>0.5067730397242036</v>
      </c>
    </row>
    <row r="194" spans="1:8" ht="157.5">
      <c r="A194" s="95" t="s">
        <v>412</v>
      </c>
      <c r="B194" s="83" t="s">
        <v>114</v>
      </c>
      <c r="C194" s="83" t="s">
        <v>288</v>
      </c>
      <c r="D194" s="83" t="s">
        <v>243</v>
      </c>
      <c r="E194" s="83" t="s">
        <v>315</v>
      </c>
      <c r="F194" s="84">
        <f>F195</f>
        <v>3.38708</v>
      </c>
      <c r="G194" s="84">
        <f>G195</f>
        <v>3.38708</v>
      </c>
      <c r="H194" s="166">
        <f t="shared" si="10"/>
        <v>1</v>
      </c>
    </row>
    <row r="195" spans="1:8" ht="31.5">
      <c r="A195" s="79" t="s">
        <v>137</v>
      </c>
      <c r="B195" s="80" t="s">
        <v>114</v>
      </c>
      <c r="C195" s="80" t="s">
        <v>288</v>
      </c>
      <c r="D195" s="80" t="s">
        <v>413</v>
      </c>
      <c r="E195" s="80" t="s">
        <v>112</v>
      </c>
      <c r="F195" s="81">
        <f>F196</f>
        <v>3.38708</v>
      </c>
      <c r="G195" s="81">
        <f>G196</f>
        <v>3.38708</v>
      </c>
      <c r="H195" s="166">
        <f t="shared" si="10"/>
        <v>1</v>
      </c>
    </row>
    <row r="196" spans="1:8" ht="47.25">
      <c r="A196" s="93" t="s">
        <v>138</v>
      </c>
      <c r="B196" s="80" t="s">
        <v>114</v>
      </c>
      <c r="C196" s="80" t="s">
        <v>288</v>
      </c>
      <c r="D196" s="80" t="s">
        <v>413</v>
      </c>
      <c r="E196" s="80" t="s">
        <v>139</v>
      </c>
      <c r="F196" s="81">
        <v>3.38708</v>
      </c>
      <c r="G196" s="81">
        <v>3.38708</v>
      </c>
      <c r="H196" s="166">
        <f t="shared" si="10"/>
        <v>1</v>
      </c>
    </row>
    <row r="197" spans="1:8" ht="47.25">
      <c r="A197" s="87" t="s">
        <v>106</v>
      </c>
      <c r="B197" s="88" t="s">
        <v>114</v>
      </c>
      <c r="C197" s="88" t="s">
        <v>288</v>
      </c>
      <c r="D197" s="88" t="s">
        <v>681</v>
      </c>
      <c r="E197" s="88" t="s">
        <v>315</v>
      </c>
      <c r="F197" s="89">
        <f aca="true" t="shared" si="11" ref="F197:G200">F198</f>
        <v>3000</v>
      </c>
      <c r="G197" s="89">
        <f t="shared" si="11"/>
        <v>1518.64852</v>
      </c>
      <c r="H197" s="166">
        <f t="shared" si="10"/>
        <v>0.5062161733333334</v>
      </c>
    </row>
    <row r="198" spans="1:8" ht="15.75">
      <c r="A198" s="79" t="s">
        <v>323</v>
      </c>
      <c r="B198" s="80" t="s">
        <v>114</v>
      </c>
      <c r="C198" s="80" t="s">
        <v>288</v>
      </c>
      <c r="D198" s="3" t="s">
        <v>682</v>
      </c>
      <c r="E198" s="3" t="s">
        <v>315</v>
      </c>
      <c r="F198" s="81">
        <f t="shared" si="11"/>
        <v>3000</v>
      </c>
      <c r="G198" s="81">
        <f t="shared" si="11"/>
        <v>1518.64852</v>
      </c>
      <c r="H198" s="166">
        <f t="shared" si="10"/>
        <v>0.5062161733333334</v>
      </c>
    </row>
    <row r="199" spans="1:8" ht="31.5">
      <c r="A199" s="8" t="s">
        <v>324</v>
      </c>
      <c r="B199" s="80" t="s">
        <v>114</v>
      </c>
      <c r="C199" s="80" t="s">
        <v>288</v>
      </c>
      <c r="D199" s="3" t="s">
        <v>682</v>
      </c>
      <c r="E199" s="3" t="s">
        <v>315</v>
      </c>
      <c r="F199" s="81">
        <f t="shared" si="11"/>
        <v>3000</v>
      </c>
      <c r="G199" s="81">
        <f t="shared" si="11"/>
        <v>1518.64852</v>
      </c>
      <c r="H199" s="166">
        <f t="shared" si="10"/>
        <v>0.5062161733333334</v>
      </c>
    </row>
    <row r="200" spans="1:8" ht="15.75">
      <c r="A200" s="8" t="s">
        <v>142</v>
      </c>
      <c r="B200" s="80" t="s">
        <v>114</v>
      </c>
      <c r="C200" s="80" t="s">
        <v>288</v>
      </c>
      <c r="D200" s="3" t="s">
        <v>682</v>
      </c>
      <c r="E200" s="3" t="s">
        <v>143</v>
      </c>
      <c r="F200" s="81">
        <f t="shared" si="11"/>
        <v>3000</v>
      </c>
      <c r="G200" s="81">
        <f t="shared" si="11"/>
        <v>1518.64852</v>
      </c>
      <c r="H200" s="166">
        <f t="shared" si="10"/>
        <v>0.5062161733333334</v>
      </c>
    </row>
    <row r="201" spans="1:8" ht="47.25">
      <c r="A201" s="8" t="s">
        <v>489</v>
      </c>
      <c r="B201" s="80" t="s">
        <v>114</v>
      </c>
      <c r="C201" s="80" t="s">
        <v>288</v>
      </c>
      <c r="D201" s="3" t="s">
        <v>682</v>
      </c>
      <c r="E201" s="3" t="s">
        <v>294</v>
      </c>
      <c r="F201" s="81">
        <v>3000</v>
      </c>
      <c r="G201" s="81">
        <v>1518.64852</v>
      </c>
      <c r="H201" s="166">
        <f t="shared" si="10"/>
        <v>0.5062161733333334</v>
      </c>
    </row>
    <row r="202" spans="1:8" s="138" customFormat="1" ht="15.75">
      <c r="A202" s="76" t="s">
        <v>289</v>
      </c>
      <c r="B202" s="77" t="s">
        <v>114</v>
      </c>
      <c r="C202" s="77" t="s">
        <v>285</v>
      </c>
      <c r="D202" s="77" t="s">
        <v>243</v>
      </c>
      <c r="E202" s="77" t="s">
        <v>315</v>
      </c>
      <c r="F202" s="78">
        <f>F203+F218</f>
        <v>27695.35099</v>
      </c>
      <c r="G202" s="78">
        <f>G203+G218</f>
        <v>20098.7447</v>
      </c>
      <c r="H202" s="267">
        <f t="shared" si="10"/>
        <v>0.7257082499967985</v>
      </c>
    </row>
    <row r="203" spans="1:8" s="138" customFormat="1" ht="78.75">
      <c r="A203" s="82" t="s">
        <v>683</v>
      </c>
      <c r="B203" s="83" t="s">
        <v>114</v>
      </c>
      <c r="C203" s="83" t="s">
        <v>285</v>
      </c>
      <c r="D203" s="83" t="s">
        <v>354</v>
      </c>
      <c r="E203" s="83" t="s">
        <v>315</v>
      </c>
      <c r="F203" s="84">
        <f>F204+F209+F213</f>
        <v>27615.05099</v>
      </c>
      <c r="G203" s="84">
        <f>G204+G209+G213</f>
        <v>20018.4447</v>
      </c>
      <c r="H203" s="166">
        <f t="shared" si="10"/>
        <v>0.724910654963089</v>
      </c>
    </row>
    <row r="204" spans="1:8" ht="31.5">
      <c r="A204" s="79" t="s">
        <v>290</v>
      </c>
      <c r="B204" s="80" t="s">
        <v>114</v>
      </c>
      <c r="C204" s="80" t="s">
        <v>285</v>
      </c>
      <c r="D204" s="80" t="s">
        <v>366</v>
      </c>
      <c r="E204" s="80" t="s">
        <v>315</v>
      </c>
      <c r="F204" s="81">
        <f>F205+F207</f>
        <v>15835.64606</v>
      </c>
      <c r="G204" s="81">
        <f>G205+G207</f>
        <v>8239.039770000001</v>
      </c>
      <c r="H204" s="166">
        <f t="shared" si="10"/>
        <v>0.5202844101707589</v>
      </c>
    </row>
    <row r="205" spans="1:8" ht="31.5">
      <c r="A205" s="79" t="s">
        <v>137</v>
      </c>
      <c r="B205" s="80" t="s">
        <v>114</v>
      </c>
      <c r="C205" s="80" t="s">
        <v>285</v>
      </c>
      <c r="D205" s="80" t="s">
        <v>366</v>
      </c>
      <c r="E205" s="80" t="s">
        <v>112</v>
      </c>
      <c r="F205" s="81">
        <f>F206</f>
        <v>15735.64606</v>
      </c>
      <c r="G205" s="81">
        <f>G206</f>
        <v>8160.91977</v>
      </c>
      <c r="H205" s="166">
        <f t="shared" si="10"/>
        <v>0.5186262921066236</v>
      </c>
    </row>
    <row r="206" spans="1:8" ht="47.25">
      <c r="A206" s="93" t="s">
        <v>138</v>
      </c>
      <c r="B206" s="80" t="s">
        <v>114</v>
      </c>
      <c r="C206" s="80" t="s">
        <v>285</v>
      </c>
      <c r="D206" s="80" t="s">
        <v>366</v>
      </c>
      <c r="E206" s="80" t="s">
        <v>139</v>
      </c>
      <c r="F206" s="22">
        <f>5263+10815.05099-100-332+89.59507</f>
        <v>15735.64606</v>
      </c>
      <c r="G206" s="81">
        <v>8160.91977</v>
      </c>
      <c r="H206" s="166">
        <f t="shared" si="10"/>
        <v>0.5186262921066236</v>
      </c>
    </row>
    <row r="207" spans="1:8" ht="47.25">
      <c r="A207" s="93" t="s">
        <v>440</v>
      </c>
      <c r="B207" s="80" t="s">
        <v>114</v>
      </c>
      <c r="C207" s="80" t="s">
        <v>285</v>
      </c>
      <c r="D207" s="80" t="s">
        <v>366</v>
      </c>
      <c r="E207" s="80" t="s">
        <v>441</v>
      </c>
      <c r="F207" s="22">
        <f>F208</f>
        <v>100</v>
      </c>
      <c r="G207" s="22">
        <f>G208</f>
        <v>78.12</v>
      </c>
      <c r="H207" s="166">
        <f t="shared" si="10"/>
        <v>0.7812</v>
      </c>
    </row>
    <row r="208" spans="1:8" ht="15.75">
      <c r="A208" s="93" t="s">
        <v>442</v>
      </c>
      <c r="B208" s="80" t="s">
        <v>114</v>
      </c>
      <c r="C208" s="80" t="s">
        <v>285</v>
      </c>
      <c r="D208" s="80" t="s">
        <v>366</v>
      </c>
      <c r="E208" s="80" t="s">
        <v>443</v>
      </c>
      <c r="F208" s="22">
        <v>100</v>
      </c>
      <c r="G208" s="81">
        <v>78.12</v>
      </c>
      <c r="H208" s="166">
        <f t="shared" si="10"/>
        <v>0.7812</v>
      </c>
    </row>
    <row r="209" spans="1:8" ht="15.75">
      <c r="A209" s="93" t="s">
        <v>148</v>
      </c>
      <c r="B209" s="80" t="s">
        <v>114</v>
      </c>
      <c r="C209" s="80" t="s">
        <v>285</v>
      </c>
      <c r="D209" s="80" t="s">
        <v>365</v>
      </c>
      <c r="E209" s="80" t="s">
        <v>149</v>
      </c>
      <c r="F209" s="22">
        <f>F210</f>
        <v>11779.40493</v>
      </c>
      <c r="G209" s="22">
        <f>G210</f>
        <v>11779.40493</v>
      </c>
      <c r="H209" s="166">
        <f t="shared" si="10"/>
        <v>1</v>
      </c>
    </row>
    <row r="210" spans="1:8" ht="15.75">
      <c r="A210" s="93" t="s">
        <v>226</v>
      </c>
      <c r="B210" s="80" t="s">
        <v>114</v>
      </c>
      <c r="C210" s="80" t="s">
        <v>285</v>
      </c>
      <c r="D210" s="80" t="s">
        <v>365</v>
      </c>
      <c r="E210" s="80" t="s">
        <v>347</v>
      </c>
      <c r="F210" s="22">
        <f>11537+332-89.59507</f>
        <v>11779.40493</v>
      </c>
      <c r="G210" s="81">
        <v>11779.40493</v>
      </c>
      <c r="H210" s="166">
        <f t="shared" si="10"/>
        <v>1</v>
      </c>
    </row>
    <row r="211" spans="1:8" ht="94.5" hidden="1">
      <c r="A211" s="93" t="s">
        <v>374</v>
      </c>
      <c r="B211" s="80" t="s">
        <v>114</v>
      </c>
      <c r="C211" s="80" t="s">
        <v>285</v>
      </c>
      <c r="D211" s="80" t="s">
        <v>375</v>
      </c>
      <c r="E211" s="80" t="s">
        <v>347</v>
      </c>
      <c r="F211" s="81"/>
      <c r="G211" s="81"/>
      <c r="H211" s="166" t="e">
        <f t="shared" si="10"/>
        <v>#DIV/0!</v>
      </c>
    </row>
    <row r="212" spans="1:8" ht="110.25" hidden="1">
      <c r="A212" s="93" t="s">
        <v>378</v>
      </c>
      <c r="B212" s="80" t="s">
        <v>114</v>
      </c>
      <c r="C212" s="80" t="s">
        <v>285</v>
      </c>
      <c r="D212" s="80" t="s">
        <v>379</v>
      </c>
      <c r="E212" s="80" t="s">
        <v>347</v>
      </c>
      <c r="F212" s="81"/>
      <c r="G212" s="81"/>
      <c r="H212" s="166" t="e">
        <f t="shared" si="10"/>
        <v>#DIV/0!</v>
      </c>
    </row>
    <row r="213" spans="1:8" ht="47.25" hidden="1">
      <c r="A213" s="95" t="s">
        <v>497</v>
      </c>
      <c r="B213" s="83" t="s">
        <v>114</v>
      </c>
      <c r="C213" s="83" t="s">
        <v>285</v>
      </c>
      <c r="D213" s="83" t="s">
        <v>354</v>
      </c>
      <c r="E213" s="83" t="s">
        <v>315</v>
      </c>
      <c r="F213" s="84">
        <f>F215+F217</f>
        <v>0</v>
      </c>
      <c r="G213" s="81"/>
      <c r="H213" s="166" t="e">
        <f t="shared" si="10"/>
        <v>#DIV/0!</v>
      </c>
    </row>
    <row r="214" spans="1:8" ht="31.5" hidden="1">
      <c r="A214" s="79" t="s">
        <v>137</v>
      </c>
      <c r="B214" s="80" t="s">
        <v>114</v>
      </c>
      <c r="C214" s="80" t="s">
        <v>285</v>
      </c>
      <c r="D214" s="80" t="s">
        <v>493</v>
      </c>
      <c r="E214" s="80" t="s">
        <v>112</v>
      </c>
      <c r="F214" s="81">
        <f>F215</f>
        <v>0</v>
      </c>
      <c r="G214" s="81"/>
      <c r="H214" s="166" t="e">
        <f t="shared" si="10"/>
        <v>#DIV/0!</v>
      </c>
    </row>
    <row r="215" spans="1:8" ht="47.25" hidden="1">
      <c r="A215" s="93" t="s">
        <v>138</v>
      </c>
      <c r="B215" s="80" t="s">
        <v>114</v>
      </c>
      <c r="C215" s="80" t="s">
        <v>285</v>
      </c>
      <c r="D215" s="80" t="s">
        <v>493</v>
      </c>
      <c r="E215" s="80" t="s">
        <v>139</v>
      </c>
      <c r="F215" s="81"/>
      <c r="G215" s="81"/>
      <c r="H215" s="166" t="e">
        <f t="shared" si="10"/>
        <v>#DIV/0!</v>
      </c>
    </row>
    <row r="216" spans="1:8" ht="31.5" hidden="1">
      <c r="A216" s="79" t="s">
        <v>137</v>
      </c>
      <c r="B216" s="80" t="s">
        <v>114</v>
      </c>
      <c r="C216" s="80" t="s">
        <v>285</v>
      </c>
      <c r="D216" s="80" t="s">
        <v>506</v>
      </c>
      <c r="E216" s="80" t="s">
        <v>112</v>
      </c>
      <c r="F216" s="81">
        <f>F217</f>
        <v>0</v>
      </c>
      <c r="G216" s="81"/>
      <c r="H216" s="166" t="e">
        <f t="shared" si="10"/>
        <v>#DIV/0!</v>
      </c>
    </row>
    <row r="217" spans="1:8" ht="47.25" hidden="1">
      <c r="A217" s="93" t="s">
        <v>138</v>
      </c>
      <c r="B217" s="80" t="s">
        <v>114</v>
      </c>
      <c r="C217" s="80" t="s">
        <v>285</v>
      </c>
      <c r="D217" s="80" t="s">
        <v>506</v>
      </c>
      <c r="E217" s="80" t="s">
        <v>139</v>
      </c>
      <c r="F217" s="81"/>
      <c r="G217" s="81"/>
      <c r="H217" s="166" t="e">
        <f t="shared" si="10"/>
        <v>#DIV/0!</v>
      </c>
    </row>
    <row r="218" spans="1:8" ht="31.5">
      <c r="A218" s="95" t="s">
        <v>106</v>
      </c>
      <c r="B218" s="83" t="s">
        <v>114</v>
      </c>
      <c r="C218" s="83" t="s">
        <v>285</v>
      </c>
      <c r="D218" s="83" t="s">
        <v>7</v>
      </c>
      <c r="E218" s="83" t="s">
        <v>315</v>
      </c>
      <c r="F218" s="84">
        <f>F219</f>
        <v>80.3</v>
      </c>
      <c r="G218" s="84">
        <f>G219</f>
        <v>80.3</v>
      </c>
      <c r="H218" s="166">
        <f t="shared" si="10"/>
        <v>1</v>
      </c>
    </row>
    <row r="219" spans="1:8" ht="47.25">
      <c r="A219" s="93" t="s">
        <v>107</v>
      </c>
      <c r="B219" s="80" t="s">
        <v>114</v>
      </c>
      <c r="C219" s="80" t="s">
        <v>285</v>
      </c>
      <c r="D219" s="80" t="s">
        <v>8</v>
      </c>
      <c r="E219" s="80" t="s">
        <v>315</v>
      </c>
      <c r="F219" s="81">
        <f>F220</f>
        <v>80.3</v>
      </c>
      <c r="G219" s="81">
        <f>G220</f>
        <v>80.3</v>
      </c>
      <c r="H219" s="166">
        <f t="shared" si="10"/>
        <v>1</v>
      </c>
    </row>
    <row r="220" spans="1:8" ht="15.75">
      <c r="A220" s="79" t="s">
        <v>414</v>
      </c>
      <c r="B220" s="80" t="s">
        <v>114</v>
      </c>
      <c r="C220" s="80" t="s">
        <v>285</v>
      </c>
      <c r="D220" s="94" t="s">
        <v>415</v>
      </c>
      <c r="E220" s="80" t="s">
        <v>315</v>
      </c>
      <c r="F220" s="81">
        <f>F221+F223</f>
        <v>80.3</v>
      </c>
      <c r="G220" s="81">
        <f>G221+G223</f>
        <v>80.3</v>
      </c>
      <c r="H220" s="166">
        <f t="shared" si="10"/>
        <v>1</v>
      </c>
    </row>
    <row r="221" spans="1:8" ht="31.5" hidden="1">
      <c r="A221" s="79" t="s">
        <v>137</v>
      </c>
      <c r="B221" s="80" t="s">
        <v>114</v>
      </c>
      <c r="C221" s="80" t="s">
        <v>285</v>
      </c>
      <c r="D221" s="94" t="s">
        <v>415</v>
      </c>
      <c r="E221" s="80" t="s">
        <v>112</v>
      </c>
      <c r="F221" s="81">
        <f>F222</f>
        <v>0</v>
      </c>
      <c r="G221" s="81">
        <f>G222</f>
        <v>0</v>
      </c>
      <c r="H221" s="166" t="e">
        <f t="shared" si="10"/>
        <v>#DIV/0!</v>
      </c>
    </row>
    <row r="222" spans="1:8" ht="47.25" hidden="1">
      <c r="A222" s="93" t="s">
        <v>138</v>
      </c>
      <c r="B222" s="80" t="s">
        <v>114</v>
      </c>
      <c r="C222" s="80" t="s">
        <v>285</v>
      </c>
      <c r="D222" s="94" t="s">
        <v>415</v>
      </c>
      <c r="E222" s="80" t="s">
        <v>139</v>
      </c>
      <c r="F222" s="81">
        <v>0</v>
      </c>
      <c r="G222" s="81"/>
      <c r="H222" s="166" t="e">
        <f t="shared" si="10"/>
        <v>#DIV/0!</v>
      </c>
    </row>
    <row r="223" spans="1:8" ht="15.75">
      <c r="A223" s="79" t="s">
        <v>142</v>
      </c>
      <c r="B223" s="80" t="s">
        <v>114</v>
      </c>
      <c r="C223" s="80" t="s">
        <v>285</v>
      </c>
      <c r="D223" s="94" t="s">
        <v>415</v>
      </c>
      <c r="E223" s="80" t="s">
        <v>143</v>
      </c>
      <c r="F223" s="81">
        <f>F224</f>
        <v>80.3</v>
      </c>
      <c r="G223" s="81">
        <f>G224</f>
        <v>80.3</v>
      </c>
      <c r="H223" s="166">
        <f t="shared" si="10"/>
        <v>1</v>
      </c>
    </row>
    <row r="224" spans="1:8" ht="15.75">
      <c r="A224" s="85" t="s">
        <v>140</v>
      </c>
      <c r="B224" s="80" t="s">
        <v>114</v>
      </c>
      <c r="C224" s="80" t="s">
        <v>285</v>
      </c>
      <c r="D224" s="94" t="s">
        <v>415</v>
      </c>
      <c r="E224" s="80" t="s">
        <v>141</v>
      </c>
      <c r="F224" s="108">
        <v>80.3</v>
      </c>
      <c r="G224" s="81">
        <v>80.3</v>
      </c>
      <c r="H224" s="166">
        <f t="shared" si="10"/>
        <v>1</v>
      </c>
    </row>
    <row r="225" spans="1:8" s="137" customFormat="1" ht="31.5">
      <c r="A225" s="90" t="s">
        <v>275</v>
      </c>
      <c r="B225" s="77" t="s">
        <v>114</v>
      </c>
      <c r="C225" s="77" t="s">
        <v>291</v>
      </c>
      <c r="D225" s="77" t="s">
        <v>243</v>
      </c>
      <c r="E225" s="77" t="s">
        <v>315</v>
      </c>
      <c r="F225" s="78">
        <f>F226</f>
        <v>81.1625</v>
      </c>
      <c r="G225" s="78">
        <f>G226</f>
        <v>81.1625</v>
      </c>
      <c r="H225" s="267">
        <f t="shared" si="10"/>
        <v>1</v>
      </c>
    </row>
    <row r="226" spans="1:8" ht="63">
      <c r="A226" s="82" t="s">
        <v>684</v>
      </c>
      <c r="B226" s="83" t="s">
        <v>114</v>
      </c>
      <c r="C226" s="83" t="s">
        <v>291</v>
      </c>
      <c r="D226" s="83" t="s">
        <v>352</v>
      </c>
      <c r="E226" s="83" t="s">
        <v>315</v>
      </c>
      <c r="F226" s="84">
        <f>F227</f>
        <v>81.1625</v>
      </c>
      <c r="G226" s="84">
        <f>G227</f>
        <v>81.1625</v>
      </c>
      <c r="H226" s="166">
        <f t="shared" si="10"/>
        <v>1</v>
      </c>
    </row>
    <row r="227" spans="1:8" ht="31.5">
      <c r="A227" s="8" t="s">
        <v>685</v>
      </c>
      <c r="B227" s="3" t="s">
        <v>114</v>
      </c>
      <c r="C227" s="3" t="s">
        <v>291</v>
      </c>
      <c r="D227" s="3" t="s">
        <v>353</v>
      </c>
      <c r="E227" s="3" t="s">
        <v>315</v>
      </c>
      <c r="F227" s="22">
        <f>F228+F230</f>
        <v>81.1625</v>
      </c>
      <c r="G227" s="22">
        <f>G228+G230</f>
        <v>81.1625</v>
      </c>
      <c r="H227" s="166">
        <f t="shared" si="10"/>
        <v>1</v>
      </c>
    </row>
    <row r="228" spans="1:8" ht="15.75">
      <c r="A228" s="8" t="s">
        <v>142</v>
      </c>
      <c r="B228" s="3" t="s">
        <v>114</v>
      </c>
      <c r="C228" s="3" t="s">
        <v>291</v>
      </c>
      <c r="D228" s="3" t="s">
        <v>353</v>
      </c>
      <c r="E228" s="3" t="s">
        <v>143</v>
      </c>
      <c r="F228" s="22">
        <f>F229</f>
        <v>78.1625</v>
      </c>
      <c r="G228" s="22">
        <f>G229</f>
        <v>78.1625</v>
      </c>
      <c r="H228" s="166">
        <f t="shared" si="10"/>
        <v>1</v>
      </c>
    </row>
    <row r="229" spans="1:8" ht="63">
      <c r="A229" s="8" t="s">
        <v>293</v>
      </c>
      <c r="B229" s="3" t="s">
        <v>114</v>
      </c>
      <c r="C229" s="3" t="s">
        <v>291</v>
      </c>
      <c r="D229" s="3" t="s">
        <v>353</v>
      </c>
      <c r="E229" s="3" t="s">
        <v>294</v>
      </c>
      <c r="F229" s="22">
        <f>'[1]4'!G242</f>
        <v>78.1625</v>
      </c>
      <c r="G229" s="81">
        <v>78.1625</v>
      </c>
      <c r="H229" s="166">
        <f t="shared" si="10"/>
        <v>1</v>
      </c>
    </row>
    <row r="230" spans="1:8" ht="31.5">
      <c r="A230" s="8" t="s">
        <v>137</v>
      </c>
      <c r="B230" s="3" t="s">
        <v>114</v>
      </c>
      <c r="C230" s="3" t="s">
        <v>291</v>
      </c>
      <c r="D230" s="3" t="s">
        <v>353</v>
      </c>
      <c r="E230" s="3" t="s">
        <v>112</v>
      </c>
      <c r="F230" s="22">
        <f>F231</f>
        <v>3</v>
      </c>
      <c r="G230" s="22">
        <f>G231</f>
        <v>3</v>
      </c>
      <c r="H230" s="166">
        <f t="shared" si="10"/>
        <v>1</v>
      </c>
    </row>
    <row r="231" spans="1:8" ht="47.25">
      <c r="A231" s="17" t="s">
        <v>138</v>
      </c>
      <c r="B231" s="3" t="s">
        <v>114</v>
      </c>
      <c r="C231" s="3" t="s">
        <v>291</v>
      </c>
      <c r="D231" s="3" t="s">
        <v>353</v>
      </c>
      <c r="E231" s="3" t="s">
        <v>139</v>
      </c>
      <c r="F231" s="22">
        <v>3</v>
      </c>
      <c r="G231" s="81">
        <v>3</v>
      </c>
      <c r="H231" s="166">
        <f t="shared" si="10"/>
        <v>1</v>
      </c>
    </row>
    <row r="232" spans="1:8" s="145" customFormat="1" ht="31.5">
      <c r="A232" s="73" t="s">
        <v>295</v>
      </c>
      <c r="B232" s="74" t="s">
        <v>296</v>
      </c>
      <c r="C232" s="74" t="s">
        <v>104</v>
      </c>
      <c r="D232" s="74" t="s">
        <v>243</v>
      </c>
      <c r="E232" s="74" t="s">
        <v>315</v>
      </c>
      <c r="F232" s="75">
        <f>F233+F269+F260</f>
        <v>1671.64717</v>
      </c>
      <c r="G232" s="75">
        <f>G233+G269+G260</f>
        <v>1425.6514200000001</v>
      </c>
      <c r="H232" s="265">
        <f t="shared" si="10"/>
        <v>0.8528423016443119</v>
      </c>
    </row>
    <row r="233" spans="1:8" s="146" customFormat="1" ht="15.75">
      <c r="A233" s="76" t="s">
        <v>276</v>
      </c>
      <c r="B233" s="77" t="s">
        <v>296</v>
      </c>
      <c r="C233" s="77" t="s">
        <v>105</v>
      </c>
      <c r="D233" s="77" t="s">
        <v>243</v>
      </c>
      <c r="E233" s="77" t="s">
        <v>315</v>
      </c>
      <c r="F233" s="78">
        <f>F234+F244+F247+F252+F257+F241</f>
        <v>1109.5</v>
      </c>
      <c r="G233" s="78">
        <f>G234+G244+G247+G252+G257+G241</f>
        <v>925.09225</v>
      </c>
      <c r="H233" s="267">
        <f t="shared" si="10"/>
        <v>0.8337920234339793</v>
      </c>
    </row>
    <row r="234" spans="1:8" ht="15.75">
      <c r="A234" s="79" t="s">
        <v>277</v>
      </c>
      <c r="B234" s="80" t="s">
        <v>296</v>
      </c>
      <c r="C234" s="80" t="s">
        <v>105</v>
      </c>
      <c r="D234" s="80" t="s">
        <v>18</v>
      </c>
      <c r="E234" s="80" t="s">
        <v>315</v>
      </c>
      <c r="F234" s="81">
        <f>F235+F238</f>
        <v>909.5</v>
      </c>
      <c r="G234" s="81">
        <f>G235+G238</f>
        <v>810.84612</v>
      </c>
      <c r="H234" s="166">
        <f t="shared" si="10"/>
        <v>0.8915295437053327</v>
      </c>
    </row>
    <row r="235" spans="1:8" ht="31.5" hidden="1">
      <c r="A235" s="79" t="s">
        <v>416</v>
      </c>
      <c r="B235" s="80" t="s">
        <v>296</v>
      </c>
      <c r="C235" s="80" t="s">
        <v>105</v>
      </c>
      <c r="D235" s="80" t="s">
        <v>18</v>
      </c>
      <c r="E235" s="80" t="s">
        <v>315</v>
      </c>
      <c r="F235" s="81">
        <f>F236</f>
        <v>0</v>
      </c>
      <c r="G235" s="81"/>
      <c r="H235" s="166" t="e">
        <f t="shared" si="10"/>
        <v>#DIV/0!</v>
      </c>
    </row>
    <row r="236" spans="1:8" ht="31.5" hidden="1">
      <c r="A236" s="79" t="s">
        <v>137</v>
      </c>
      <c r="B236" s="80" t="s">
        <v>296</v>
      </c>
      <c r="C236" s="80" t="s">
        <v>105</v>
      </c>
      <c r="D236" s="80" t="s">
        <v>18</v>
      </c>
      <c r="E236" s="80" t="s">
        <v>112</v>
      </c>
      <c r="F236" s="81">
        <f>F237</f>
        <v>0</v>
      </c>
      <c r="G236" s="81"/>
      <c r="H236" s="166" t="e">
        <f aca="true" t="shared" si="12" ref="H236:H299">G236/F236</f>
        <v>#DIV/0!</v>
      </c>
    </row>
    <row r="237" spans="1:8" ht="47.25" hidden="1">
      <c r="A237" s="93" t="s">
        <v>138</v>
      </c>
      <c r="B237" s="80" t="s">
        <v>296</v>
      </c>
      <c r="C237" s="80" t="s">
        <v>105</v>
      </c>
      <c r="D237" s="80" t="s">
        <v>18</v>
      </c>
      <c r="E237" s="80" t="s">
        <v>139</v>
      </c>
      <c r="F237" s="81">
        <v>0</v>
      </c>
      <c r="G237" s="81"/>
      <c r="H237" s="166" t="e">
        <f t="shared" si="12"/>
        <v>#DIV/0!</v>
      </c>
    </row>
    <row r="238" spans="1:8" ht="31.5">
      <c r="A238" s="79" t="s">
        <v>362</v>
      </c>
      <c r="B238" s="80" t="s">
        <v>296</v>
      </c>
      <c r="C238" s="80" t="s">
        <v>105</v>
      </c>
      <c r="D238" s="80" t="s">
        <v>83</v>
      </c>
      <c r="E238" s="80" t="s">
        <v>315</v>
      </c>
      <c r="F238" s="81">
        <f>F239</f>
        <v>909.5</v>
      </c>
      <c r="G238" s="81">
        <f>G239</f>
        <v>810.84612</v>
      </c>
      <c r="H238" s="166">
        <f t="shared" si="12"/>
        <v>0.8915295437053327</v>
      </c>
    </row>
    <row r="239" spans="1:8" ht="31.5">
      <c r="A239" s="79" t="s">
        <v>137</v>
      </c>
      <c r="B239" s="80" t="s">
        <v>296</v>
      </c>
      <c r="C239" s="80" t="s">
        <v>105</v>
      </c>
      <c r="D239" s="80" t="s">
        <v>83</v>
      </c>
      <c r="E239" s="80" t="s">
        <v>112</v>
      </c>
      <c r="F239" s="81">
        <f>F240</f>
        <v>909.5</v>
      </c>
      <c r="G239" s="81">
        <f>G240</f>
        <v>810.84612</v>
      </c>
      <c r="H239" s="166">
        <f t="shared" si="12"/>
        <v>0.8915295437053327</v>
      </c>
    </row>
    <row r="240" spans="1:8" ht="47.25">
      <c r="A240" s="93" t="s">
        <v>138</v>
      </c>
      <c r="B240" s="80" t="s">
        <v>296</v>
      </c>
      <c r="C240" s="80" t="s">
        <v>105</v>
      </c>
      <c r="D240" s="80" t="s">
        <v>83</v>
      </c>
      <c r="E240" s="80" t="s">
        <v>139</v>
      </c>
      <c r="F240" s="22">
        <f>1006.9-97.4</f>
        <v>909.5</v>
      </c>
      <c r="G240" s="81">
        <v>810.84612</v>
      </c>
      <c r="H240" s="166">
        <f t="shared" si="12"/>
        <v>0.8915295437053327</v>
      </c>
    </row>
    <row r="241" spans="1:8" s="138" customFormat="1" ht="15.75" hidden="1">
      <c r="A241" s="16" t="s">
        <v>302</v>
      </c>
      <c r="B241" s="13" t="s">
        <v>296</v>
      </c>
      <c r="C241" s="13" t="s">
        <v>105</v>
      </c>
      <c r="D241" s="13" t="s">
        <v>20</v>
      </c>
      <c r="E241" s="13" t="s">
        <v>315</v>
      </c>
      <c r="F241" s="23">
        <f>F242</f>
        <v>0</v>
      </c>
      <c r="G241" s="23">
        <f>G242</f>
        <v>0</v>
      </c>
      <c r="H241" s="166" t="e">
        <f t="shared" si="12"/>
        <v>#DIV/0!</v>
      </c>
    </row>
    <row r="242" spans="1:8" ht="30" hidden="1">
      <c r="A242" s="99" t="s">
        <v>137</v>
      </c>
      <c r="B242" s="105" t="s">
        <v>296</v>
      </c>
      <c r="C242" s="105" t="s">
        <v>105</v>
      </c>
      <c r="D242" s="105" t="s">
        <v>20</v>
      </c>
      <c r="E242" s="105" t="s">
        <v>112</v>
      </c>
      <c r="F242" s="81">
        <f>F243</f>
        <v>0</v>
      </c>
      <c r="G242" s="81">
        <f>G243</f>
        <v>0</v>
      </c>
      <c r="H242" s="166" t="e">
        <f t="shared" si="12"/>
        <v>#DIV/0!</v>
      </c>
    </row>
    <row r="243" spans="1:8" ht="45" hidden="1">
      <c r="A243" s="109" t="s">
        <v>138</v>
      </c>
      <c r="B243" s="105" t="s">
        <v>296</v>
      </c>
      <c r="C243" s="105" t="s">
        <v>105</v>
      </c>
      <c r="D243" s="105" t="s">
        <v>20</v>
      </c>
      <c r="E243" s="105" t="s">
        <v>139</v>
      </c>
      <c r="F243" s="22">
        <f>266-266</f>
        <v>0</v>
      </c>
      <c r="G243" s="81"/>
      <c r="H243" s="166" t="e">
        <f t="shared" si="12"/>
        <v>#DIV/0!</v>
      </c>
    </row>
    <row r="244" spans="1:8" ht="47.25" hidden="1">
      <c r="A244" s="95" t="s">
        <v>507</v>
      </c>
      <c r="B244" s="83" t="s">
        <v>296</v>
      </c>
      <c r="C244" s="83" t="s">
        <v>105</v>
      </c>
      <c r="D244" s="83" t="s">
        <v>508</v>
      </c>
      <c r="E244" s="83" t="s">
        <v>315</v>
      </c>
      <c r="F244" s="84">
        <f>F245</f>
        <v>0</v>
      </c>
      <c r="G244" s="81"/>
      <c r="H244" s="166" t="e">
        <f t="shared" si="12"/>
        <v>#DIV/0!</v>
      </c>
    </row>
    <row r="245" spans="1:8" ht="31.5" hidden="1">
      <c r="A245" s="79" t="s">
        <v>137</v>
      </c>
      <c r="B245" s="80" t="s">
        <v>296</v>
      </c>
      <c r="C245" s="80" t="s">
        <v>105</v>
      </c>
      <c r="D245" s="80" t="s">
        <v>508</v>
      </c>
      <c r="E245" s="80" t="s">
        <v>112</v>
      </c>
      <c r="F245" s="81">
        <f>F246</f>
        <v>0</v>
      </c>
      <c r="G245" s="81"/>
      <c r="H245" s="166" t="e">
        <f t="shared" si="12"/>
        <v>#DIV/0!</v>
      </c>
    </row>
    <row r="246" spans="1:8" ht="47.25" hidden="1">
      <c r="A246" s="93" t="s">
        <v>138</v>
      </c>
      <c r="B246" s="80" t="s">
        <v>296</v>
      </c>
      <c r="C246" s="80" t="s">
        <v>105</v>
      </c>
      <c r="D246" s="80" t="s">
        <v>508</v>
      </c>
      <c r="E246" s="80" t="s">
        <v>139</v>
      </c>
      <c r="F246" s="81"/>
      <c r="G246" s="81"/>
      <c r="H246" s="166" t="e">
        <f t="shared" si="12"/>
        <v>#DIV/0!</v>
      </c>
    </row>
    <row r="247" spans="1:8" ht="78.75" hidden="1">
      <c r="A247" s="82" t="s">
        <v>417</v>
      </c>
      <c r="B247" s="83" t="s">
        <v>296</v>
      </c>
      <c r="C247" s="83" t="s">
        <v>105</v>
      </c>
      <c r="D247" s="83" t="s">
        <v>418</v>
      </c>
      <c r="E247" s="83" t="s">
        <v>315</v>
      </c>
      <c r="F247" s="84">
        <f>F248</f>
        <v>0</v>
      </c>
      <c r="G247" s="81"/>
      <c r="H247" s="166" t="e">
        <f t="shared" si="12"/>
        <v>#DIV/0!</v>
      </c>
    </row>
    <row r="248" spans="1:8" ht="63" hidden="1">
      <c r="A248" s="93" t="s">
        <v>419</v>
      </c>
      <c r="B248" s="80" t="s">
        <v>296</v>
      </c>
      <c r="C248" s="80" t="s">
        <v>105</v>
      </c>
      <c r="D248" s="80" t="s">
        <v>418</v>
      </c>
      <c r="E248" s="80" t="s">
        <v>315</v>
      </c>
      <c r="F248" s="81">
        <f>F249</f>
        <v>0</v>
      </c>
      <c r="G248" s="81"/>
      <c r="H248" s="166" t="e">
        <f t="shared" si="12"/>
        <v>#DIV/0!</v>
      </c>
    </row>
    <row r="249" spans="1:8" ht="15.75" hidden="1">
      <c r="A249" s="79" t="s">
        <v>142</v>
      </c>
      <c r="B249" s="80" t="s">
        <v>296</v>
      </c>
      <c r="C249" s="80" t="s">
        <v>105</v>
      </c>
      <c r="D249" s="80" t="s">
        <v>418</v>
      </c>
      <c r="E249" s="80" t="s">
        <v>143</v>
      </c>
      <c r="F249" s="81">
        <f>F251+F250</f>
        <v>0</v>
      </c>
      <c r="G249" s="81"/>
      <c r="H249" s="166" t="e">
        <f t="shared" si="12"/>
        <v>#DIV/0!</v>
      </c>
    </row>
    <row r="250" spans="1:8" ht="63" hidden="1">
      <c r="A250" s="79" t="s">
        <v>490</v>
      </c>
      <c r="B250" s="80" t="s">
        <v>296</v>
      </c>
      <c r="C250" s="80" t="s">
        <v>105</v>
      </c>
      <c r="D250" s="80" t="s">
        <v>420</v>
      </c>
      <c r="E250" s="80" t="s">
        <v>294</v>
      </c>
      <c r="F250" s="81"/>
      <c r="G250" s="81"/>
      <c r="H250" s="166" t="e">
        <f t="shared" si="12"/>
        <v>#DIV/0!</v>
      </c>
    </row>
    <row r="251" spans="1:8" ht="63" hidden="1">
      <c r="A251" s="79" t="s">
        <v>491</v>
      </c>
      <c r="B251" s="80" t="s">
        <v>296</v>
      </c>
      <c r="C251" s="80" t="s">
        <v>105</v>
      </c>
      <c r="D251" s="3" t="s">
        <v>686</v>
      </c>
      <c r="E251" s="80" t="s">
        <v>294</v>
      </c>
      <c r="F251" s="81">
        <v>0</v>
      </c>
      <c r="G251" s="81"/>
      <c r="H251" s="166" t="e">
        <f t="shared" si="12"/>
        <v>#DIV/0!</v>
      </c>
    </row>
    <row r="252" spans="1:8" ht="31.5">
      <c r="A252" s="95" t="s">
        <v>106</v>
      </c>
      <c r="B252" s="83" t="s">
        <v>296</v>
      </c>
      <c r="C252" s="83" t="s">
        <v>105</v>
      </c>
      <c r="D252" s="83" t="s">
        <v>7</v>
      </c>
      <c r="E252" s="83" t="s">
        <v>315</v>
      </c>
      <c r="F252" s="84">
        <f aca="true" t="shared" si="13" ref="F252:G255">F253</f>
        <v>120</v>
      </c>
      <c r="G252" s="84">
        <f t="shared" si="13"/>
        <v>34.44313</v>
      </c>
      <c r="H252" s="166">
        <f t="shared" si="12"/>
        <v>0.2870260833333333</v>
      </c>
    </row>
    <row r="253" spans="1:8" ht="47.25">
      <c r="A253" s="93" t="s">
        <v>107</v>
      </c>
      <c r="B253" s="80" t="s">
        <v>296</v>
      </c>
      <c r="C253" s="80" t="s">
        <v>105</v>
      </c>
      <c r="D253" s="80" t="s">
        <v>8</v>
      </c>
      <c r="E253" s="80" t="s">
        <v>315</v>
      </c>
      <c r="F253" s="81">
        <f t="shared" si="13"/>
        <v>120</v>
      </c>
      <c r="G253" s="81">
        <f t="shared" si="13"/>
        <v>34.44313</v>
      </c>
      <c r="H253" s="166">
        <f t="shared" si="12"/>
        <v>0.2870260833333333</v>
      </c>
    </row>
    <row r="254" spans="1:8" ht="110.25">
      <c r="A254" s="110" t="s">
        <v>421</v>
      </c>
      <c r="B254" s="88" t="s">
        <v>296</v>
      </c>
      <c r="C254" s="88" t="s">
        <v>105</v>
      </c>
      <c r="D254" s="88" t="s">
        <v>422</v>
      </c>
      <c r="E254" s="88" t="s">
        <v>315</v>
      </c>
      <c r="F254" s="89">
        <f t="shared" si="13"/>
        <v>120</v>
      </c>
      <c r="G254" s="89">
        <f t="shared" si="13"/>
        <v>34.44313</v>
      </c>
      <c r="H254" s="166">
        <f t="shared" si="12"/>
        <v>0.2870260833333333</v>
      </c>
    </row>
    <row r="255" spans="1:8" ht="31.5">
      <c r="A255" s="79" t="s">
        <v>137</v>
      </c>
      <c r="B255" s="80" t="s">
        <v>296</v>
      </c>
      <c r="C255" s="80" t="s">
        <v>105</v>
      </c>
      <c r="D255" s="80" t="s">
        <v>422</v>
      </c>
      <c r="E255" s="80" t="s">
        <v>112</v>
      </c>
      <c r="F255" s="81">
        <f t="shared" si="13"/>
        <v>120</v>
      </c>
      <c r="G255" s="81">
        <f t="shared" si="13"/>
        <v>34.44313</v>
      </c>
      <c r="H255" s="166">
        <f t="shared" si="12"/>
        <v>0.2870260833333333</v>
      </c>
    </row>
    <row r="256" spans="1:8" ht="47.25">
      <c r="A256" s="93" t="s">
        <v>138</v>
      </c>
      <c r="B256" s="80" t="s">
        <v>296</v>
      </c>
      <c r="C256" s="80" t="s">
        <v>105</v>
      </c>
      <c r="D256" s="80" t="s">
        <v>422</v>
      </c>
      <c r="E256" s="80" t="s">
        <v>139</v>
      </c>
      <c r="F256" s="81">
        <v>120</v>
      </c>
      <c r="G256" s="81">
        <v>34.44313</v>
      </c>
      <c r="H256" s="166">
        <f t="shared" si="12"/>
        <v>0.2870260833333333</v>
      </c>
    </row>
    <row r="257" spans="1:8" s="138" customFormat="1" ht="90.75" customHeight="1">
      <c r="A257" s="95" t="s">
        <v>687</v>
      </c>
      <c r="B257" s="83" t="s">
        <v>296</v>
      </c>
      <c r="C257" s="83" t="s">
        <v>105</v>
      </c>
      <c r="D257" s="83" t="s">
        <v>384</v>
      </c>
      <c r="E257" s="83" t="s">
        <v>315</v>
      </c>
      <c r="F257" s="84">
        <f>F258</f>
        <v>80</v>
      </c>
      <c r="G257" s="84">
        <f>G258</f>
        <v>79.803</v>
      </c>
      <c r="H257" s="166">
        <f t="shared" si="12"/>
        <v>0.9975375</v>
      </c>
    </row>
    <row r="258" spans="1:8" ht="31.5">
      <c r="A258" s="79" t="s">
        <v>137</v>
      </c>
      <c r="B258" s="80" t="s">
        <v>296</v>
      </c>
      <c r="C258" s="80" t="s">
        <v>105</v>
      </c>
      <c r="D258" s="80" t="s">
        <v>469</v>
      </c>
      <c r="E258" s="80" t="s">
        <v>112</v>
      </c>
      <c r="F258" s="22">
        <f>F259</f>
        <v>80</v>
      </c>
      <c r="G258" s="22">
        <f>G259</f>
        <v>79.803</v>
      </c>
      <c r="H258" s="166">
        <f t="shared" si="12"/>
        <v>0.9975375</v>
      </c>
    </row>
    <row r="259" spans="1:8" ht="47.25">
      <c r="A259" s="93" t="s">
        <v>138</v>
      </c>
      <c r="B259" s="80" t="s">
        <v>296</v>
      </c>
      <c r="C259" s="80" t="s">
        <v>105</v>
      </c>
      <c r="D259" s="80" t="s">
        <v>469</v>
      </c>
      <c r="E259" s="80" t="s">
        <v>139</v>
      </c>
      <c r="F259" s="32">
        <f>30+50</f>
        <v>80</v>
      </c>
      <c r="G259" s="81">
        <v>79.803</v>
      </c>
      <c r="H259" s="166">
        <f t="shared" si="12"/>
        <v>0.9975375</v>
      </c>
    </row>
    <row r="260" spans="1:8" s="138" customFormat="1" ht="15.75">
      <c r="A260" s="90" t="s">
        <v>300</v>
      </c>
      <c r="B260" s="77" t="s">
        <v>296</v>
      </c>
      <c r="C260" s="77" t="s">
        <v>110</v>
      </c>
      <c r="D260" s="77" t="s">
        <v>243</v>
      </c>
      <c r="E260" s="77" t="s">
        <v>315</v>
      </c>
      <c r="F260" s="78">
        <f>F261+F264</f>
        <v>560.3299999999999</v>
      </c>
      <c r="G260" s="78">
        <f>G261+G264</f>
        <v>498.74199999999996</v>
      </c>
      <c r="H260" s="267">
        <f t="shared" si="12"/>
        <v>0.8900861992040405</v>
      </c>
    </row>
    <row r="261" spans="1:8" ht="15.75">
      <c r="A261" s="93" t="s">
        <v>301</v>
      </c>
      <c r="B261" s="80" t="s">
        <v>296</v>
      </c>
      <c r="C261" s="80" t="s">
        <v>110</v>
      </c>
      <c r="D261" s="80" t="s">
        <v>19</v>
      </c>
      <c r="E261" s="80" t="s">
        <v>315</v>
      </c>
      <c r="F261" s="81">
        <f>F262</f>
        <v>294.33</v>
      </c>
      <c r="G261" s="81">
        <f>G262</f>
        <v>294.322</v>
      </c>
      <c r="H261" s="166">
        <f t="shared" si="12"/>
        <v>0.9999728196242313</v>
      </c>
    </row>
    <row r="262" spans="1:8" ht="31.5">
      <c r="A262" s="79" t="s">
        <v>137</v>
      </c>
      <c r="B262" s="80" t="s">
        <v>296</v>
      </c>
      <c r="C262" s="80" t="s">
        <v>110</v>
      </c>
      <c r="D262" s="80" t="s">
        <v>19</v>
      </c>
      <c r="E262" s="80" t="s">
        <v>112</v>
      </c>
      <c r="F262" s="81">
        <f>F263</f>
        <v>294.33</v>
      </c>
      <c r="G262" s="81">
        <f>G263</f>
        <v>294.322</v>
      </c>
      <c r="H262" s="166">
        <f t="shared" si="12"/>
        <v>0.9999728196242313</v>
      </c>
    </row>
    <row r="263" spans="1:8" ht="47.25">
      <c r="A263" s="93" t="s">
        <v>138</v>
      </c>
      <c r="B263" s="80" t="s">
        <v>296</v>
      </c>
      <c r="C263" s="80" t="s">
        <v>110</v>
      </c>
      <c r="D263" s="80" t="s">
        <v>19</v>
      </c>
      <c r="E263" s="80" t="s">
        <v>139</v>
      </c>
      <c r="F263" s="22">
        <f>90+256.65-52.32</f>
        <v>294.33</v>
      </c>
      <c r="G263" s="81">
        <v>294.322</v>
      </c>
      <c r="H263" s="166">
        <f t="shared" si="12"/>
        <v>0.9999728196242313</v>
      </c>
    </row>
    <row r="264" spans="1:8" ht="15.75">
      <c r="A264" s="93" t="s">
        <v>302</v>
      </c>
      <c r="B264" s="80" t="s">
        <v>296</v>
      </c>
      <c r="C264" s="80" t="s">
        <v>110</v>
      </c>
      <c r="D264" s="80" t="s">
        <v>20</v>
      </c>
      <c r="E264" s="80" t="s">
        <v>315</v>
      </c>
      <c r="F264" s="81">
        <f>F265+F267</f>
        <v>266</v>
      </c>
      <c r="G264" s="81">
        <f>G265+G267</f>
        <v>204.42</v>
      </c>
      <c r="H264" s="166">
        <f t="shared" si="12"/>
        <v>0.7684962406015037</v>
      </c>
    </row>
    <row r="265" spans="1:8" ht="31.5">
      <c r="A265" s="79" t="s">
        <v>137</v>
      </c>
      <c r="B265" s="80" t="s">
        <v>296</v>
      </c>
      <c r="C265" s="80" t="s">
        <v>110</v>
      </c>
      <c r="D265" s="80" t="s">
        <v>20</v>
      </c>
      <c r="E265" s="80" t="s">
        <v>112</v>
      </c>
      <c r="F265" s="81">
        <f>F266</f>
        <v>266</v>
      </c>
      <c r="G265" s="81">
        <f>G266</f>
        <v>204.42</v>
      </c>
      <c r="H265" s="166">
        <f t="shared" si="12"/>
        <v>0.7684962406015037</v>
      </c>
    </row>
    <row r="266" spans="1:8" ht="47.25">
      <c r="A266" s="93" t="s">
        <v>138</v>
      </c>
      <c r="B266" s="80" t="s">
        <v>296</v>
      </c>
      <c r="C266" s="80" t="s">
        <v>110</v>
      </c>
      <c r="D266" s="80" t="s">
        <v>20</v>
      </c>
      <c r="E266" s="80" t="s">
        <v>139</v>
      </c>
      <c r="F266" s="29">
        <v>266</v>
      </c>
      <c r="G266" s="81">
        <v>204.42</v>
      </c>
      <c r="H266" s="166">
        <f t="shared" si="12"/>
        <v>0.7684962406015037</v>
      </c>
    </row>
    <row r="267" spans="1:8" ht="47.25" hidden="1">
      <c r="A267" s="93" t="s">
        <v>440</v>
      </c>
      <c r="B267" s="80" t="s">
        <v>296</v>
      </c>
      <c r="C267" s="80" t="s">
        <v>110</v>
      </c>
      <c r="D267" s="80" t="s">
        <v>20</v>
      </c>
      <c r="E267" s="80" t="s">
        <v>441</v>
      </c>
      <c r="F267" s="81">
        <f>F268</f>
        <v>0</v>
      </c>
      <c r="G267" s="81"/>
      <c r="H267" s="166" t="e">
        <f t="shared" si="12"/>
        <v>#DIV/0!</v>
      </c>
    </row>
    <row r="268" spans="1:8" ht="15.75" hidden="1">
      <c r="A268" s="93" t="s">
        <v>442</v>
      </c>
      <c r="B268" s="80" t="s">
        <v>296</v>
      </c>
      <c r="C268" s="80" t="s">
        <v>110</v>
      </c>
      <c r="D268" s="80" t="s">
        <v>20</v>
      </c>
      <c r="E268" s="80" t="s">
        <v>443</v>
      </c>
      <c r="F268" s="81"/>
      <c r="G268" s="81"/>
      <c r="H268" s="166" t="e">
        <f t="shared" si="12"/>
        <v>#DIV/0!</v>
      </c>
    </row>
    <row r="269" spans="1:8" ht="31.5">
      <c r="A269" s="76" t="s">
        <v>279</v>
      </c>
      <c r="B269" s="77" t="s">
        <v>296</v>
      </c>
      <c r="C269" s="77" t="s">
        <v>296</v>
      </c>
      <c r="D269" s="77" t="s">
        <v>243</v>
      </c>
      <c r="E269" s="77" t="s">
        <v>315</v>
      </c>
      <c r="F269" s="78">
        <f>F270</f>
        <v>1.81717</v>
      </c>
      <c r="G269" s="78">
        <f>G270</f>
        <v>1.81717</v>
      </c>
      <c r="H269" s="267">
        <f t="shared" si="12"/>
        <v>1</v>
      </c>
    </row>
    <row r="270" spans="1:8" ht="31.5">
      <c r="A270" s="79" t="s">
        <v>106</v>
      </c>
      <c r="B270" s="80" t="s">
        <v>296</v>
      </c>
      <c r="C270" s="80" t="s">
        <v>296</v>
      </c>
      <c r="D270" s="80" t="s">
        <v>8</v>
      </c>
      <c r="E270" s="80" t="s">
        <v>315</v>
      </c>
      <c r="F270" s="81">
        <f>F277</f>
        <v>1.81717</v>
      </c>
      <c r="G270" s="81">
        <f>G277</f>
        <v>1.81717</v>
      </c>
      <c r="H270" s="166">
        <f t="shared" si="12"/>
        <v>1</v>
      </c>
    </row>
    <row r="271" spans="1:8" s="138" customFormat="1" ht="47.25" hidden="1">
      <c r="A271" s="82" t="s">
        <v>107</v>
      </c>
      <c r="B271" s="83" t="s">
        <v>296</v>
      </c>
      <c r="C271" s="83" t="s">
        <v>296</v>
      </c>
      <c r="D271" s="83" t="s">
        <v>11</v>
      </c>
      <c r="E271" s="83" t="s">
        <v>315</v>
      </c>
      <c r="F271" s="84">
        <f>F272</f>
        <v>0</v>
      </c>
      <c r="G271" s="84"/>
      <c r="H271" s="166" t="e">
        <f t="shared" si="12"/>
        <v>#DIV/0!</v>
      </c>
    </row>
    <row r="272" spans="1:8" ht="47.25" hidden="1">
      <c r="A272" s="79" t="s">
        <v>297</v>
      </c>
      <c r="B272" s="80" t="s">
        <v>296</v>
      </c>
      <c r="C272" s="80" t="s">
        <v>296</v>
      </c>
      <c r="D272" s="80" t="s">
        <v>11</v>
      </c>
      <c r="E272" s="80" t="s">
        <v>315</v>
      </c>
      <c r="F272" s="81">
        <f>F273+F275</f>
        <v>0</v>
      </c>
      <c r="G272" s="81"/>
      <c r="H272" s="166" t="e">
        <f t="shared" si="12"/>
        <v>#DIV/0!</v>
      </c>
    </row>
    <row r="273" spans="1:8" ht="94.5" hidden="1">
      <c r="A273" s="79" t="s">
        <v>134</v>
      </c>
      <c r="B273" s="80" t="s">
        <v>296</v>
      </c>
      <c r="C273" s="80" t="s">
        <v>296</v>
      </c>
      <c r="D273" s="80" t="s">
        <v>11</v>
      </c>
      <c r="E273" s="80" t="s">
        <v>108</v>
      </c>
      <c r="F273" s="81">
        <f>F274</f>
        <v>0</v>
      </c>
      <c r="G273" s="81"/>
      <c r="H273" s="166" t="e">
        <f t="shared" si="12"/>
        <v>#DIV/0!</v>
      </c>
    </row>
    <row r="274" spans="1:8" ht="31.5" hidden="1">
      <c r="A274" s="93" t="s">
        <v>136</v>
      </c>
      <c r="B274" s="80" t="s">
        <v>296</v>
      </c>
      <c r="C274" s="80" t="s">
        <v>296</v>
      </c>
      <c r="D274" s="80" t="s">
        <v>11</v>
      </c>
      <c r="E274" s="80" t="s">
        <v>135</v>
      </c>
      <c r="F274" s="81">
        <v>0</v>
      </c>
      <c r="G274" s="81"/>
      <c r="H274" s="166" t="e">
        <f t="shared" si="12"/>
        <v>#DIV/0!</v>
      </c>
    </row>
    <row r="275" spans="1:8" ht="31.5" hidden="1">
      <c r="A275" s="79" t="s">
        <v>137</v>
      </c>
      <c r="B275" s="80" t="s">
        <v>296</v>
      </c>
      <c r="C275" s="80" t="s">
        <v>296</v>
      </c>
      <c r="D275" s="80" t="s">
        <v>11</v>
      </c>
      <c r="E275" s="80" t="s">
        <v>112</v>
      </c>
      <c r="F275" s="81">
        <f>F276</f>
        <v>0</v>
      </c>
      <c r="G275" s="81"/>
      <c r="H275" s="166" t="e">
        <f t="shared" si="12"/>
        <v>#DIV/0!</v>
      </c>
    </row>
    <row r="276" spans="1:8" ht="47.25" hidden="1">
      <c r="A276" s="93" t="s">
        <v>138</v>
      </c>
      <c r="B276" s="80" t="s">
        <v>296</v>
      </c>
      <c r="C276" s="80" t="s">
        <v>296</v>
      </c>
      <c r="D276" s="80" t="s">
        <v>11</v>
      </c>
      <c r="E276" s="80" t="s">
        <v>139</v>
      </c>
      <c r="F276" s="81">
        <v>0</v>
      </c>
      <c r="G276" s="81"/>
      <c r="H276" s="166" t="e">
        <f t="shared" si="12"/>
        <v>#DIV/0!</v>
      </c>
    </row>
    <row r="277" spans="1:8" s="138" customFormat="1" ht="78.75">
      <c r="A277" s="95" t="s">
        <v>504</v>
      </c>
      <c r="B277" s="83" t="s">
        <v>296</v>
      </c>
      <c r="C277" s="83" t="s">
        <v>296</v>
      </c>
      <c r="D277" s="83" t="s">
        <v>21</v>
      </c>
      <c r="E277" s="83" t="s">
        <v>315</v>
      </c>
      <c r="F277" s="84">
        <f>F278+F280</f>
        <v>1.81717</v>
      </c>
      <c r="G277" s="84">
        <f>G278+G280</f>
        <v>1.81717</v>
      </c>
      <c r="H277" s="166">
        <f t="shared" si="12"/>
        <v>1</v>
      </c>
    </row>
    <row r="278" spans="1:8" ht="94.5">
      <c r="A278" s="93" t="s">
        <v>278</v>
      </c>
      <c r="B278" s="80" t="s">
        <v>296</v>
      </c>
      <c r="C278" s="80" t="s">
        <v>296</v>
      </c>
      <c r="D278" s="80" t="s">
        <v>21</v>
      </c>
      <c r="E278" s="80" t="s">
        <v>108</v>
      </c>
      <c r="F278" s="81">
        <f>F279</f>
        <v>1.81717</v>
      </c>
      <c r="G278" s="81">
        <f>G279</f>
        <v>1.81717</v>
      </c>
      <c r="H278" s="166">
        <f t="shared" si="12"/>
        <v>1</v>
      </c>
    </row>
    <row r="279" spans="1:8" ht="31.5">
      <c r="A279" s="93" t="s">
        <v>136</v>
      </c>
      <c r="B279" s="80" t="s">
        <v>296</v>
      </c>
      <c r="C279" s="80" t="s">
        <v>296</v>
      </c>
      <c r="D279" s="80" t="s">
        <v>21</v>
      </c>
      <c r="E279" s="80" t="s">
        <v>135</v>
      </c>
      <c r="F279" s="22">
        <f>1.78737+0.0298</f>
        <v>1.81717</v>
      </c>
      <c r="G279" s="81">
        <v>1.81717</v>
      </c>
      <c r="H279" s="166">
        <f t="shared" si="12"/>
        <v>1</v>
      </c>
    </row>
    <row r="280" spans="1:9" ht="31.5" hidden="1">
      <c r="A280" s="93" t="s">
        <v>137</v>
      </c>
      <c r="B280" s="80" t="s">
        <v>296</v>
      </c>
      <c r="C280" s="80" t="s">
        <v>296</v>
      </c>
      <c r="D280" s="80" t="s">
        <v>21</v>
      </c>
      <c r="E280" s="80" t="s">
        <v>112</v>
      </c>
      <c r="F280" s="81">
        <f>F281</f>
        <v>0</v>
      </c>
      <c r="G280" s="81"/>
      <c r="H280" s="166" t="e">
        <f t="shared" si="12"/>
        <v>#DIV/0!</v>
      </c>
      <c r="I280" s="139"/>
    </row>
    <row r="281" spans="1:8" ht="47.25" hidden="1">
      <c r="A281" s="93" t="s">
        <v>138</v>
      </c>
      <c r="B281" s="80" t="s">
        <v>296</v>
      </c>
      <c r="C281" s="80" t="s">
        <v>296</v>
      </c>
      <c r="D281" s="80" t="s">
        <v>21</v>
      </c>
      <c r="E281" s="80" t="s">
        <v>139</v>
      </c>
      <c r="F281" s="81"/>
      <c r="G281" s="81"/>
      <c r="H281" s="166" t="e">
        <f t="shared" si="12"/>
        <v>#DIV/0!</v>
      </c>
    </row>
    <row r="282" spans="1:8" ht="15.75">
      <c r="A282" s="73" t="s">
        <v>688</v>
      </c>
      <c r="B282" s="74" t="s">
        <v>116</v>
      </c>
      <c r="C282" s="74" t="s">
        <v>104</v>
      </c>
      <c r="D282" s="74" t="s">
        <v>243</v>
      </c>
      <c r="E282" s="74" t="s">
        <v>315</v>
      </c>
      <c r="F282" s="75">
        <f aca="true" t="shared" si="14" ref="F282:G287">F283</f>
        <v>886</v>
      </c>
      <c r="G282" s="75">
        <f t="shared" si="14"/>
        <v>863.05224</v>
      </c>
      <c r="H282" s="265">
        <f t="shared" si="12"/>
        <v>0.9740995936794582</v>
      </c>
    </row>
    <row r="283" spans="1:8" ht="31.5">
      <c r="A283" s="76" t="s">
        <v>689</v>
      </c>
      <c r="B283" s="77" t="s">
        <v>116</v>
      </c>
      <c r="C283" s="77" t="s">
        <v>296</v>
      </c>
      <c r="D283" s="77" t="s">
        <v>243</v>
      </c>
      <c r="E283" s="77" t="s">
        <v>315</v>
      </c>
      <c r="F283" s="78">
        <f t="shared" si="14"/>
        <v>886</v>
      </c>
      <c r="G283" s="78">
        <f t="shared" si="14"/>
        <v>863.05224</v>
      </c>
      <c r="H283" s="267">
        <f t="shared" si="12"/>
        <v>0.9740995936794582</v>
      </c>
    </row>
    <row r="284" spans="1:8" ht="31.5">
      <c r="A284" s="17" t="s">
        <v>106</v>
      </c>
      <c r="B284" s="3" t="s">
        <v>116</v>
      </c>
      <c r="C284" s="3" t="s">
        <v>296</v>
      </c>
      <c r="D284" s="3" t="s">
        <v>7</v>
      </c>
      <c r="E284" s="3" t="s">
        <v>315</v>
      </c>
      <c r="F284" s="22">
        <f>F285+F289</f>
        <v>886</v>
      </c>
      <c r="G284" s="22">
        <f>G285+G289</f>
        <v>863.05224</v>
      </c>
      <c r="H284" s="166">
        <f t="shared" si="12"/>
        <v>0.9740995936794582</v>
      </c>
    </row>
    <row r="285" spans="1:8" ht="47.25">
      <c r="A285" s="8" t="s">
        <v>107</v>
      </c>
      <c r="B285" s="3" t="s">
        <v>116</v>
      </c>
      <c r="C285" s="3" t="s">
        <v>296</v>
      </c>
      <c r="D285" s="3" t="s">
        <v>8</v>
      </c>
      <c r="E285" s="3" t="s">
        <v>315</v>
      </c>
      <c r="F285" s="22">
        <f t="shared" si="14"/>
        <v>431.0548</v>
      </c>
      <c r="G285" s="22">
        <f t="shared" si="14"/>
        <v>408.10704</v>
      </c>
      <c r="H285" s="166">
        <f t="shared" si="12"/>
        <v>0.9467637061459471</v>
      </c>
    </row>
    <row r="286" spans="1:8" ht="31.5">
      <c r="A286" s="8" t="s">
        <v>690</v>
      </c>
      <c r="B286" s="3" t="s">
        <v>116</v>
      </c>
      <c r="C286" s="3" t="s">
        <v>296</v>
      </c>
      <c r="D286" s="3" t="s">
        <v>691</v>
      </c>
      <c r="E286" s="3" t="s">
        <v>315</v>
      </c>
      <c r="F286" s="22">
        <f t="shared" si="14"/>
        <v>431.0548</v>
      </c>
      <c r="G286" s="22">
        <f t="shared" si="14"/>
        <v>408.10704</v>
      </c>
      <c r="H286" s="166">
        <f t="shared" si="12"/>
        <v>0.9467637061459471</v>
      </c>
    </row>
    <row r="287" spans="1:8" ht="31.5">
      <c r="A287" s="8" t="s">
        <v>137</v>
      </c>
      <c r="B287" s="3" t="s">
        <v>116</v>
      </c>
      <c r="C287" s="3" t="s">
        <v>296</v>
      </c>
      <c r="D287" s="3" t="s">
        <v>691</v>
      </c>
      <c r="E287" s="3" t="s">
        <v>112</v>
      </c>
      <c r="F287" s="22">
        <f t="shared" si="14"/>
        <v>431.0548</v>
      </c>
      <c r="G287" s="22">
        <f t="shared" si="14"/>
        <v>408.10704</v>
      </c>
      <c r="H287" s="166">
        <f t="shared" si="12"/>
        <v>0.9467637061459471</v>
      </c>
    </row>
    <row r="288" spans="1:8" ht="47.25">
      <c r="A288" s="17" t="s">
        <v>138</v>
      </c>
      <c r="B288" s="3" t="s">
        <v>116</v>
      </c>
      <c r="C288" s="3" t="s">
        <v>296</v>
      </c>
      <c r="D288" s="3" t="s">
        <v>691</v>
      </c>
      <c r="E288" s="3" t="s">
        <v>139</v>
      </c>
      <c r="F288" s="22">
        <f>'[1]5'!D259</f>
        <v>431.0548</v>
      </c>
      <c r="G288" s="81">
        <v>408.10704</v>
      </c>
      <c r="H288" s="166">
        <f t="shared" si="12"/>
        <v>0.9467637061459471</v>
      </c>
    </row>
    <row r="289" spans="1:8" ht="30">
      <c r="A289" s="15" t="s">
        <v>692</v>
      </c>
      <c r="B289" s="13" t="s">
        <v>116</v>
      </c>
      <c r="C289" s="13" t="s">
        <v>296</v>
      </c>
      <c r="D289" s="13" t="s">
        <v>693</v>
      </c>
      <c r="E289" s="13" t="s">
        <v>315</v>
      </c>
      <c r="F289" s="27">
        <f>F290</f>
        <v>454.9452</v>
      </c>
      <c r="G289" s="27">
        <f>G290</f>
        <v>454.9452</v>
      </c>
      <c r="H289" s="166">
        <f t="shared" si="12"/>
        <v>1</v>
      </c>
    </row>
    <row r="290" spans="1:8" ht="15.75">
      <c r="A290" s="15" t="s">
        <v>148</v>
      </c>
      <c r="B290" s="13" t="s">
        <v>116</v>
      </c>
      <c r="C290" s="13" t="s">
        <v>296</v>
      </c>
      <c r="D290" s="13" t="s">
        <v>693</v>
      </c>
      <c r="E290" s="13" t="s">
        <v>149</v>
      </c>
      <c r="F290" s="27">
        <f>F291</f>
        <v>454.9452</v>
      </c>
      <c r="G290" s="27">
        <f>G291</f>
        <v>454.9452</v>
      </c>
      <c r="H290" s="166">
        <f t="shared" si="12"/>
        <v>1</v>
      </c>
    </row>
    <row r="291" spans="1:8" ht="15.75">
      <c r="A291" s="15" t="s">
        <v>226</v>
      </c>
      <c r="B291" s="13" t="s">
        <v>116</v>
      </c>
      <c r="C291" s="13" t="s">
        <v>296</v>
      </c>
      <c r="D291" s="13" t="s">
        <v>693</v>
      </c>
      <c r="E291" s="13" t="s">
        <v>347</v>
      </c>
      <c r="F291" s="27">
        <f>'[1]5'!D260</f>
        <v>454.9452</v>
      </c>
      <c r="G291" s="129">
        <v>454.9452</v>
      </c>
      <c r="H291" s="166">
        <f t="shared" si="12"/>
        <v>1</v>
      </c>
    </row>
    <row r="292" spans="1:8" s="143" customFormat="1" ht="15.75">
      <c r="A292" s="73" t="s">
        <v>298</v>
      </c>
      <c r="B292" s="74" t="s">
        <v>299</v>
      </c>
      <c r="C292" s="74" t="s">
        <v>104</v>
      </c>
      <c r="D292" s="74" t="s">
        <v>243</v>
      </c>
      <c r="E292" s="74" t="s">
        <v>315</v>
      </c>
      <c r="F292" s="75">
        <f>F293+F322+F382+F423+F428+F446</f>
        <v>557269.9508700001</v>
      </c>
      <c r="G292" s="75">
        <f>G293+G322+G382+G423+G428+G446</f>
        <v>542980.62422</v>
      </c>
      <c r="H292" s="265">
        <f t="shared" si="12"/>
        <v>0.9743583399253956</v>
      </c>
    </row>
    <row r="293" spans="1:8" ht="15.75">
      <c r="A293" s="76" t="s">
        <v>307</v>
      </c>
      <c r="B293" s="77" t="s">
        <v>299</v>
      </c>
      <c r="C293" s="77" t="s">
        <v>103</v>
      </c>
      <c r="D293" s="77" t="s">
        <v>243</v>
      </c>
      <c r="E293" s="77" t="s">
        <v>315</v>
      </c>
      <c r="F293" s="78">
        <f>F294+F304+F313+F317+F310</f>
        <v>95562.87797000002</v>
      </c>
      <c r="G293" s="78">
        <f>G294+G304+G313+G317+G310</f>
        <v>93203.95827</v>
      </c>
      <c r="H293" s="267">
        <f t="shared" si="12"/>
        <v>0.9753155226160042</v>
      </c>
    </row>
    <row r="294" spans="1:9" s="138" customFormat="1" ht="47.25">
      <c r="A294" s="82" t="s">
        <v>673</v>
      </c>
      <c r="B294" s="83" t="s">
        <v>299</v>
      </c>
      <c r="C294" s="83" t="s">
        <v>103</v>
      </c>
      <c r="D294" s="83" t="s">
        <v>22</v>
      </c>
      <c r="E294" s="83" t="s">
        <v>315</v>
      </c>
      <c r="F294" s="84">
        <f>F295</f>
        <v>46568.65997000001</v>
      </c>
      <c r="G294" s="84">
        <f>G295</f>
        <v>44209.74027</v>
      </c>
      <c r="H294" s="166">
        <f t="shared" si="12"/>
        <v>0.9493453386565204</v>
      </c>
      <c r="I294" s="147"/>
    </row>
    <row r="295" spans="1:8" ht="47.25">
      <c r="A295" s="101" t="s">
        <v>193</v>
      </c>
      <c r="B295" s="80" t="s">
        <v>299</v>
      </c>
      <c r="C295" s="80" t="s">
        <v>103</v>
      </c>
      <c r="D295" s="80" t="s">
        <v>34</v>
      </c>
      <c r="E295" s="80" t="s">
        <v>315</v>
      </c>
      <c r="F295" s="22">
        <f>F296+F298+F301</f>
        <v>46568.65997000001</v>
      </c>
      <c r="G295" s="22">
        <f>G296+G298+G301</f>
        <v>44209.74027</v>
      </c>
      <c r="H295" s="166">
        <f t="shared" si="12"/>
        <v>0.9493453386565204</v>
      </c>
    </row>
    <row r="296" spans="1:8" ht="47.25">
      <c r="A296" s="79" t="s">
        <v>160</v>
      </c>
      <c r="B296" s="80" t="s">
        <v>299</v>
      </c>
      <c r="C296" s="80" t="s">
        <v>103</v>
      </c>
      <c r="D296" s="80" t="s">
        <v>36</v>
      </c>
      <c r="E296" s="80" t="s">
        <v>161</v>
      </c>
      <c r="F296" s="22">
        <f>F297</f>
        <v>5031.425</v>
      </c>
      <c r="G296" s="22">
        <f>G297</f>
        <v>4992.94994</v>
      </c>
      <c r="H296" s="166">
        <f t="shared" si="12"/>
        <v>0.9923530490864915</v>
      </c>
    </row>
    <row r="297" spans="1:8" ht="15.75">
      <c r="A297" s="79" t="s">
        <v>162</v>
      </c>
      <c r="B297" s="80" t="s">
        <v>299</v>
      </c>
      <c r="C297" s="80" t="s">
        <v>103</v>
      </c>
      <c r="D297" s="80" t="s">
        <v>35</v>
      </c>
      <c r="E297" s="80" t="s">
        <v>220</v>
      </c>
      <c r="F297" s="22">
        <f>'[1]4'!G663</f>
        <v>5031.425</v>
      </c>
      <c r="G297" s="81">
        <v>4992.94994</v>
      </c>
      <c r="H297" s="166">
        <f t="shared" si="12"/>
        <v>0.9923530490864915</v>
      </c>
    </row>
    <row r="298" spans="1:8" ht="110.25">
      <c r="A298" s="79" t="s">
        <v>570</v>
      </c>
      <c r="B298" s="80" t="s">
        <v>299</v>
      </c>
      <c r="C298" s="80" t="s">
        <v>103</v>
      </c>
      <c r="D298" s="80" t="s">
        <v>36</v>
      </c>
      <c r="E298" s="80" t="s">
        <v>315</v>
      </c>
      <c r="F298" s="22">
        <f>F299</f>
        <v>41238.43697</v>
      </c>
      <c r="G298" s="22">
        <f>G299</f>
        <v>38924.19333</v>
      </c>
      <c r="H298" s="166">
        <f t="shared" si="12"/>
        <v>0.9438813929421341</v>
      </c>
    </row>
    <row r="299" spans="1:8" ht="47.25">
      <c r="A299" s="79" t="s">
        <v>160</v>
      </c>
      <c r="B299" s="80" t="s">
        <v>299</v>
      </c>
      <c r="C299" s="80" t="s">
        <v>103</v>
      </c>
      <c r="D299" s="80" t="s">
        <v>37</v>
      </c>
      <c r="E299" s="80" t="s">
        <v>161</v>
      </c>
      <c r="F299" s="22">
        <f>F300</f>
        <v>41238.43697</v>
      </c>
      <c r="G299" s="22">
        <f>G300</f>
        <v>38924.19333</v>
      </c>
      <c r="H299" s="166">
        <f t="shared" si="12"/>
        <v>0.9438813929421341</v>
      </c>
    </row>
    <row r="300" spans="1:8" ht="15.75">
      <c r="A300" s="79" t="s">
        <v>162</v>
      </c>
      <c r="B300" s="80" t="s">
        <v>299</v>
      </c>
      <c r="C300" s="80" t="s">
        <v>103</v>
      </c>
      <c r="D300" s="80" t="s">
        <v>37</v>
      </c>
      <c r="E300" s="80" t="s">
        <v>220</v>
      </c>
      <c r="F300" s="22">
        <f>'[1]4'!G669</f>
        <v>41238.43697</v>
      </c>
      <c r="G300" s="81">
        <v>38924.19333</v>
      </c>
      <c r="H300" s="166">
        <f aca="true" t="shared" si="15" ref="H300:H363">G300/F300</f>
        <v>0.9438813929421341</v>
      </c>
    </row>
    <row r="301" spans="1:8" ht="47.25">
      <c r="A301" s="8" t="s">
        <v>694</v>
      </c>
      <c r="B301" s="3" t="s">
        <v>299</v>
      </c>
      <c r="C301" s="3" t="s">
        <v>103</v>
      </c>
      <c r="D301" s="3" t="s">
        <v>538</v>
      </c>
      <c r="E301" s="3" t="s">
        <v>315</v>
      </c>
      <c r="F301" s="22">
        <f>F302</f>
        <v>298.798</v>
      </c>
      <c r="G301" s="22">
        <f>G302</f>
        <v>292.597</v>
      </c>
      <c r="H301" s="166">
        <f t="shared" si="15"/>
        <v>0.9792468490418276</v>
      </c>
    </row>
    <row r="302" spans="1:8" ht="47.25">
      <c r="A302" s="8" t="s">
        <v>160</v>
      </c>
      <c r="B302" s="3" t="s">
        <v>299</v>
      </c>
      <c r="C302" s="3" t="s">
        <v>103</v>
      </c>
      <c r="D302" s="3" t="s">
        <v>538</v>
      </c>
      <c r="E302" s="3" t="s">
        <v>161</v>
      </c>
      <c r="F302" s="22">
        <f>F303</f>
        <v>298.798</v>
      </c>
      <c r="G302" s="22">
        <f>G303</f>
        <v>292.597</v>
      </c>
      <c r="H302" s="166">
        <f t="shared" si="15"/>
        <v>0.9792468490418276</v>
      </c>
    </row>
    <row r="303" spans="1:8" ht="15.75">
      <c r="A303" s="8" t="s">
        <v>127</v>
      </c>
      <c r="B303" s="3" t="s">
        <v>299</v>
      </c>
      <c r="C303" s="3" t="s">
        <v>103</v>
      </c>
      <c r="D303" s="3" t="s">
        <v>538</v>
      </c>
      <c r="E303" s="3" t="s">
        <v>220</v>
      </c>
      <c r="F303" s="22">
        <v>298.798</v>
      </c>
      <c r="G303" s="81">
        <v>292.597</v>
      </c>
      <c r="H303" s="166">
        <f t="shared" si="15"/>
        <v>0.9792468490418276</v>
      </c>
    </row>
    <row r="304" spans="1:8" ht="31.5" hidden="1">
      <c r="A304" s="110" t="s">
        <v>423</v>
      </c>
      <c r="B304" s="88" t="s">
        <v>299</v>
      </c>
      <c r="C304" s="88" t="s">
        <v>103</v>
      </c>
      <c r="D304" s="88" t="s">
        <v>243</v>
      </c>
      <c r="E304" s="88" t="s">
        <v>315</v>
      </c>
      <c r="F304" s="28">
        <f>F305</f>
        <v>0</v>
      </c>
      <c r="G304" s="81"/>
      <c r="H304" s="166" t="e">
        <f t="shared" si="15"/>
        <v>#DIV/0!</v>
      </c>
    </row>
    <row r="305" spans="1:8" ht="31.5" hidden="1">
      <c r="A305" s="79" t="s">
        <v>424</v>
      </c>
      <c r="B305" s="80" t="s">
        <v>299</v>
      </c>
      <c r="C305" s="80" t="s">
        <v>103</v>
      </c>
      <c r="D305" s="80" t="s">
        <v>425</v>
      </c>
      <c r="E305" s="80" t="s">
        <v>315</v>
      </c>
      <c r="F305" s="22">
        <f>F306</f>
        <v>0</v>
      </c>
      <c r="G305" s="81"/>
      <c r="H305" s="166" t="e">
        <f t="shared" si="15"/>
        <v>#DIV/0!</v>
      </c>
    </row>
    <row r="306" spans="1:8" ht="47.25" hidden="1">
      <c r="A306" s="79" t="s">
        <v>160</v>
      </c>
      <c r="B306" s="80" t="s">
        <v>299</v>
      </c>
      <c r="C306" s="80" t="s">
        <v>103</v>
      </c>
      <c r="D306" s="80" t="s">
        <v>425</v>
      </c>
      <c r="E306" s="80" t="s">
        <v>161</v>
      </c>
      <c r="F306" s="22">
        <f>F307</f>
        <v>0</v>
      </c>
      <c r="G306" s="81"/>
      <c r="H306" s="166" t="e">
        <f t="shared" si="15"/>
        <v>#DIV/0!</v>
      </c>
    </row>
    <row r="307" spans="1:8" ht="15.75" hidden="1">
      <c r="A307" s="79" t="s">
        <v>162</v>
      </c>
      <c r="B307" s="80" t="s">
        <v>299</v>
      </c>
      <c r="C307" s="80" t="s">
        <v>103</v>
      </c>
      <c r="D307" s="80" t="s">
        <v>425</v>
      </c>
      <c r="E307" s="80" t="s">
        <v>220</v>
      </c>
      <c r="F307" s="22"/>
      <c r="G307" s="81"/>
      <c r="H307" s="166" t="e">
        <f t="shared" si="15"/>
        <v>#DIV/0!</v>
      </c>
    </row>
    <row r="308" spans="1:8" ht="47.25">
      <c r="A308" s="82" t="s">
        <v>673</v>
      </c>
      <c r="B308" s="83" t="s">
        <v>299</v>
      </c>
      <c r="C308" s="83" t="s">
        <v>103</v>
      </c>
      <c r="D308" s="83" t="s">
        <v>22</v>
      </c>
      <c r="E308" s="83" t="s">
        <v>315</v>
      </c>
      <c r="F308" s="23">
        <f aca="true" t="shared" si="16" ref="F308:G311">F309</f>
        <v>48994.21800000001</v>
      </c>
      <c r="G308" s="23">
        <f t="shared" si="16"/>
        <v>48994.218</v>
      </c>
      <c r="H308" s="166">
        <f t="shared" si="15"/>
        <v>0.9999999999999999</v>
      </c>
    </row>
    <row r="309" spans="1:8" ht="47.25">
      <c r="A309" s="101" t="s">
        <v>193</v>
      </c>
      <c r="B309" s="80" t="s">
        <v>299</v>
      </c>
      <c r="C309" s="80" t="s">
        <v>103</v>
      </c>
      <c r="D309" s="80" t="s">
        <v>34</v>
      </c>
      <c r="E309" s="80" t="s">
        <v>315</v>
      </c>
      <c r="F309" s="22">
        <f t="shared" si="16"/>
        <v>48994.21800000001</v>
      </c>
      <c r="G309" s="22">
        <f t="shared" si="16"/>
        <v>48994.218</v>
      </c>
      <c r="H309" s="166">
        <f t="shared" si="15"/>
        <v>0.9999999999999999</v>
      </c>
    </row>
    <row r="310" spans="1:8" s="138" customFormat="1" ht="78.75">
      <c r="A310" s="82" t="s">
        <v>303</v>
      </c>
      <c r="B310" s="83" t="s">
        <v>299</v>
      </c>
      <c r="C310" s="112" t="s">
        <v>103</v>
      </c>
      <c r="D310" s="83" t="s">
        <v>38</v>
      </c>
      <c r="E310" s="83" t="s">
        <v>315</v>
      </c>
      <c r="F310" s="23">
        <f t="shared" si="16"/>
        <v>48994.21800000001</v>
      </c>
      <c r="G310" s="23">
        <f t="shared" si="16"/>
        <v>48994.218</v>
      </c>
      <c r="H310" s="166">
        <f t="shared" si="15"/>
        <v>0.9999999999999999</v>
      </c>
    </row>
    <row r="311" spans="1:8" ht="47.25">
      <c r="A311" s="79" t="s">
        <v>160</v>
      </c>
      <c r="B311" s="80" t="s">
        <v>299</v>
      </c>
      <c r="C311" s="80" t="s">
        <v>103</v>
      </c>
      <c r="D311" s="80" t="s">
        <v>38</v>
      </c>
      <c r="E311" s="80" t="s">
        <v>161</v>
      </c>
      <c r="F311" s="22">
        <f t="shared" si="16"/>
        <v>48994.21800000001</v>
      </c>
      <c r="G311" s="22">
        <f t="shared" si="16"/>
        <v>48994.218</v>
      </c>
      <c r="H311" s="166">
        <f t="shared" si="15"/>
        <v>0.9999999999999999</v>
      </c>
    </row>
    <row r="312" spans="1:8" ht="15.75">
      <c r="A312" s="79" t="s">
        <v>162</v>
      </c>
      <c r="B312" s="80" t="s">
        <v>299</v>
      </c>
      <c r="C312" s="80" t="s">
        <v>103</v>
      </c>
      <c r="D312" s="80" t="s">
        <v>38</v>
      </c>
      <c r="E312" s="80" t="s">
        <v>220</v>
      </c>
      <c r="F312" s="22">
        <f>46890.66+1499.976+603.582</f>
        <v>48994.21800000001</v>
      </c>
      <c r="G312" s="81">
        <v>48994.218</v>
      </c>
      <c r="H312" s="166">
        <f t="shared" si="15"/>
        <v>0.9999999999999999</v>
      </c>
    </row>
    <row r="313" spans="1:8" ht="47.25" hidden="1">
      <c r="A313" s="79" t="s">
        <v>535</v>
      </c>
      <c r="B313" s="80" t="s">
        <v>299</v>
      </c>
      <c r="C313" s="80" t="s">
        <v>103</v>
      </c>
      <c r="D313" s="80" t="s">
        <v>8</v>
      </c>
      <c r="E313" s="80" t="s">
        <v>315</v>
      </c>
      <c r="F313" s="81">
        <f>F314</f>
        <v>0</v>
      </c>
      <c r="G313" s="81"/>
      <c r="H313" s="166" t="e">
        <f t="shared" si="15"/>
        <v>#DIV/0!</v>
      </c>
    </row>
    <row r="314" spans="1:8" ht="78.75" hidden="1">
      <c r="A314" s="79" t="s">
        <v>534</v>
      </c>
      <c r="B314" s="80" t="s">
        <v>299</v>
      </c>
      <c r="C314" s="80" t="s">
        <v>103</v>
      </c>
      <c r="D314" s="80" t="s">
        <v>8</v>
      </c>
      <c r="E314" s="80" t="s">
        <v>161</v>
      </c>
      <c r="F314" s="81">
        <f>F316</f>
        <v>0</v>
      </c>
      <c r="G314" s="81"/>
      <c r="H314" s="166" t="e">
        <f t="shared" si="15"/>
        <v>#DIV/0!</v>
      </c>
    </row>
    <row r="315" spans="1:8" ht="47.25" hidden="1">
      <c r="A315" s="79" t="s">
        <v>160</v>
      </c>
      <c r="B315" s="80" t="s">
        <v>299</v>
      </c>
      <c r="C315" s="80" t="s">
        <v>103</v>
      </c>
      <c r="D315" s="80" t="s">
        <v>8</v>
      </c>
      <c r="E315" s="80" t="s">
        <v>161</v>
      </c>
      <c r="F315" s="81"/>
      <c r="G315" s="81"/>
      <c r="H315" s="166" t="e">
        <f t="shared" si="15"/>
        <v>#DIV/0!</v>
      </c>
    </row>
    <row r="316" spans="1:8" ht="15.75" hidden="1">
      <c r="A316" s="79" t="s">
        <v>162</v>
      </c>
      <c r="B316" s="80" t="s">
        <v>299</v>
      </c>
      <c r="C316" s="80" t="s">
        <v>103</v>
      </c>
      <c r="D316" s="80" t="s">
        <v>8</v>
      </c>
      <c r="E316" s="80" t="s">
        <v>220</v>
      </c>
      <c r="F316" s="81">
        <f>F317</f>
        <v>0</v>
      </c>
      <c r="G316" s="81"/>
      <c r="H316" s="166" t="e">
        <f t="shared" si="15"/>
        <v>#DIV/0!</v>
      </c>
    </row>
    <row r="317" spans="1:8" ht="31.5" hidden="1">
      <c r="A317" s="79" t="s">
        <v>106</v>
      </c>
      <c r="B317" s="80" t="s">
        <v>299</v>
      </c>
      <c r="C317" s="80" t="s">
        <v>103</v>
      </c>
      <c r="D317" s="80" t="s">
        <v>7</v>
      </c>
      <c r="E317" s="80" t="s">
        <v>315</v>
      </c>
      <c r="F317" s="81">
        <f>F318</f>
        <v>0</v>
      </c>
      <c r="G317" s="81"/>
      <c r="H317" s="166" t="e">
        <f t="shared" si="15"/>
        <v>#DIV/0!</v>
      </c>
    </row>
    <row r="318" spans="1:8" ht="47.25" hidden="1">
      <c r="A318" s="79" t="s">
        <v>107</v>
      </c>
      <c r="B318" s="80" t="s">
        <v>299</v>
      </c>
      <c r="C318" s="80" t="s">
        <v>103</v>
      </c>
      <c r="D318" s="80" t="s">
        <v>8</v>
      </c>
      <c r="E318" s="80" t="s">
        <v>315</v>
      </c>
      <c r="F318" s="81">
        <f>F319</f>
        <v>0</v>
      </c>
      <c r="G318" s="81"/>
      <c r="H318" s="166" t="e">
        <f t="shared" si="15"/>
        <v>#DIV/0!</v>
      </c>
    </row>
    <row r="319" spans="1:8" ht="31.5" hidden="1">
      <c r="A319" s="102" t="s">
        <v>455</v>
      </c>
      <c r="B319" s="80" t="s">
        <v>299</v>
      </c>
      <c r="C319" s="80" t="s">
        <v>103</v>
      </c>
      <c r="D319" s="80" t="s">
        <v>425</v>
      </c>
      <c r="E319" s="80" t="s">
        <v>315</v>
      </c>
      <c r="F319" s="81">
        <f>F320</f>
        <v>0</v>
      </c>
      <c r="G319" s="81"/>
      <c r="H319" s="166" t="e">
        <f t="shared" si="15"/>
        <v>#DIV/0!</v>
      </c>
    </row>
    <row r="320" spans="1:8" ht="47.25" hidden="1">
      <c r="A320" s="79" t="s">
        <v>160</v>
      </c>
      <c r="B320" s="80" t="s">
        <v>299</v>
      </c>
      <c r="C320" s="80" t="s">
        <v>103</v>
      </c>
      <c r="D320" s="80" t="s">
        <v>425</v>
      </c>
      <c r="E320" s="80" t="s">
        <v>161</v>
      </c>
      <c r="F320" s="81">
        <f>F321</f>
        <v>0</v>
      </c>
      <c r="G320" s="81"/>
      <c r="H320" s="166" t="e">
        <f t="shared" si="15"/>
        <v>#DIV/0!</v>
      </c>
    </row>
    <row r="321" spans="1:8" ht="15.75" hidden="1">
      <c r="A321" s="79" t="s">
        <v>162</v>
      </c>
      <c r="B321" s="80" t="s">
        <v>299</v>
      </c>
      <c r="C321" s="80" t="s">
        <v>103</v>
      </c>
      <c r="D321" s="80" t="s">
        <v>425</v>
      </c>
      <c r="E321" s="80" t="s">
        <v>220</v>
      </c>
      <c r="F321" s="81"/>
      <c r="G321" s="81"/>
      <c r="H321" s="166" t="e">
        <f t="shared" si="15"/>
        <v>#DIV/0!</v>
      </c>
    </row>
    <row r="322" spans="1:8" s="141" customFormat="1" ht="15.75">
      <c r="A322" s="76" t="s">
        <v>338</v>
      </c>
      <c r="B322" s="77" t="s">
        <v>299</v>
      </c>
      <c r="C322" s="77" t="s">
        <v>105</v>
      </c>
      <c r="D322" s="77" t="s">
        <v>243</v>
      </c>
      <c r="E322" s="77" t="s">
        <v>315</v>
      </c>
      <c r="F322" s="78">
        <f>F323+F366+F376+F379</f>
        <v>356801.03705000004</v>
      </c>
      <c r="G322" s="78">
        <f>G323+G366+G376+G379</f>
        <v>346060.51502</v>
      </c>
      <c r="H322" s="267">
        <f t="shared" si="15"/>
        <v>0.9698977275436144</v>
      </c>
    </row>
    <row r="323" spans="1:9" s="138" customFormat="1" ht="47.25">
      <c r="A323" s="82" t="s">
        <v>673</v>
      </c>
      <c r="B323" s="83" t="s">
        <v>299</v>
      </c>
      <c r="C323" s="83" t="s">
        <v>105</v>
      </c>
      <c r="D323" s="83" t="s">
        <v>22</v>
      </c>
      <c r="E323" s="83" t="s">
        <v>315</v>
      </c>
      <c r="F323" s="84">
        <f>F324+F350</f>
        <v>122114.98505</v>
      </c>
      <c r="G323" s="84">
        <f>G324+G350</f>
        <v>115440.58532</v>
      </c>
      <c r="H323" s="166">
        <f t="shared" si="15"/>
        <v>0.9453433194356354</v>
      </c>
      <c r="I323" s="147"/>
    </row>
    <row r="324" spans="1:8" ht="47.25">
      <c r="A324" s="101" t="s">
        <v>357</v>
      </c>
      <c r="B324" s="80" t="s">
        <v>299</v>
      </c>
      <c r="C324" s="80" t="s">
        <v>105</v>
      </c>
      <c r="D324" s="80" t="s">
        <v>39</v>
      </c>
      <c r="E324" s="80" t="s">
        <v>315</v>
      </c>
      <c r="F324" s="22">
        <f>F325+F328+F340+F331+F334+F337+F343</f>
        <v>120424.98505</v>
      </c>
      <c r="G324" s="22">
        <f>G325+G328+G340+G331+G334+G337+G343</f>
        <v>113895.07794</v>
      </c>
      <c r="H324" s="166">
        <f t="shared" si="15"/>
        <v>0.9457761434864301</v>
      </c>
    </row>
    <row r="325" spans="1:8" ht="31.5">
      <c r="A325" s="79" t="s">
        <v>189</v>
      </c>
      <c r="B325" s="80" t="s">
        <v>299</v>
      </c>
      <c r="C325" s="80" t="s">
        <v>105</v>
      </c>
      <c r="D325" s="80" t="s">
        <v>40</v>
      </c>
      <c r="E325" s="80" t="s">
        <v>315</v>
      </c>
      <c r="F325" s="22">
        <f>F326</f>
        <v>10211.085000000001</v>
      </c>
      <c r="G325" s="22">
        <f>G326</f>
        <v>10209.04418</v>
      </c>
      <c r="H325" s="166">
        <f t="shared" si="15"/>
        <v>0.9998001368121018</v>
      </c>
    </row>
    <row r="326" spans="1:8" ht="47.25">
      <c r="A326" s="79" t="s">
        <v>160</v>
      </c>
      <c r="B326" s="80" t="s">
        <v>299</v>
      </c>
      <c r="C326" s="80" t="s">
        <v>105</v>
      </c>
      <c r="D326" s="80" t="s">
        <v>41</v>
      </c>
      <c r="E326" s="80" t="s">
        <v>161</v>
      </c>
      <c r="F326" s="22">
        <f>F327</f>
        <v>10211.085000000001</v>
      </c>
      <c r="G326" s="22">
        <f>G327</f>
        <v>10209.04418</v>
      </c>
      <c r="H326" s="166">
        <f t="shared" si="15"/>
        <v>0.9998001368121018</v>
      </c>
    </row>
    <row r="327" spans="1:8" ht="15.75">
      <c r="A327" s="79" t="s">
        <v>162</v>
      </c>
      <c r="B327" s="80" t="s">
        <v>299</v>
      </c>
      <c r="C327" s="80" t="s">
        <v>105</v>
      </c>
      <c r="D327" s="80" t="s">
        <v>41</v>
      </c>
      <c r="E327" s="80" t="s">
        <v>220</v>
      </c>
      <c r="F327" s="22">
        <f>'[1]4'!G690</f>
        <v>10211.085000000001</v>
      </c>
      <c r="G327" s="81">
        <v>10209.04418</v>
      </c>
      <c r="H327" s="166">
        <f t="shared" si="15"/>
        <v>0.9998001368121018</v>
      </c>
    </row>
    <row r="328" spans="1:8" ht="94.5">
      <c r="A328" s="79" t="s">
        <v>569</v>
      </c>
      <c r="B328" s="80" t="s">
        <v>299</v>
      </c>
      <c r="C328" s="80" t="s">
        <v>105</v>
      </c>
      <c r="D328" s="80" t="s">
        <v>40</v>
      </c>
      <c r="E328" s="80" t="s">
        <v>315</v>
      </c>
      <c r="F328" s="22">
        <f>F329</f>
        <v>109544.05404999999</v>
      </c>
      <c r="G328" s="22">
        <f>G329</f>
        <v>103017.21576</v>
      </c>
      <c r="H328" s="166">
        <f t="shared" si="15"/>
        <v>0.9404181418461938</v>
      </c>
    </row>
    <row r="329" spans="1:8" ht="47.25">
      <c r="A329" s="79" t="s">
        <v>160</v>
      </c>
      <c r="B329" s="80" t="s">
        <v>299</v>
      </c>
      <c r="C329" s="80" t="s">
        <v>105</v>
      </c>
      <c r="D329" s="80" t="s">
        <v>42</v>
      </c>
      <c r="E329" s="80" t="s">
        <v>161</v>
      </c>
      <c r="F329" s="22">
        <f>F330</f>
        <v>109544.05404999999</v>
      </c>
      <c r="G329" s="22">
        <f>G330</f>
        <v>103017.21576</v>
      </c>
      <c r="H329" s="166">
        <f t="shared" si="15"/>
        <v>0.9404181418461938</v>
      </c>
    </row>
    <row r="330" spans="1:8" ht="15.75">
      <c r="A330" s="8" t="s">
        <v>162</v>
      </c>
      <c r="B330" s="3" t="s">
        <v>299</v>
      </c>
      <c r="C330" s="3" t="s">
        <v>105</v>
      </c>
      <c r="D330" s="3" t="s">
        <v>42</v>
      </c>
      <c r="E330" s="3" t="s">
        <v>220</v>
      </c>
      <c r="F330" s="22">
        <f>'[1]4'!G693</f>
        <v>109544.05404999999</v>
      </c>
      <c r="G330" s="81">
        <v>103017.21576</v>
      </c>
      <c r="H330" s="166">
        <f t="shared" si="15"/>
        <v>0.9404181418461938</v>
      </c>
    </row>
    <row r="331" spans="1:8" ht="94.5" hidden="1">
      <c r="A331" s="8" t="s">
        <v>485</v>
      </c>
      <c r="B331" s="3" t="s">
        <v>299</v>
      </c>
      <c r="C331" s="3" t="s">
        <v>105</v>
      </c>
      <c r="D331" s="3" t="s">
        <v>479</v>
      </c>
      <c r="E331" s="3" t="s">
        <v>315</v>
      </c>
      <c r="F331" s="22">
        <f>F332</f>
        <v>0</v>
      </c>
      <c r="G331" s="81"/>
      <c r="H331" s="166" t="e">
        <f t="shared" si="15"/>
        <v>#DIV/0!</v>
      </c>
    </row>
    <row r="332" spans="1:8" ht="47.25" hidden="1">
      <c r="A332" s="8" t="s">
        <v>160</v>
      </c>
      <c r="B332" s="3" t="s">
        <v>299</v>
      </c>
      <c r="C332" s="3" t="s">
        <v>105</v>
      </c>
      <c r="D332" s="3" t="s">
        <v>479</v>
      </c>
      <c r="E332" s="3" t="s">
        <v>161</v>
      </c>
      <c r="F332" s="22">
        <f>F333</f>
        <v>0</v>
      </c>
      <c r="G332" s="81"/>
      <c r="H332" s="166" t="e">
        <f t="shared" si="15"/>
        <v>#DIV/0!</v>
      </c>
    </row>
    <row r="333" spans="1:8" ht="15.75" hidden="1">
      <c r="A333" s="8" t="s">
        <v>162</v>
      </c>
      <c r="B333" s="3" t="s">
        <v>299</v>
      </c>
      <c r="C333" s="3" t="s">
        <v>105</v>
      </c>
      <c r="D333" s="3" t="s">
        <v>479</v>
      </c>
      <c r="E333" s="3" t="s">
        <v>220</v>
      </c>
      <c r="F333" s="22"/>
      <c r="G333" s="81"/>
      <c r="H333" s="166" t="e">
        <f t="shared" si="15"/>
        <v>#DIV/0!</v>
      </c>
    </row>
    <row r="334" spans="1:8" ht="47.25">
      <c r="A334" s="8" t="s">
        <v>540</v>
      </c>
      <c r="B334" s="3" t="s">
        <v>299</v>
      </c>
      <c r="C334" s="3" t="s">
        <v>105</v>
      </c>
      <c r="D334" s="3" t="s">
        <v>537</v>
      </c>
      <c r="E334" s="3" t="s">
        <v>315</v>
      </c>
      <c r="F334" s="22">
        <f>F335</f>
        <v>669.846</v>
      </c>
      <c r="G334" s="22">
        <f>G335</f>
        <v>668.818</v>
      </c>
      <c r="H334" s="166">
        <f t="shared" si="15"/>
        <v>0.9984653188941935</v>
      </c>
    </row>
    <row r="335" spans="1:8" ht="47.25">
      <c r="A335" s="8" t="s">
        <v>160</v>
      </c>
      <c r="B335" s="3" t="s">
        <v>299</v>
      </c>
      <c r="C335" s="3" t="s">
        <v>105</v>
      </c>
      <c r="D335" s="3" t="s">
        <v>537</v>
      </c>
      <c r="E335" s="3" t="s">
        <v>161</v>
      </c>
      <c r="F335" s="22">
        <f>F336</f>
        <v>669.846</v>
      </c>
      <c r="G335" s="22">
        <f>G336</f>
        <v>668.818</v>
      </c>
      <c r="H335" s="166">
        <f t="shared" si="15"/>
        <v>0.9984653188941935</v>
      </c>
    </row>
    <row r="336" spans="1:8" ht="15.75">
      <c r="A336" s="8" t="s">
        <v>162</v>
      </c>
      <c r="B336" s="3" t="s">
        <v>299</v>
      </c>
      <c r="C336" s="3" t="s">
        <v>105</v>
      </c>
      <c r="D336" s="3" t="s">
        <v>537</v>
      </c>
      <c r="E336" s="3" t="s">
        <v>220</v>
      </c>
      <c r="F336" s="22">
        <v>669.846</v>
      </c>
      <c r="G336" s="81">
        <v>668.818</v>
      </c>
      <c r="H336" s="166">
        <f t="shared" si="15"/>
        <v>0.9984653188941935</v>
      </c>
    </row>
    <row r="337" spans="1:8" ht="47.25" hidden="1">
      <c r="A337" s="82" t="s">
        <v>575</v>
      </c>
      <c r="B337" s="80" t="s">
        <v>299</v>
      </c>
      <c r="C337" s="80" t="s">
        <v>105</v>
      </c>
      <c r="D337" s="80" t="s">
        <v>576</v>
      </c>
      <c r="E337" s="80" t="s">
        <v>315</v>
      </c>
      <c r="F337" s="23">
        <f>F338</f>
        <v>0</v>
      </c>
      <c r="G337" s="81"/>
      <c r="H337" s="166" t="e">
        <f t="shared" si="15"/>
        <v>#DIV/0!</v>
      </c>
    </row>
    <row r="338" spans="1:8" ht="47.25" hidden="1">
      <c r="A338" s="79" t="s">
        <v>160</v>
      </c>
      <c r="B338" s="80" t="s">
        <v>299</v>
      </c>
      <c r="C338" s="80" t="s">
        <v>105</v>
      </c>
      <c r="D338" s="80" t="s">
        <v>576</v>
      </c>
      <c r="E338" s="80" t="s">
        <v>161</v>
      </c>
      <c r="F338" s="22">
        <f>F339</f>
        <v>0</v>
      </c>
      <c r="G338" s="81"/>
      <c r="H338" s="166" t="e">
        <f t="shared" si="15"/>
        <v>#DIV/0!</v>
      </c>
    </row>
    <row r="339" spans="1:8" ht="15.75" hidden="1">
      <c r="A339" s="79" t="s">
        <v>162</v>
      </c>
      <c r="B339" s="80" t="s">
        <v>299</v>
      </c>
      <c r="C339" s="80" t="s">
        <v>105</v>
      </c>
      <c r="D339" s="80" t="s">
        <v>576</v>
      </c>
      <c r="E339" s="80" t="s">
        <v>220</v>
      </c>
      <c r="F339" s="22"/>
      <c r="G339" s="81"/>
      <c r="H339" s="166" t="e">
        <f t="shared" si="15"/>
        <v>#DIV/0!</v>
      </c>
    </row>
    <row r="340" spans="1:8" ht="78.75" hidden="1">
      <c r="A340" s="79" t="s">
        <v>527</v>
      </c>
      <c r="B340" s="80" t="s">
        <v>299</v>
      </c>
      <c r="C340" s="80" t="s">
        <v>105</v>
      </c>
      <c r="D340" s="2" t="s">
        <v>695</v>
      </c>
      <c r="E340" s="80" t="s">
        <v>315</v>
      </c>
      <c r="F340" s="22">
        <f>F341</f>
        <v>0</v>
      </c>
      <c r="G340" s="81"/>
      <c r="H340" s="166" t="e">
        <f t="shared" si="15"/>
        <v>#DIV/0!</v>
      </c>
    </row>
    <row r="341" spans="1:8" ht="47.25" hidden="1">
      <c r="A341" s="79" t="s">
        <v>160</v>
      </c>
      <c r="B341" s="80" t="s">
        <v>299</v>
      </c>
      <c r="C341" s="80" t="s">
        <v>105</v>
      </c>
      <c r="D341" s="2" t="s">
        <v>695</v>
      </c>
      <c r="E341" s="80" t="s">
        <v>161</v>
      </c>
      <c r="F341" s="81">
        <f>F342</f>
        <v>0</v>
      </c>
      <c r="G341" s="81"/>
      <c r="H341" s="166" t="e">
        <f t="shared" si="15"/>
        <v>#DIV/0!</v>
      </c>
    </row>
    <row r="342" spans="1:8" ht="15.75" hidden="1">
      <c r="A342" s="79" t="s">
        <v>162</v>
      </c>
      <c r="B342" s="80" t="s">
        <v>299</v>
      </c>
      <c r="C342" s="80" t="s">
        <v>105</v>
      </c>
      <c r="D342" s="2" t="s">
        <v>695</v>
      </c>
      <c r="E342" s="80" t="s">
        <v>220</v>
      </c>
      <c r="F342" s="22">
        <f>'[1]4'!G707</f>
        <v>0</v>
      </c>
      <c r="G342" s="81"/>
      <c r="H342" s="166" t="e">
        <f t="shared" si="15"/>
        <v>#DIV/0!</v>
      </c>
    </row>
    <row r="343" spans="1:8" ht="47.25" hidden="1">
      <c r="A343" s="21" t="s">
        <v>631</v>
      </c>
      <c r="B343" s="5" t="s">
        <v>299</v>
      </c>
      <c r="C343" s="5" t="s">
        <v>105</v>
      </c>
      <c r="D343" s="113" t="s">
        <v>39</v>
      </c>
      <c r="E343" s="5" t="s">
        <v>315</v>
      </c>
      <c r="F343" s="30">
        <f>F344+F347</f>
        <v>0</v>
      </c>
      <c r="G343" s="81"/>
      <c r="H343" s="166" t="e">
        <f t="shared" si="15"/>
        <v>#DIV/0!</v>
      </c>
    </row>
    <row r="344" spans="1:8" ht="78.75" hidden="1">
      <c r="A344" s="8" t="s">
        <v>628</v>
      </c>
      <c r="B344" s="3" t="s">
        <v>299</v>
      </c>
      <c r="C344" s="3" t="s">
        <v>105</v>
      </c>
      <c r="D344" s="2" t="s">
        <v>696</v>
      </c>
      <c r="E344" s="3" t="s">
        <v>315</v>
      </c>
      <c r="F344" s="22">
        <f>F345</f>
        <v>0</v>
      </c>
      <c r="G344" s="81"/>
      <c r="H344" s="166" t="e">
        <f t="shared" si="15"/>
        <v>#DIV/0!</v>
      </c>
    </row>
    <row r="345" spans="1:8" ht="47.25" hidden="1">
      <c r="A345" s="8" t="s">
        <v>160</v>
      </c>
      <c r="B345" s="3" t="s">
        <v>299</v>
      </c>
      <c r="C345" s="3" t="s">
        <v>105</v>
      </c>
      <c r="D345" s="2" t="s">
        <v>696</v>
      </c>
      <c r="E345" s="3" t="s">
        <v>161</v>
      </c>
      <c r="F345" s="22">
        <f>F346</f>
        <v>0</v>
      </c>
      <c r="G345" s="81"/>
      <c r="H345" s="166" t="e">
        <f t="shared" si="15"/>
        <v>#DIV/0!</v>
      </c>
    </row>
    <row r="346" spans="1:8" ht="15.75" hidden="1">
      <c r="A346" s="8" t="s">
        <v>162</v>
      </c>
      <c r="B346" s="3" t="s">
        <v>299</v>
      </c>
      <c r="C346" s="3" t="s">
        <v>105</v>
      </c>
      <c r="D346" s="2" t="s">
        <v>696</v>
      </c>
      <c r="E346" s="3" t="s">
        <v>220</v>
      </c>
      <c r="F346" s="22">
        <f>2970-89.1-2880.9</f>
        <v>0</v>
      </c>
      <c r="G346" s="81"/>
      <c r="H346" s="166" t="e">
        <f t="shared" si="15"/>
        <v>#DIV/0!</v>
      </c>
    </row>
    <row r="347" spans="1:8" ht="94.5" hidden="1">
      <c r="A347" s="8" t="s">
        <v>629</v>
      </c>
      <c r="B347" s="3" t="s">
        <v>299</v>
      </c>
      <c r="C347" s="3" t="s">
        <v>105</v>
      </c>
      <c r="D347" s="2" t="s">
        <v>697</v>
      </c>
      <c r="E347" s="3" t="s">
        <v>315</v>
      </c>
      <c r="F347" s="22">
        <f>F348</f>
        <v>0</v>
      </c>
      <c r="G347" s="81"/>
      <c r="H347" s="166" t="e">
        <f t="shared" si="15"/>
        <v>#DIV/0!</v>
      </c>
    </row>
    <row r="348" spans="1:8" ht="47.25" hidden="1">
      <c r="A348" s="8" t="s">
        <v>160</v>
      </c>
      <c r="B348" s="3" t="s">
        <v>299</v>
      </c>
      <c r="C348" s="3" t="s">
        <v>105</v>
      </c>
      <c r="D348" s="2" t="s">
        <v>697</v>
      </c>
      <c r="E348" s="3" t="s">
        <v>161</v>
      </c>
      <c r="F348" s="22">
        <f>F349</f>
        <v>0</v>
      </c>
      <c r="G348" s="81"/>
      <c r="H348" s="166" t="e">
        <f t="shared" si="15"/>
        <v>#DIV/0!</v>
      </c>
    </row>
    <row r="349" spans="1:8" ht="15.75" hidden="1">
      <c r="A349" s="8" t="s">
        <v>162</v>
      </c>
      <c r="B349" s="3" t="s">
        <v>299</v>
      </c>
      <c r="C349" s="3" t="s">
        <v>105</v>
      </c>
      <c r="D349" s="2" t="s">
        <v>697</v>
      </c>
      <c r="E349" s="3" t="s">
        <v>220</v>
      </c>
      <c r="F349" s="22">
        <f>30-30</f>
        <v>0</v>
      </c>
      <c r="G349" s="81"/>
      <c r="H349" s="166" t="e">
        <f t="shared" si="15"/>
        <v>#DIV/0!</v>
      </c>
    </row>
    <row r="350" spans="1:8" ht="31.5">
      <c r="A350" s="101" t="s">
        <v>194</v>
      </c>
      <c r="B350" s="80" t="s">
        <v>299</v>
      </c>
      <c r="C350" s="80" t="s">
        <v>105</v>
      </c>
      <c r="D350" s="80" t="s">
        <v>43</v>
      </c>
      <c r="E350" s="80" t="s">
        <v>315</v>
      </c>
      <c r="F350" s="22">
        <f>F351+F354</f>
        <v>1690</v>
      </c>
      <c r="G350" s="22">
        <f>G351+G354</f>
        <v>1545.50738</v>
      </c>
      <c r="H350" s="166">
        <f t="shared" si="15"/>
        <v>0.9145014082840237</v>
      </c>
    </row>
    <row r="351" spans="1:8" ht="47.25">
      <c r="A351" s="82" t="s">
        <v>195</v>
      </c>
      <c r="B351" s="80" t="s">
        <v>299</v>
      </c>
      <c r="C351" s="80" t="s">
        <v>105</v>
      </c>
      <c r="D351" s="80" t="s">
        <v>44</v>
      </c>
      <c r="E351" s="80" t="s">
        <v>315</v>
      </c>
      <c r="F351" s="81">
        <f>F352</f>
        <v>250</v>
      </c>
      <c r="G351" s="81">
        <f>G352</f>
        <v>220.21358</v>
      </c>
      <c r="H351" s="166">
        <f t="shared" si="15"/>
        <v>0.8808543200000001</v>
      </c>
    </row>
    <row r="352" spans="1:8" ht="47.25">
      <c r="A352" s="79" t="s">
        <v>160</v>
      </c>
      <c r="B352" s="80" t="s">
        <v>299</v>
      </c>
      <c r="C352" s="80" t="s">
        <v>105</v>
      </c>
      <c r="D352" s="80" t="s">
        <v>45</v>
      </c>
      <c r="E352" s="80" t="s">
        <v>161</v>
      </c>
      <c r="F352" s="81">
        <f>F353</f>
        <v>250</v>
      </c>
      <c r="G352" s="81">
        <f>G353</f>
        <v>220.21358</v>
      </c>
      <c r="H352" s="166">
        <f t="shared" si="15"/>
        <v>0.8808543200000001</v>
      </c>
    </row>
    <row r="353" spans="1:8" ht="15.75">
      <c r="A353" s="79" t="s">
        <v>162</v>
      </c>
      <c r="B353" s="80" t="s">
        <v>299</v>
      </c>
      <c r="C353" s="80" t="s">
        <v>105</v>
      </c>
      <c r="D353" s="80" t="s">
        <v>45</v>
      </c>
      <c r="E353" s="80" t="s">
        <v>220</v>
      </c>
      <c r="F353" s="81">
        <v>250</v>
      </c>
      <c r="G353" s="81">
        <v>220.21358</v>
      </c>
      <c r="H353" s="166">
        <f t="shared" si="15"/>
        <v>0.8808543200000001</v>
      </c>
    </row>
    <row r="354" spans="1:8" ht="31.5">
      <c r="A354" s="82" t="s">
        <v>190</v>
      </c>
      <c r="B354" s="80" t="s">
        <v>299</v>
      </c>
      <c r="C354" s="80" t="s">
        <v>105</v>
      </c>
      <c r="D354" s="80" t="s">
        <v>44</v>
      </c>
      <c r="E354" s="80" t="s">
        <v>315</v>
      </c>
      <c r="F354" s="81">
        <f>F355</f>
        <v>1440</v>
      </c>
      <c r="G354" s="81">
        <f>G355</f>
        <v>1325.2938</v>
      </c>
      <c r="H354" s="166">
        <f t="shared" si="15"/>
        <v>0.9203429166666666</v>
      </c>
    </row>
    <row r="355" spans="1:8" ht="47.25">
      <c r="A355" s="79" t="s">
        <v>160</v>
      </c>
      <c r="B355" s="80" t="s">
        <v>299</v>
      </c>
      <c r="C355" s="80" t="s">
        <v>105</v>
      </c>
      <c r="D355" s="80" t="s">
        <v>46</v>
      </c>
      <c r="E355" s="80" t="s">
        <v>161</v>
      </c>
      <c r="F355" s="81">
        <f>F356</f>
        <v>1440</v>
      </c>
      <c r="G355" s="81">
        <f>G356</f>
        <v>1325.2938</v>
      </c>
      <c r="H355" s="166">
        <f t="shared" si="15"/>
        <v>0.9203429166666666</v>
      </c>
    </row>
    <row r="356" spans="1:8" ht="15.75">
      <c r="A356" s="79" t="s">
        <v>162</v>
      </c>
      <c r="B356" s="80" t="s">
        <v>299</v>
      </c>
      <c r="C356" s="80" t="s">
        <v>105</v>
      </c>
      <c r="D356" s="80" t="s">
        <v>46</v>
      </c>
      <c r="E356" s="80" t="s">
        <v>220</v>
      </c>
      <c r="F356" s="22">
        <f>1000+440</f>
        <v>1440</v>
      </c>
      <c r="G356" s="81">
        <v>1325.2938</v>
      </c>
      <c r="H356" s="166">
        <f t="shared" si="15"/>
        <v>0.9203429166666666</v>
      </c>
    </row>
    <row r="357" spans="1:8" ht="31.5" hidden="1">
      <c r="A357" s="101" t="s">
        <v>222</v>
      </c>
      <c r="B357" s="80" t="s">
        <v>299</v>
      </c>
      <c r="C357" s="80" t="s">
        <v>105</v>
      </c>
      <c r="D357" s="80" t="s">
        <v>47</v>
      </c>
      <c r="E357" s="80" t="s">
        <v>315</v>
      </c>
      <c r="F357" s="81">
        <f>F358</f>
        <v>0</v>
      </c>
      <c r="G357" s="81"/>
      <c r="H357" s="166" t="e">
        <f t="shared" si="15"/>
        <v>#DIV/0!</v>
      </c>
    </row>
    <row r="358" spans="1:8" ht="31.5" hidden="1">
      <c r="A358" s="79" t="s">
        <v>90</v>
      </c>
      <c r="B358" s="80" t="s">
        <v>299</v>
      </c>
      <c r="C358" s="80" t="s">
        <v>105</v>
      </c>
      <c r="D358" s="80" t="s">
        <v>48</v>
      </c>
      <c r="E358" s="80" t="s">
        <v>315</v>
      </c>
      <c r="F358" s="81">
        <f>F359</f>
        <v>0</v>
      </c>
      <c r="G358" s="81"/>
      <c r="H358" s="166" t="e">
        <f t="shared" si="15"/>
        <v>#DIV/0!</v>
      </c>
    </row>
    <row r="359" spans="1:8" ht="47.25" hidden="1">
      <c r="A359" s="79" t="s">
        <v>160</v>
      </c>
      <c r="B359" s="80" t="s">
        <v>299</v>
      </c>
      <c r="C359" s="80" t="s">
        <v>105</v>
      </c>
      <c r="D359" s="80" t="s">
        <v>48</v>
      </c>
      <c r="E359" s="80" t="s">
        <v>161</v>
      </c>
      <c r="F359" s="81">
        <f>F360+F361+F362+F363</f>
        <v>0</v>
      </c>
      <c r="G359" s="81"/>
      <c r="H359" s="166" t="e">
        <f t="shared" si="15"/>
        <v>#DIV/0!</v>
      </c>
    </row>
    <row r="360" spans="1:8" ht="31.5" hidden="1">
      <c r="A360" s="79" t="s">
        <v>87</v>
      </c>
      <c r="B360" s="80" t="s">
        <v>299</v>
      </c>
      <c r="C360" s="80" t="s">
        <v>105</v>
      </c>
      <c r="D360" s="80" t="s">
        <v>49</v>
      </c>
      <c r="E360" s="80" t="s">
        <v>220</v>
      </c>
      <c r="F360" s="81"/>
      <c r="G360" s="81"/>
      <c r="H360" s="166" t="e">
        <f t="shared" si="15"/>
        <v>#DIV/0!</v>
      </c>
    </row>
    <row r="361" spans="1:8" ht="31.5" hidden="1">
      <c r="A361" s="79" t="s">
        <v>88</v>
      </c>
      <c r="B361" s="80" t="s">
        <v>299</v>
      </c>
      <c r="C361" s="80" t="s">
        <v>105</v>
      </c>
      <c r="D361" s="80" t="s">
        <v>50</v>
      </c>
      <c r="E361" s="80" t="s">
        <v>220</v>
      </c>
      <c r="F361" s="81"/>
      <c r="G361" s="81"/>
      <c r="H361" s="166" t="e">
        <f t="shared" si="15"/>
        <v>#DIV/0!</v>
      </c>
    </row>
    <row r="362" spans="1:8" ht="31.5" hidden="1">
      <c r="A362" s="79" t="s">
        <v>163</v>
      </c>
      <c r="B362" s="80" t="s">
        <v>299</v>
      </c>
      <c r="C362" s="80" t="s">
        <v>105</v>
      </c>
      <c r="D362" s="80" t="s">
        <v>51</v>
      </c>
      <c r="E362" s="80" t="s">
        <v>220</v>
      </c>
      <c r="F362" s="81"/>
      <c r="G362" s="81"/>
      <c r="H362" s="166" t="e">
        <f t="shared" si="15"/>
        <v>#DIV/0!</v>
      </c>
    </row>
    <row r="363" spans="1:8" ht="31.5" hidden="1">
      <c r="A363" s="79" t="s">
        <v>164</v>
      </c>
      <c r="B363" s="80" t="s">
        <v>299</v>
      </c>
      <c r="C363" s="80" t="s">
        <v>105</v>
      </c>
      <c r="D363" s="80" t="s">
        <v>52</v>
      </c>
      <c r="E363" s="80" t="s">
        <v>220</v>
      </c>
      <c r="F363" s="81"/>
      <c r="G363" s="81"/>
      <c r="H363" s="166" t="e">
        <f t="shared" si="15"/>
        <v>#DIV/0!</v>
      </c>
    </row>
    <row r="364" spans="1:8" ht="47.25">
      <c r="A364" s="82" t="s">
        <v>698</v>
      </c>
      <c r="B364" s="83" t="s">
        <v>299</v>
      </c>
      <c r="C364" s="83" t="s">
        <v>105</v>
      </c>
      <c r="D364" s="83" t="s">
        <v>22</v>
      </c>
      <c r="E364" s="83" t="s">
        <v>315</v>
      </c>
      <c r="F364" s="81">
        <f>F365</f>
        <v>213854.059</v>
      </c>
      <c r="G364" s="81">
        <f>G365</f>
        <v>212419.05109000002</v>
      </c>
      <c r="H364" s="166">
        <f aca="true" t="shared" si="17" ref="H364:H425">G364/F364</f>
        <v>0.9932897794097985</v>
      </c>
    </row>
    <row r="365" spans="1:8" ht="47.25">
      <c r="A365" s="101" t="s">
        <v>357</v>
      </c>
      <c r="B365" s="80" t="s">
        <v>299</v>
      </c>
      <c r="C365" s="80" t="s">
        <v>105</v>
      </c>
      <c r="D365" s="80" t="s">
        <v>39</v>
      </c>
      <c r="E365" s="80" t="s">
        <v>315</v>
      </c>
      <c r="F365" s="81">
        <f>F366</f>
        <v>213854.059</v>
      </c>
      <c r="G365" s="81">
        <f>G366</f>
        <v>212419.05109000002</v>
      </c>
      <c r="H365" s="166">
        <f t="shared" si="17"/>
        <v>0.9932897794097985</v>
      </c>
    </row>
    <row r="366" spans="1:8" s="138" customFormat="1" ht="15.75">
      <c r="A366" s="82" t="s">
        <v>122</v>
      </c>
      <c r="B366" s="83" t="s">
        <v>299</v>
      </c>
      <c r="C366" s="83" t="s">
        <v>105</v>
      </c>
      <c r="D366" s="83" t="s">
        <v>22</v>
      </c>
      <c r="E366" s="83" t="s">
        <v>315</v>
      </c>
      <c r="F366" s="84">
        <f>F367+F370+F373</f>
        <v>213854.059</v>
      </c>
      <c r="G366" s="84">
        <f>G367+G370+G373</f>
        <v>212419.05109000002</v>
      </c>
      <c r="H366" s="166">
        <f t="shared" si="17"/>
        <v>0.9932897794097985</v>
      </c>
    </row>
    <row r="367" spans="1:8" s="138" customFormat="1" ht="63">
      <c r="A367" s="82" t="s">
        <v>426</v>
      </c>
      <c r="B367" s="83" t="s">
        <v>299</v>
      </c>
      <c r="C367" s="83" t="s">
        <v>105</v>
      </c>
      <c r="D367" s="83" t="s">
        <v>39</v>
      </c>
      <c r="E367" s="83" t="s">
        <v>315</v>
      </c>
      <c r="F367" s="84">
        <f>F368</f>
        <v>9383.25</v>
      </c>
      <c r="G367" s="84">
        <f>G368</f>
        <v>9289.7286</v>
      </c>
      <c r="H367" s="166">
        <f t="shared" si="17"/>
        <v>0.9900331548237551</v>
      </c>
    </row>
    <row r="368" spans="1:8" ht="47.25">
      <c r="A368" s="79" t="s">
        <v>160</v>
      </c>
      <c r="B368" s="80" t="s">
        <v>299</v>
      </c>
      <c r="C368" s="80" t="s">
        <v>105</v>
      </c>
      <c r="D368" s="80" t="s">
        <v>427</v>
      </c>
      <c r="E368" s="80" t="s">
        <v>161</v>
      </c>
      <c r="F368" s="81">
        <f>F369</f>
        <v>9383.25</v>
      </c>
      <c r="G368" s="81">
        <f>G369</f>
        <v>9289.7286</v>
      </c>
      <c r="H368" s="166">
        <f t="shared" si="17"/>
        <v>0.9900331548237551</v>
      </c>
    </row>
    <row r="369" spans="1:8" ht="15.75">
      <c r="A369" s="79" t="s">
        <v>162</v>
      </c>
      <c r="B369" s="80" t="s">
        <v>299</v>
      </c>
      <c r="C369" s="80" t="s">
        <v>105</v>
      </c>
      <c r="D369" s="80" t="s">
        <v>427</v>
      </c>
      <c r="E369" s="80" t="s">
        <v>220</v>
      </c>
      <c r="F369" s="22">
        <f>9748.65-365.4</f>
        <v>9383.25</v>
      </c>
      <c r="G369" s="81">
        <v>9289.7286</v>
      </c>
      <c r="H369" s="166">
        <f t="shared" si="17"/>
        <v>0.9900331548237551</v>
      </c>
    </row>
    <row r="370" spans="1:8" ht="78.75">
      <c r="A370" s="82" t="s">
        <v>521</v>
      </c>
      <c r="B370" s="83" t="s">
        <v>299</v>
      </c>
      <c r="C370" s="83" t="s">
        <v>105</v>
      </c>
      <c r="D370" s="83" t="s">
        <v>634</v>
      </c>
      <c r="E370" s="83" t="s">
        <v>315</v>
      </c>
      <c r="F370" s="84">
        <f>F371</f>
        <v>14117.65</v>
      </c>
      <c r="G370" s="84">
        <f>G371</f>
        <v>12776.16349</v>
      </c>
      <c r="H370" s="166">
        <f t="shared" si="17"/>
        <v>0.9049780586712378</v>
      </c>
    </row>
    <row r="371" spans="1:8" ht="47.25">
      <c r="A371" s="79" t="s">
        <v>160</v>
      </c>
      <c r="B371" s="80" t="s">
        <v>299</v>
      </c>
      <c r="C371" s="80" t="s">
        <v>105</v>
      </c>
      <c r="D371" s="80" t="s">
        <v>634</v>
      </c>
      <c r="E371" s="80" t="s">
        <v>161</v>
      </c>
      <c r="F371" s="81">
        <f>F372</f>
        <v>14117.65</v>
      </c>
      <c r="G371" s="81">
        <f>G372</f>
        <v>12776.16349</v>
      </c>
      <c r="H371" s="166">
        <f t="shared" si="17"/>
        <v>0.9049780586712378</v>
      </c>
    </row>
    <row r="372" spans="1:8" ht="15.75">
      <c r="A372" s="79" t="s">
        <v>162</v>
      </c>
      <c r="B372" s="80" t="s">
        <v>299</v>
      </c>
      <c r="C372" s="80" t="s">
        <v>105</v>
      </c>
      <c r="D372" s="80" t="s">
        <v>634</v>
      </c>
      <c r="E372" s="80" t="s">
        <v>220</v>
      </c>
      <c r="F372" s="22">
        <f>12932.75+1184.9</f>
        <v>14117.65</v>
      </c>
      <c r="G372" s="81">
        <v>12776.16349</v>
      </c>
      <c r="H372" s="166">
        <f t="shared" si="17"/>
        <v>0.9049780586712378</v>
      </c>
    </row>
    <row r="373" spans="1:8" s="138" customFormat="1" ht="78.75">
      <c r="A373" s="82" t="s">
        <v>132</v>
      </c>
      <c r="B373" s="83" t="s">
        <v>299</v>
      </c>
      <c r="C373" s="83" t="s">
        <v>105</v>
      </c>
      <c r="D373" s="83" t="s">
        <v>39</v>
      </c>
      <c r="E373" s="83" t="s">
        <v>315</v>
      </c>
      <c r="F373" s="23">
        <f>F374</f>
        <v>190353.159</v>
      </c>
      <c r="G373" s="23">
        <f>G374</f>
        <v>190353.159</v>
      </c>
      <c r="H373" s="166">
        <f t="shared" si="17"/>
        <v>1</v>
      </c>
    </row>
    <row r="374" spans="1:8" ht="47.25">
      <c r="A374" s="79" t="s">
        <v>160</v>
      </c>
      <c r="B374" s="80" t="s">
        <v>299</v>
      </c>
      <c r="C374" s="80" t="s">
        <v>105</v>
      </c>
      <c r="D374" s="80" t="s">
        <v>53</v>
      </c>
      <c r="E374" s="80" t="s">
        <v>161</v>
      </c>
      <c r="F374" s="22">
        <f>F375</f>
        <v>190353.159</v>
      </c>
      <c r="G374" s="22">
        <f>G375</f>
        <v>190353.159</v>
      </c>
      <c r="H374" s="166">
        <f t="shared" si="17"/>
        <v>1</v>
      </c>
    </row>
    <row r="375" spans="1:8" ht="15.75">
      <c r="A375" s="79" t="s">
        <v>162</v>
      </c>
      <c r="B375" s="80" t="s">
        <v>299</v>
      </c>
      <c r="C375" s="80" t="s">
        <v>105</v>
      </c>
      <c r="D375" s="80" t="s">
        <v>53</v>
      </c>
      <c r="E375" s="80" t="s">
        <v>220</v>
      </c>
      <c r="F375" s="22">
        <f>191046.082-7176.924+4339.233+2144.768</f>
        <v>190353.159</v>
      </c>
      <c r="G375" s="81">
        <v>190353.159</v>
      </c>
      <c r="H375" s="166">
        <f t="shared" si="17"/>
        <v>1</v>
      </c>
    </row>
    <row r="376" spans="1:8" ht="94.5">
      <c r="A376" s="82" t="s">
        <v>520</v>
      </c>
      <c r="B376" s="83" t="s">
        <v>299</v>
      </c>
      <c r="C376" s="83" t="s">
        <v>105</v>
      </c>
      <c r="D376" s="83" t="s">
        <v>522</v>
      </c>
      <c r="E376" s="83" t="s">
        <v>315</v>
      </c>
      <c r="F376" s="23">
        <f>F377</f>
        <v>20475</v>
      </c>
      <c r="G376" s="23">
        <f>G377</f>
        <v>17846.60513</v>
      </c>
      <c r="H376" s="166">
        <f t="shared" si="17"/>
        <v>0.8716290661782662</v>
      </c>
    </row>
    <row r="377" spans="1:8" ht="47.25">
      <c r="A377" s="79" t="s">
        <v>160</v>
      </c>
      <c r="B377" s="80" t="s">
        <v>299</v>
      </c>
      <c r="C377" s="80" t="s">
        <v>105</v>
      </c>
      <c r="D377" s="80" t="s">
        <v>522</v>
      </c>
      <c r="E377" s="80" t="s">
        <v>161</v>
      </c>
      <c r="F377" s="81">
        <f>F378</f>
        <v>20475</v>
      </c>
      <c r="G377" s="81">
        <f>G378</f>
        <v>17846.60513</v>
      </c>
      <c r="H377" s="166">
        <f t="shared" si="17"/>
        <v>0.8716290661782662</v>
      </c>
    </row>
    <row r="378" spans="1:8" ht="15.75">
      <c r="A378" s="8" t="s">
        <v>162</v>
      </c>
      <c r="B378" s="3" t="s">
        <v>299</v>
      </c>
      <c r="C378" s="3" t="s">
        <v>105</v>
      </c>
      <c r="D378" s="3" t="s">
        <v>522</v>
      </c>
      <c r="E378" s="3" t="s">
        <v>220</v>
      </c>
      <c r="F378" s="22">
        <f>19305+1170</f>
        <v>20475</v>
      </c>
      <c r="G378" s="22">
        <v>17846.60513</v>
      </c>
      <c r="H378" s="166">
        <f t="shared" si="17"/>
        <v>0.8716290661782662</v>
      </c>
    </row>
    <row r="379" spans="1:8" ht="110.25">
      <c r="A379" s="10" t="s">
        <v>699</v>
      </c>
      <c r="B379" s="9" t="s">
        <v>299</v>
      </c>
      <c r="C379" s="9" t="s">
        <v>105</v>
      </c>
      <c r="D379" s="40" t="s">
        <v>700</v>
      </c>
      <c r="E379" s="9" t="s">
        <v>315</v>
      </c>
      <c r="F379" s="23">
        <f>F380</f>
        <v>356.99300000000005</v>
      </c>
      <c r="G379" s="23">
        <f>G380</f>
        <v>354.27348</v>
      </c>
      <c r="H379" s="166">
        <f t="shared" si="17"/>
        <v>0.9923821475491115</v>
      </c>
    </row>
    <row r="380" spans="1:8" ht="47.25">
      <c r="A380" s="8" t="s">
        <v>160</v>
      </c>
      <c r="B380" s="3" t="s">
        <v>299</v>
      </c>
      <c r="C380" s="3" t="s">
        <v>105</v>
      </c>
      <c r="D380" s="2" t="s">
        <v>700</v>
      </c>
      <c r="E380" s="3" t="s">
        <v>161</v>
      </c>
      <c r="F380" s="22">
        <f>F381</f>
        <v>356.99300000000005</v>
      </c>
      <c r="G380" s="22">
        <f>G381</f>
        <v>354.27348</v>
      </c>
      <c r="H380" s="166">
        <f t="shared" si="17"/>
        <v>0.9923821475491115</v>
      </c>
    </row>
    <row r="381" spans="1:8" ht="15.75">
      <c r="A381" s="8" t="s">
        <v>162</v>
      </c>
      <c r="B381" s="3" t="s">
        <v>299</v>
      </c>
      <c r="C381" s="3" t="s">
        <v>105</v>
      </c>
      <c r="D381" s="54" t="s">
        <v>700</v>
      </c>
      <c r="E381" s="3" t="s">
        <v>220</v>
      </c>
      <c r="F381" s="22">
        <f>'[1]4'!G745</f>
        <v>356.99300000000005</v>
      </c>
      <c r="G381" s="81">
        <v>354.27348</v>
      </c>
      <c r="H381" s="166">
        <f t="shared" si="17"/>
        <v>0.9923821475491115</v>
      </c>
    </row>
    <row r="382" spans="1:8" ht="15.75">
      <c r="A382" s="76" t="s">
        <v>428</v>
      </c>
      <c r="B382" s="77" t="s">
        <v>299</v>
      </c>
      <c r="C382" s="77" t="s">
        <v>110</v>
      </c>
      <c r="D382" s="77" t="s">
        <v>243</v>
      </c>
      <c r="E382" s="77" t="s">
        <v>315</v>
      </c>
      <c r="F382" s="78">
        <f>F383+F420+F400+F405+F412</f>
        <v>47917.12552</v>
      </c>
      <c r="G382" s="78">
        <f>G383+G420+G400+G405+G412</f>
        <v>47030.355520000005</v>
      </c>
      <c r="H382" s="267">
        <f t="shared" si="17"/>
        <v>0.98149367287005</v>
      </c>
    </row>
    <row r="383" spans="1:9" s="138" customFormat="1" ht="47.25">
      <c r="A383" s="82" t="s">
        <v>698</v>
      </c>
      <c r="B383" s="83" t="s">
        <v>299</v>
      </c>
      <c r="C383" s="83" t="s">
        <v>110</v>
      </c>
      <c r="D383" s="83" t="s">
        <v>22</v>
      </c>
      <c r="E383" s="83" t="s">
        <v>315</v>
      </c>
      <c r="F383" s="84">
        <f aca="true" t="shared" si="18" ref="F383:G385">F384</f>
        <v>28463.37271</v>
      </c>
      <c r="G383" s="84">
        <f t="shared" si="18"/>
        <v>27743.7216</v>
      </c>
      <c r="H383" s="166">
        <f t="shared" si="17"/>
        <v>0.9747165904289633</v>
      </c>
      <c r="I383" s="147"/>
    </row>
    <row r="384" spans="1:8" ht="31.5">
      <c r="A384" s="101" t="s">
        <v>222</v>
      </c>
      <c r="B384" s="80" t="s">
        <v>299</v>
      </c>
      <c r="C384" s="80" t="s">
        <v>110</v>
      </c>
      <c r="D384" s="80" t="s">
        <v>47</v>
      </c>
      <c r="E384" s="80" t="s">
        <v>315</v>
      </c>
      <c r="F384" s="22">
        <f t="shared" si="18"/>
        <v>28463.37271</v>
      </c>
      <c r="G384" s="22">
        <f t="shared" si="18"/>
        <v>27743.7216</v>
      </c>
      <c r="H384" s="166">
        <f t="shared" si="17"/>
        <v>0.9747165904289633</v>
      </c>
    </row>
    <row r="385" spans="1:8" ht="31.5">
      <c r="A385" s="79" t="s">
        <v>90</v>
      </c>
      <c r="B385" s="80" t="s">
        <v>299</v>
      </c>
      <c r="C385" s="80" t="s">
        <v>110</v>
      </c>
      <c r="D385" s="80" t="s">
        <v>48</v>
      </c>
      <c r="E385" s="80" t="s">
        <v>315</v>
      </c>
      <c r="F385" s="22">
        <f t="shared" si="18"/>
        <v>28463.37271</v>
      </c>
      <c r="G385" s="22">
        <f t="shared" si="18"/>
        <v>27743.7216</v>
      </c>
      <c r="H385" s="166">
        <f t="shared" si="17"/>
        <v>0.9747165904289633</v>
      </c>
    </row>
    <row r="386" spans="1:8" ht="47.25">
      <c r="A386" s="79" t="s">
        <v>160</v>
      </c>
      <c r="B386" s="80" t="s">
        <v>299</v>
      </c>
      <c r="C386" s="80" t="s">
        <v>110</v>
      </c>
      <c r="D386" s="80" t="s">
        <v>48</v>
      </c>
      <c r="E386" s="80" t="s">
        <v>161</v>
      </c>
      <c r="F386" s="22">
        <f>F387+F388+F389+F394+F395+F393+F419+F399</f>
        <v>28463.37271</v>
      </c>
      <c r="G386" s="22">
        <f>G387+G388+G389+G394+G395+G393+G419+G399</f>
        <v>27743.7216</v>
      </c>
      <c r="H386" s="166">
        <f t="shared" si="17"/>
        <v>0.9747165904289633</v>
      </c>
    </row>
    <row r="387" spans="1:8" ht="31.5">
      <c r="A387" s="79" t="s">
        <v>545</v>
      </c>
      <c r="B387" s="80" t="s">
        <v>299</v>
      </c>
      <c r="C387" s="80" t="s">
        <v>110</v>
      </c>
      <c r="D387" s="80" t="s">
        <v>546</v>
      </c>
      <c r="E387" s="80" t="s">
        <v>220</v>
      </c>
      <c r="F387" s="22">
        <f>150+600+600+300</f>
        <v>1650</v>
      </c>
      <c r="G387" s="81">
        <v>1638.748</v>
      </c>
      <c r="H387" s="166">
        <f t="shared" si="17"/>
        <v>0.9931806060606061</v>
      </c>
    </row>
    <row r="388" spans="1:8" ht="31.5">
      <c r="A388" s="79" t="s">
        <v>620</v>
      </c>
      <c r="B388" s="80" t="s">
        <v>299</v>
      </c>
      <c r="C388" s="80" t="s">
        <v>110</v>
      </c>
      <c r="D388" s="80" t="s">
        <v>49</v>
      </c>
      <c r="E388" s="80" t="s">
        <v>220</v>
      </c>
      <c r="F388" s="22">
        <f>5202.784+888+344.2705+50+130.4+34.757+143.05828+672.3+1683.43975</f>
        <v>9149.00953</v>
      </c>
      <c r="G388" s="81">
        <v>8694.74331</v>
      </c>
      <c r="H388" s="166">
        <f t="shared" si="17"/>
        <v>0.9503480438499445</v>
      </c>
    </row>
    <row r="389" spans="1:8" ht="47.25">
      <c r="A389" s="79" t="s">
        <v>638</v>
      </c>
      <c r="B389" s="80" t="s">
        <v>299</v>
      </c>
      <c r="C389" s="80" t="s">
        <v>110</v>
      </c>
      <c r="D389" s="80" t="s">
        <v>641</v>
      </c>
      <c r="E389" s="80" t="s">
        <v>315</v>
      </c>
      <c r="F389" s="22">
        <f>F390</f>
        <v>648.18986</v>
      </c>
      <c r="G389" s="22">
        <f>G390</f>
        <v>648.18986</v>
      </c>
      <c r="H389" s="166">
        <f t="shared" si="17"/>
        <v>1</v>
      </c>
    </row>
    <row r="390" spans="1:8" ht="47.25">
      <c r="A390" s="79" t="s">
        <v>160</v>
      </c>
      <c r="B390" s="80" t="s">
        <v>299</v>
      </c>
      <c r="C390" s="80" t="s">
        <v>110</v>
      </c>
      <c r="D390" s="80" t="s">
        <v>641</v>
      </c>
      <c r="E390" s="80" t="s">
        <v>161</v>
      </c>
      <c r="F390" s="22">
        <f>F391+F392</f>
        <v>648.18986</v>
      </c>
      <c r="G390" s="22">
        <f>G391+G392</f>
        <v>648.18986</v>
      </c>
      <c r="H390" s="166">
        <f t="shared" si="17"/>
        <v>1</v>
      </c>
    </row>
    <row r="391" spans="1:8" ht="15.75">
      <c r="A391" s="79" t="s">
        <v>162</v>
      </c>
      <c r="B391" s="80" t="s">
        <v>299</v>
      </c>
      <c r="C391" s="80" t="s">
        <v>110</v>
      </c>
      <c r="D391" s="80" t="s">
        <v>641</v>
      </c>
      <c r="E391" s="80" t="s">
        <v>220</v>
      </c>
      <c r="F391" s="22">
        <f>1204.9-344.2705-344.2705-143.05828</f>
        <v>373.30071999999996</v>
      </c>
      <c r="G391" s="81">
        <v>373.30072</v>
      </c>
      <c r="H391" s="166">
        <f t="shared" si="17"/>
        <v>1.0000000000000002</v>
      </c>
    </row>
    <row r="392" spans="1:8" ht="110.25">
      <c r="A392" s="79" t="s">
        <v>701</v>
      </c>
      <c r="B392" s="80" t="s">
        <v>299</v>
      </c>
      <c r="C392" s="80" t="s">
        <v>110</v>
      </c>
      <c r="D392" s="80" t="s">
        <v>641</v>
      </c>
      <c r="E392" s="80" t="s">
        <v>220</v>
      </c>
      <c r="F392" s="22">
        <f>344.2705-69.38136</f>
        <v>274.88914</v>
      </c>
      <c r="G392" s="81">
        <v>274.88914</v>
      </c>
      <c r="H392" s="166">
        <f t="shared" si="17"/>
        <v>1</v>
      </c>
    </row>
    <row r="393" spans="1:8" ht="47.25">
      <c r="A393" s="8" t="s">
        <v>615</v>
      </c>
      <c r="B393" s="3" t="s">
        <v>299</v>
      </c>
      <c r="C393" s="3" t="s">
        <v>110</v>
      </c>
      <c r="D393" s="3" t="s">
        <v>539</v>
      </c>
      <c r="E393" s="3" t="s">
        <v>220</v>
      </c>
      <c r="F393" s="22">
        <v>111.356</v>
      </c>
      <c r="G393" s="81">
        <v>111.355</v>
      </c>
      <c r="H393" s="166">
        <f t="shared" si="17"/>
        <v>0.9999910197923777</v>
      </c>
    </row>
    <row r="394" spans="1:8" ht="31.5">
      <c r="A394" s="79" t="s">
        <v>552</v>
      </c>
      <c r="B394" s="80" t="s">
        <v>299</v>
      </c>
      <c r="C394" s="80" t="s">
        <v>110</v>
      </c>
      <c r="D394" s="80" t="s">
        <v>50</v>
      </c>
      <c r="E394" s="80" t="s">
        <v>220</v>
      </c>
      <c r="F394" s="22">
        <f>12058.344+900+470.8405+861.2+93.75+146.57556+510.29954</f>
        <v>15041.0096</v>
      </c>
      <c r="G394" s="81">
        <v>14786.87771</v>
      </c>
      <c r="H394" s="166">
        <f t="shared" si="17"/>
        <v>0.9831040670301814</v>
      </c>
    </row>
    <row r="395" spans="1:8" ht="63">
      <c r="A395" s="79" t="s">
        <v>639</v>
      </c>
      <c r="B395" s="80" t="s">
        <v>299</v>
      </c>
      <c r="C395" s="80" t="s">
        <v>110</v>
      </c>
      <c r="D395" s="80" t="s">
        <v>641</v>
      </c>
      <c r="E395" s="80" t="s">
        <v>315</v>
      </c>
      <c r="F395" s="22">
        <f>F396</f>
        <v>983.4007200000001</v>
      </c>
      <c r="G395" s="22">
        <f>G396</f>
        <v>983.4007200000001</v>
      </c>
      <c r="H395" s="166">
        <f t="shared" si="17"/>
        <v>1</v>
      </c>
    </row>
    <row r="396" spans="1:8" ht="47.25">
      <c r="A396" s="79" t="s">
        <v>160</v>
      </c>
      <c r="B396" s="80" t="s">
        <v>299</v>
      </c>
      <c r="C396" s="80" t="s">
        <v>110</v>
      </c>
      <c r="D396" s="80" t="s">
        <v>641</v>
      </c>
      <c r="E396" s="80" t="s">
        <v>161</v>
      </c>
      <c r="F396" s="22">
        <f>F397+F398</f>
        <v>983.4007200000001</v>
      </c>
      <c r="G396" s="22">
        <f>G397+G398</f>
        <v>983.4007200000001</v>
      </c>
      <c r="H396" s="166">
        <f t="shared" si="17"/>
        <v>1</v>
      </c>
    </row>
    <row r="397" spans="1:8" ht="15.75">
      <c r="A397" s="79" t="s">
        <v>162</v>
      </c>
      <c r="B397" s="80" t="s">
        <v>299</v>
      </c>
      <c r="C397" s="80" t="s">
        <v>110</v>
      </c>
      <c r="D397" s="80" t="s">
        <v>641</v>
      </c>
      <c r="E397" s="80" t="s">
        <v>220</v>
      </c>
      <c r="F397" s="22">
        <f>1647.9-470.8405-470.8405-146.57556</f>
        <v>559.64344</v>
      </c>
      <c r="G397" s="81">
        <v>559.64344</v>
      </c>
      <c r="H397" s="166">
        <f t="shared" si="17"/>
        <v>1</v>
      </c>
    </row>
    <row r="398" spans="1:8" ht="110.25">
      <c r="A398" s="79" t="s">
        <v>701</v>
      </c>
      <c r="B398" s="80" t="s">
        <v>299</v>
      </c>
      <c r="C398" s="80" t="s">
        <v>110</v>
      </c>
      <c r="D398" s="80" t="s">
        <v>641</v>
      </c>
      <c r="E398" s="80" t="s">
        <v>220</v>
      </c>
      <c r="F398" s="22">
        <f>470.8405-47.08322</f>
        <v>423.75728000000004</v>
      </c>
      <c r="G398" s="81">
        <v>423.75728</v>
      </c>
      <c r="H398" s="166">
        <f t="shared" si="17"/>
        <v>0.9999999999999999</v>
      </c>
    </row>
    <row r="399" spans="1:8" ht="78.75">
      <c r="A399" s="79" t="s">
        <v>702</v>
      </c>
      <c r="B399" s="80" t="s">
        <v>299</v>
      </c>
      <c r="C399" s="80" t="s">
        <v>110</v>
      </c>
      <c r="D399" s="80" t="s">
        <v>553</v>
      </c>
      <c r="E399" s="80" t="s">
        <v>220</v>
      </c>
      <c r="F399" s="22">
        <f>776.247+104.16</f>
        <v>880.4069999999999</v>
      </c>
      <c r="G399" s="81">
        <v>880.407</v>
      </c>
      <c r="H399" s="166">
        <f t="shared" si="17"/>
        <v>1.0000000000000002</v>
      </c>
    </row>
    <row r="400" spans="1:8" s="138" customFormat="1" ht="47.25">
      <c r="A400" s="82" t="s">
        <v>703</v>
      </c>
      <c r="B400" s="83" t="s">
        <v>299</v>
      </c>
      <c r="C400" s="83" t="s">
        <v>110</v>
      </c>
      <c r="D400" s="83" t="s">
        <v>66</v>
      </c>
      <c r="E400" s="83" t="s">
        <v>315</v>
      </c>
      <c r="F400" s="84">
        <f>F402+F407</f>
        <v>17985.233809999998</v>
      </c>
      <c r="G400" s="84">
        <f>G402+G407</f>
        <v>17818.422919999997</v>
      </c>
      <c r="H400" s="166">
        <f t="shared" si="17"/>
        <v>0.9907251197419935</v>
      </c>
    </row>
    <row r="401" spans="1:8" s="138" customFormat="1" ht="47.25">
      <c r="A401" s="82" t="s">
        <v>590</v>
      </c>
      <c r="B401" s="83" t="s">
        <v>299</v>
      </c>
      <c r="C401" s="83" t="s">
        <v>110</v>
      </c>
      <c r="D401" s="83" t="s">
        <v>66</v>
      </c>
      <c r="E401" s="83" t="s">
        <v>315</v>
      </c>
      <c r="F401" s="84">
        <f>F402</f>
        <v>16975.1328</v>
      </c>
      <c r="G401" s="84">
        <f>G402</f>
        <v>16808.32191</v>
      </c>
      <c r="H401" s="166">
        <f t="shared" si="17"/>
        <v>0.9901732203237903</v>
      </c>
    </row>
    <row r="402" spans="1:8" ht="15.75">
      <c r="A402" s="79" t="s">
        <v>127</v>
      </c>
      <c r="B402" s="80" t="s">
        <v>299</v>
      </c>
      <c r="C402" s="80" t="s">
        <v>110</v>
      </c>
      <c r="D402" s="80" t="s">
        <v>66</v>
      </c>
      <c r="E402" s="80" t="s">
        <v>161</v>
      </c>
      <c r="F402" s="81">
        <f>F403+F404</f>
        <v>16975.1328</v>
      </c>
      <c r="G402" s="81">
        <f>G403+G404</f>
        <v>16808.32191</v>
      </c>
      <c r="H402" s="166">
        <f t="shared" si="17"/>
        <v>0.9901732203237903</v>
      </c>
    </row>
    <row r="403" spans="1:8" ht="47.25">
      <c r="A403" s="110" t="s">
        <v>610</v>
      </c>
      <c r="B403" s="88" t="s">
        <v>299</v>
      </c>
      <c r="C403" s="88" t="s">
        <v>110</v>
      </c>
      <c r="D403" s="88" t="s">
        <v>591</v>
      </c>
      <c r="E403" s="88" t="s">
        <v>220</v>
      </c>
      <c r="F403" s="23">
        <f>8679.221+372+1134.2+123.6+923.5676</f>
        <v>11232.588600000001</v>
      </c>
      <c r="G403" s="81">
        <v>11075.94603</v>
      </c>
      <c r="H403" s="166">
        <f t="shared" si="17"/>
        <v>0.9860546330344546</v>
      </c>
    </row>
    <row r="404" spans="1:8" ht="47.25">
      <c r="A404" s="110" t="s">
        <v>612</v>
      </c>
      <c r="B404" s="88" t="s">
        <v>299</v>
      </c>
      <c r="C404" s="88" t="s">
        <v>110</v>
      </c>
      <c r="D404" s="88" t="s">
        <v>592</v>
      </c>
      <c r="E404" s="88" t="s">
        <v>220</v>
      </c>
      <c r="F404" s="23">
        <f>3629.112+300+352.9+56.3+1404.2322</f>
        <v>5742.5442</v>
      </c>
      <c r="G404" s="81">
        <v>5732.37588</v>
      </c>
      <c r="H404" s="166">
        <f t="shared" si="17"/>
        <v>0.998229300525018</v>
      </c>
    </row>
    <row r="405" spans="1:8" ht="30">
      <c r="A405" s="114" t="s">
        <v>545</v>
      </c>
      <c r="B405" s="88" t="s">
        <v>299</v>
      </c>
      <c r="C405" s="88" t="s">
        <v>110</v>
      </c>
      <c r="D405" s="115" t="s">
        <v>704</v>
      </c>
      <c r="E405" s="88" t="s">
        <v>161</v>
      </c>
      <c r="F405" s="28">
        <f>F406</f>
        <v>1200</v>
      </c>
      <c r="G405" s="28">
        <f>G406</f>
        <v>1199.692</v>
      </c>
      <c r="H405" s="266">
        <f t="shared" si="17"/>
        <v>0.9997433333333333</v>
      </c>
    </row>
    <row r="406" spans="1:8" ht="48" customHeight="1">
      <c r="A406" s="79" t="s">
        <v>705</v>
      </c>
      <c r="B406" s="80" t="s">
        <v>299</v>
      </c>
      <c r="C406" s="80" t="s">
        <v>110</v>
      </c>
      <c r="D406" s="105" t="s">
        <v>704</v>
      </c>
      <c r="E406" s="80" t="s">
        <v>220</v>
      </c>
      <c r="F406" s="177">
        <f>600+600</f>
        <v>1200</v>
      </c>
      <c r="G406" s="81">
        <v>1199.692</v>
      </c>
      <c r="H406" s="166">
        <f t="shared" si="17"/>
        <v>0.9997433333333333</v>
      </c>
    </row>
    <row r="407" spans="1:8" ht="78.75">
      <c r="A407" s="110" t="s">
        <v>446</v>
      </c>
      <c r="B407" s="88" t="s">
        <v>299</v>
      </c>
      <c r="C407" s="88" t="s">
        <v>110</v>
      </c>
      <c r="D407" s="88" t="s">
        <v>243</v>
      </c>
      <c r="E407" s="88" t="s">
        <v>315</v>
      </c>
      <c r="F407" s="89">
        <f>F408+F410</f>
        <v>1010.10101</v>
      </c>
      <c r="G407" s="89">
        <f>G408+G410</f>
        <v>1010.10101</v>
      </c>
      <c r="H407" s="166">
        <f t="shared" si="17"/>
        <v>1</v>
      </c>
    </row>
    <row r="408" spans="1:8" ht="94.5">
      <c r="A408" s="79" t="s">
        <v>454</v>
      </c>
      <c r="B408" s="80" t="s">
        <v>299</v>
      </c>
      <c r="C408" s="80" t="s">
        <v>110</v>
      </c>
      <c r="D408" s="80" t="s">
        <v>500</v>
      </c>
      <c r="E408" s="80" t="s">
        <v>315</v>
      </c>
      <c r="F408" s="81">
        <f>F409</f>
        <v>1000</v>
      </c>
      <c r="G408" s="81">
        <f>G409</f>
        <v>1000</v>
      </c>
      <c r="H408" s="166">
        <f t="shared" si="17"/>
        <v>1</v>
      </c>
    </row>
    <row r="409" spans="1:8" ht="15.75">
      <c r="A409" s="79" t="s">
        <v>162</v>
      </c>
      <c r="B409" s="80" t="s">
        <v>299</v>
      </c>
      <c r="C409" s="80" t="s">
        <v>110</v>
      </c>
      <c r="D409" s="80" t="s">
        <v>500</v>
      </c>
      <c r="E409" s="80" t="s">
        <v>161</v>
      </c>
      <c r="F409" s="81">
        <v>1000</v>
      </c>
      <c r="G409" s="81">
        <v>1000</v>
      </c>
      <c r="H409" s="166">
        <f t="shared" si="17"/>
        <v>1</v>
      </c>
    </row>
    <row r="410" spans="1:8" ht="126">
      <c r="A410" s="79" t="s">
        <v>447</v>
      </c>
      <c r="B410" s="80" t="s">
        <v>299</v>
      </c>
      <c r="C410" s="80" t="s">
        <v>110</v>
      </c>
      <c r="D410" s="3" t="s">
        <v>706</v>
      </c>
      <c r="E410" s="80" t="s">
        <v>161</v>
      </c>
      <c r="F410" s="81">
        <f>F411</f>
        <v>10.10101</v>
      </c>
      <c r="G410" s="81">
        <f>G411</f>
        <v>10.10101</v>
      </c>
      <c r="H410" s="166">
        <f t="shared" si="17"/>
        <v>1</v>
      </c>
    </row>
    <row r="411" spans="1:8" ht="15.75">
      <c r="A411" s="79" t="s">
        <v>162</v>
      </c>
      <c r="B411" s="80" t="s">
        <v>299</v>
      </c>
      <c r="C411" s="80" t="s">
        <v>110</v>
      </c>
      <c r="D411" s="3" t="s">
        <v>706</v>
      </c>
      <c r="E411" s="80" t="s">
        <v>220</v>
      </c>
      <c r="F411" s="81">
        <v>10.10101</v>
      </c>
      <c r="G411" s="81">
        <v>10.10101</v>
      </c>
      <c r="H411" s="166">
        <f t="shared" si="17"/>
        <v>1</v>
      </c>
    </row>
    <row r="412" spans="1:8" s="138" customFormat="1" ht="75">
      <c r="A412" s="18" t="s">
        <v>707</v>
      </c>
      <c r="B412" s="116" t="s">
        <v>299</v>
      </c>
      <c r="C412" s="116" t="s">
        <v>110</v>
      </c>
      <c r="D412" s="19" t="s">
        <v>708</v>
      </c>
      <c r="E412" s="19" t="s">
        <v>315</v>
      </c>
      <c r="F412" s="23">
        <f>F413</f>
        <v>268.519</v>
      </c>
      <c r="G412" s="23">
        <f>G413</f>
        <v>268.519</v>
      </c>
      <c r="H412" s="166">
        <f t="shared" si="17"/>
        <v>1</v>
      </c>
    </row>
    <row r="413" spans="1:8" ht="30">
      <c r="A413" s="99" t="s">
        <v>709</v>
      </c>
      <c r="B413" s="105" t="s">
        <v>299</v>
      </c>
      <c r="C413" s="105" t="s">
        <v>110</v>
      </c>
      <c r="D413" s="13" t="s">
        <v>708</v>
      </c>
      <c r="E413" s="13" t="s">
        <v>161</v>
      </c>
      <c r="F413" s="22">
        <f>F414</f>
        <v>268.519</v>
      </c>
      <c r="G413" s="22">
        <f>G414</f>
        <v>268.519</v>
      </c>
      <c r="H413" s="166">
        <f t="shared" si="17"/>
        <v>1</v>
      </c>
    </row>
    <row r="414" spans="1:8" ht="30">
      <c r="A414" s="99" t="s">
        <v>710</v>
      </c>
      <c r="B414" s="105" t="s">
        <v>299</v>
      </c>
      <c r="C414" s="105" t="s">
        <v>110</v>
      </c>
      <c r="D414" s="13" t="s">
        <v>708</v>
      </c>
      <c r="E414" s="13" t="s">
        <v>220</v>
      </c>
      <c r="F414" s="22">
        <f>'[1]4'!G347</f>
        <v>268.519</v>
      </c>
      <c r="G414" s="81">
        <v>268.519</v>
      </c>
      <c r="H414" s="166">
        <f t="shared" si="17"/>
        <v>1</v>
      </c>
    </row>
    <row r="415" spans="1:8" ht="31.5" hidden="1">
      <c r="A415" s="110" t="s">
        <v>423</v>
      </c>
      <c r="B415" s="80" t="s">
        <v>299</v>
      </c>
      <c r="C415" s="80" t="s">
        <v>110</v>
      </c>
      <c r="D415" s="80" t="s">
        <v>554</v>
      </c>
      <c r="E415" s="88" t="s">
        <v>315</v>
      </c>
      <c r="F415" s="89">
        <f>F416</f>
        <v>0</v>
      </c>
      <c r="G415" s="81"/>
      <c r="H415" s="166" t="e">
        <f t="shared" si="17"/>
        <v>#DIV/0!</v>
      </c>
    </row>
    <row r="416" spans="1:8" ht="31.5" hidden="1">
      <c r="A416" s="79" t="s">
        <v>429</v>
      </c>
      <c r="B416" s="80" t="s">
        <v>299</v>
      </c>
      <c r="C416" s="80" t="s">
        <v>110</v>
      </c>
      <c r="D416" s="80" t="s">
        <v>555</v>
      </c>
      <c r="E416" s="80" t="s">
        <v>315</v>
      </c>
      <c r="F416" s="81">
        <f>F417</f>
        <v>0</v>
      </c>
      <c r="G416" s="81"/>
      <c r="H416" s="166" t="e">
        <f t="shared" si="17"/>
        <v>#DIV/0!</v>
      </c>
    </row>
    <row r="417" spans="1:8" ht="47.25" hidden="1">
      <c r="A417" s="79" t="s">
        <v>160</v>
      </c>
      <c r="B417" s="80" t="s">
        <v>299</v>
      </c>
      <c r="C417" s="80" t="s">
        <v>110</v>
      </c>
      <c r="D417" s="80" t="s">
        <v>556</v>
      </c>
      <c r="E417" s="80" t="s">
        <v>161</v>
      </c>
      <c r="F417" s="81">
        <f>F418</f>
        <v>0</v>
      </c>
      <c r="G417" s="81"/>
      <c r="H417" s="166" t="e">
        <f t="shared" si="17"/>
        <v>#DIV/0!</v>
      </c>
    </row>
    <row r="418" spans="1:8" ht="15.75" hidden="1">
      <c r="A418" s="79" t="s">
        <v>162</v>
      </c>
      <c r="B418" s="80" t="s">
        <v>299</v>
      </c>
      <c r="C418" s="80" t="s">
        <v>110</v>
      </c>
      <c r="D418" s="80" t="s">
        <v>557</v>
      </c>
      <c r="E418" s="80" t="s">
        <v>220</v>
      </c>
      <c r="F418" s="81"/>
      <c r="G418" s="81"/>
      <c r="H418" s="166" t="e">
        <f t="shared" si="17"/>
        <v>#DIV/0!</v>
      </c>
    </row>
    <row r="419" spans="1:8" ht="15.75" hidden="1">
      <c r="A419" s="79"/>
      <c r="B419" s="80"/>
      <c r="C419" s="80"/>
      <c r="D419" s="80"/>
      <c r="E419" s="80"/>
      <c r="F419" s="81"/>
      <c r="G419" s="81"/>
      <c r="H419" s="166" t="e">
        <f t="shared" si="17"/>
        <v>#DIV/0!</v>
      </c>
    </row>
    <row r="420" spans="1:8" ht="47.25" hidden="1">
      <c r="A420" s="82" t="s">
        <v>711</v>
      </c>
      <c r="B420" s="83" t="s">
        <v>299</v>
      </c>
      <c r="C420" s="83" t="s">
        <v>110</v>
      </c>
      <c r="D420" s="83" t="s">
        <v>571</v>
      </c>
      <c r="E420" s="83" t="s">
        <v>315</v>
      </c>
      <c r="F420" s="84">
        <f>F421</f>
        <v>0</v>
      </c>
      <c r="G420" s="81"/>
      <c r="H420" s="166" t="e">
        <f t="shared" si="17"/>
        <v>#DIV/0!</v>
      </c>
    </row>
    <row r="421" spans="1:8" ht="47.25" hidden="1">
      <c r="A421" s="79" t="s">
        <v>160</v>
      </c>
      <c r="B421" s="80" t="s">
        <v>299</v>
      </c>
      <c r="C421" s="80" t="s">
        <v>110</v>
      </c>
      <c r="D421" s="80" t="s">
        <v>571</v>
      </c>
      <c r="E421" s="80" t="s">
        <v>161</v>
      </c>
      <c r="F421" s="81">
        <f>F422</f>
        <v>0</v>
      </c>
      <c r="G421" s="81"/>
      <c r="H421" s="166" t="e">
        <f t="shared" si="17"/>
        <v>#DIV/0!</v>
      </c>
    </row>
    <row r="422" spans="1:8" ht="15.75" hidden="1">
      <c r="A422" s="79" t="s">
        <v>162</v>
      </c>
      <c r="B422" s="80" t="s">
        <v>299</v>
      </c>
      <c r="C422" s="80" t="s">
        <v>110</v>
      </c>
      <c r="D422" s="80" t="s">
        <v>571</v>
      </c>
      <c r="E422" s="80" t="s">
        <v>220</v>
      </c>
      <c r="F422" s="81"/>
      <c r="G422" s="81"/>
      <c r="H422" s="166" t="e">
        <f t="shared" si="17"/>
        <v>#DIV/0!</v>
      </c>
    </row>
    <row r="423" spans="1:8" s="138" customFormat="1" ht="63">
      <c r="A423" s="76" t="s">
        <v>698</v>
      </c>
      <c r="B423" s="77" t="s">
        <v>299</v>
      </c>
      <c r="C423" s="77" t="s">
        <v>296</v>
      </c>
      <c r="D423" s="77" t="s">
        <v>22</v>
      </c>
      <c r="E423" s="77" t="s">
        <v>315</v>
      </c>
      <c r="F423" s="78">
        <f aca="true" t="shared" si="19" ref="F423:G426">F424</f>
        <v>100</v>
      </c>
      <c r="G423" s="78">
        <f t="shared" si="19"/>
        <v>98.67099</v>
      </c>
      <c r="H423" s="267">
        <f t="shared" si="17"/>
        <v>0.9867099</v>
      </c>
    </row>
    <row r="424" spans="1:8" ht="31.5">
      <c r="A424" s="101" t="s">
        <v>292</v>
      </c>
      <c r="B424" s="80" t="s">
        <v>299</v>
      </c>
      <c r="C424" s="80" t="s">
        <v>296</v>
      </c>
      <c r="D424" s="80" t="s">
        <v>54</v>
      </c>
      <c r="E424" s="80" t="s">
        <v>315</v>
      </c>
      <c r="F424" s="81">
        <f t="shared" si="19"/>
        <v>100</v>
      </c>
      <c r="G424" s="81">
        <f t="shared" si="19"/>
        <v>98.67099</v>
      </c>
      <c r="H424" s="166">
        <f t="shared" si="17"/>
        <v>0.9867099</v>
      </c>
    </row>
    <row r="425" spans="1:8" ht="31.5">
      <c r="A425" s="79" t="s">
        <v>191</v>
      </c>
      <c r="B425" s="80" t="s">
        <v>299</v>
      </c>
      <c r="C425" s="80" t="s">
        <v>296</v>
      </c>
      <c r="D425" s="80" t="s">
        <v>55</v>
      </c>
      <c r="E425" s="80" t="s">
        <v>315</v>
      </c>
      <c r="F425" s="81">
        <f t="shared" si="19"/>
        <v>100</v>
      </c>
      <c r="G425" s="81">
        <f t="shared" si="19"/>
        <v>98.67099</v>
      </c>
      <c r="H425" s="166">
        <f t="shared" si="17"/>
        <v>0.9867099</v>
      </c>
    </row>
    <row r="426" spans="1:8" ht="47.25">
      <c r="A426" s="79" t="s">
        <v>160</v>
      </c>
      <c r="B426" s="80" t="s">
        <v>299</v>
      </c>
      <c r="C426" s="80" t="s">
        <v>296</v>
      </c>
      <c r="D426" s="80" t="s">
        <v>55</v>
      </c>
      <c r="E426" s="80" t="s">
        <v>161</v>
      </c>
      <c r="F426" s="81">
        <f t="shared" si="19"/>
        <v>100</v>
      </c>
      <c r="G426" s="81">
        <f t="shared" si="19"/>
        <v>98.67099</v>
      </c>
      <c r="H426" s="166">
        <f aca="true" t="shared" si="20" ref="H426:H489">G426/F426</f>
        <v>0.9867099</v>
      </c>
    </row>
    <row r="427" spans="1:8" ht="15.75">
      <c r="A427" s="79" t="s">
        <v>162</v>
      </c>
      <c r="B427" s="80" t="s">
        <v>299</v>
      </c>
      <c r="C427" s="80" t="s">
        <v>296</v>
      </c>
      <c r="D427" s="80" t="s">
        <v>55</v>
      </c>
      <c r="E427" s="80" t="s">
        <v>220</v>
      </c>
      <c r="F427" s="22">
        <f>50+50</f>
        <v>100</v>
      </c>
      <c r="G427" s="81">
        <v>98.67099</v>
      </c>
      <c r="H427" s="166">
        <f t="shared" si="20"/>
        <v>0.9867099</v>
      </c>
    </row>
    <row r="428" spans="1:8" ht="15.75" hidden="1">
      <c r="A428" s="117" t="s">
        <v>488</v>
      </c>
      <c r="B428" s="118" t="s">
        <v>299</v>
      </c>
      <c r="C428" s="118" t="s">
        <v>299</v>
      </c>
      <c r="D428" s="118" t="s">
        <v>243</v>
      </c>
      <c r="E428" s="118" t="s">
        <v>315</v>
      </c>
      <c r="F428" s="119">
        <f>F429</f>
        <v>0</v>
      </c>
      <c r="G428" s="81"/>
      <c r="H428" s="166" t="e">
        <f t="shared" si="20"/>
        <v>#DIV/0!</v>
      </c>
    </row>
    <row r="429" spans="1:8" ht="47.25" hidden="1">
      <c r="A429" s="117" t="s">
        <v>356</v>
      </c>
      <c r="B429" s="118" t="s">
        <v>299</v>
      </c>
      <c r="C429" s="118" t="s">
        <v>299</v>
      </c>
      <c r="D429" s="118" t="s">
        <v>22</v>
      </c>
      <c r="E429" s="118" t="s">
        <v>315</v>
      </c>
      <c r="F429" s="120">
        <f>F430</f>
        <v>0</v>
      </c>
      <c r="G429" s="81"/>
      <c r="H429" s="166" t="e">
        <f t="shared" si="20"/>
        <v>#DIV/0!</v>
      </c>
    </row>
    <row r="430" spans="1:8" ht="31.5" hidden="1">
      <c r="A430" s="121" t="s">
        <v>350</v>
      </c>
      <c r="B430" s="122" t="s">
        <v>299</v>
      </c>
      <c r="C430" s="122" t="s">
        <v>299</v>
      </c>
      <c r="D430" s="122" t="s">
        <v>56</v>
      </c>
      <c r="E430" s="122" t="s">
        <v>315</v>
      </c>
      <c r="F430" s="120">
        <f>F431</f>
        <v>0</v>
      </c>
      <c r="G430" s="81"/>
      <c r="H430" s="166" t="e">
        <f t="shared" si="20"/>
        <v>#DIV/0!</v>
      </c>
    </row>
    <row r="431" spans="1:8" s="138" customFormat="1" ht="63" hidden="1">
      <c r="A431" s="117" t="s">
        <v>503</v>
      </c>
      <c r="B431" s="118" t="s">
        <v>299</v>
      </c>
      <c r="C431" s="118" t="s">
        <v>299</v>
      </c>
      <c r="D431" s="118" t="s">
        <v>56</v>
      </c>
      <c r="E431" s="118" t="s">
        <v>315</v>
      </c>
      <c r="F431" s="119">
        <f>F432+F433</f>
        <v>0</v>
      </c>
      <c r="G431" s="84"/>
      <c r="H431" s="166" t="e">
        <f t="shared" si="20"/>
        <v>#DIV/0!</v>
      </c>
    </row>
    <row r="432" spans="1:8" ht="31.5" hidden="1">
      <c r="A432" s="123" t="s">
        <v>151</v>
      </c>
      <c r="B432" s="122" t="s">
        <v>299</v>
      </c>
      <c r="C432" s="122" t="s">
        <v>299</v>
      </c>
      <c r="D432" s="122" t="s">
        <v>57</v>
      </c>
      <c r="E432" s="122" t="s">
        <v>113</v>
      </c>
      <c r="F432" s="120">
        <f>F433</f>
        <v>0</v>
      </c>
      <c r="G432" s="81"/>
      <c r="H432" s="166" t="e">
        <f t="shared" si="20"/>
        <v>#DIV/0!</v>
      </c>
    </row>
    <row r="433" spans="1:8" ht="31.5" hidden="1">
      <c r="A433" s="123" t="s">
        <v>152</v>
      </c>
      <c r="B433" s="122" t="s">
        <v>299</v>
      </c>
      <c r="C433" s="122" t="s">
        <v>299</v>
      </c>
      <c r="D433" s="122" t="s">
        <v>57</v>
      </c>
      <c r="E433" s="122" t="s">
        <v>153</v>
      </c>
      <c r="F433" s="120"/>
      <c r="G433" s="81"/>
      <c r="H433" s="166" t="e">
        <f t="shared" si="20"/>
        <v>#DIV/0!</v>
      </c>
    </row>
    <row r="434" spans="1:8" ht="47.25" hidden="1">
      <c r="A434" s="123" t="s">
        <v>160</v>
      </c>
      <c r="B434" s="122" t="s">
        <v>299</v>
      </c>
      <c r="C434" s="122" t="s">
        <v>299</v>
      </c>
      <c r="D434" s="122" t="s">
        <v>57</v>
      </c>
      <c r="E434" s="122" t="s">
        <v>161</v>
      </c>
      <c r="F434" s="120">
        <f>F435</f>
        <v>0</v>
      </c>
      <c r="G434" s="81"/>
      <c r="H434" s="166" t="e">
        <f t="shared" si="20"/>
        <v>#DIV/0!</v>
      </c>
    </row>
    <row r="435" spans="1:8" ht="15.75" hidden="1">
      <c r="A435" s="123" t="s">
        <v>162</v>
      </c>
      <c r="B435" s="122" t="s">
        <v>299</v>
      </c>
      <c r="C435" s="122" t="s">
        <v>299</v>
      </c>
      <c r="D435" s="122" t="s">
        <v>57</v>
      </c>
      <c r="E435" s="122" t="s">
        <v>220</v>
      </c>
      <c r="F435" s="120"/>
      <c r="G435" s="81"/>
      <c r="H435" s="166" t="e">
        <f t="shared" si="20"/>
        <v>#DIV/0!</v>
      </c>
    </row>
    <row r="436" spans="1:8" ht="63" hidden="1">
      <c r="A436" s="110" t="s">
        <v>470</v>
      </c>
      <c r="B436" s="80" t="s">
        <v>299</v>
      </c>
      <c r="C436" s="80" t="s">
        <v>299</v>
      </c>
      <c r="D436" s="88" t="s">
        <v>243</v>
      </c>
      <c r="E436" s="88" t="s">
        <v>315</v>
      </c>
      <c r="F436" s="89">
        <f>F437</f>
        <v>0</v>
      </c>
      <c r="G436" s="81"/>
      <c r="H436" s="166" t="e">
        <f t="shared" si="20"/>
        <v>#DIV/0!</v>
      </c>
    </row>
    <row r="437" spans="1:8" ht="78.75" hidden="1">
      <c r="A437" s="79" t="s">
        <v>475</v>
      </c>
      <c r="B437" s="80" t="s">
        <v>299</v>
      </c>
      <c r="C437" s="80" t="s">
        <v>299</v>
      </c>
      <c r="D437" s="80" t="s">
        <v>481</v>
      </c>
      <c r="E437" s="80" t="s">
        <v>315</v>
      </c>
      <c r="F437" s="81">
        <f>F438</f>
        <v>0</v>
      </c>
      <c r="G437" s="81"/>
      <c r="H437" s="166" t="e">
        <f t="shared" si="20"/>
        <v>#DIV/0!</v>
      </c>
    </row>
    <row r="438" spans="1:8" ht="47.25" hidden="1">
      <c r="A438" s="79" t="s">
        <v>160</v>
      </c>
      <c r="B438" s="80" t="s">
        <v>299</v>
      </c>
      <c r="C438" s="80" t="s">
        <v>299</v>
      </c>
      <c r="D438" s="80" t="s">
        <v>481</v>
      </c>
      <c r="E438" s="80" t="s">
        <v>161</v>
      </c>
      <c r="F438" s="81">
        <f>F439</f>
        <v>0</v>
      </c>
      <c r="G438" s="81"/>
      <c r="H438" s="166" t="e">
        <f t="shared" si="20"/>
        <v>#DIV/0!</v>
      </c>
    </row>
    <row r="439" spans="1:8" ht="15.75" hidden="1">
      <c r="A439" s="79" t="s">
        <v>162</v>
      </c>
      <c r="B439" s="80" t="s">
        <v>299</v>
      </c>
      <c r="C439" s="80" t="s">
        <v>299</v>
      </c>
      <c r="D439" s="80" t="s">
        <v>481</v>
      </c>
      <c r="E439" s="80" t="s">
        <v>220</v>
      </c>
      <c r="F439" s="81"/>
      <c r="G439" s="81"/>
      <c r="H439" s="166" t="e">
        <f t="shared" si="20"/>
        <v>#DIV/0!</v>
      </c>
    </row>
    <row r="440" spans="1:8" ht="110.25" hidden="1">
      <c r="A440" s="79" t="s">
        <v>476</v>
      </c>
      <c r="B440" s="80" t="s">
        <v>299</v>
      </c>
      <c r="C440" s="80" t="s">
        <v>299</v>
      </c>
      <c r="D440" s="80" t="s">
        <v>505</v>
      </c>
      <c r="E440" s="80" t="s">
        <v>315</v>
      </c>
      <c r="F440" s="81">
        <f>F441</f>
        <v>0</v>
      </c>
      <c r="G440" s="81"/>
      <c r="H440" s="166" t="e">
        <f t="shared" si="20"/>
        <v>#DIV/0!</v>
      </c>
    </row>
    <row r="441" spans="1:8" ht="47.25" hidden="1">
      <c r="A441" s="79" t="s">
        <v>160</v>
      </c>
      <c r="B441" s="80" t="s">
        <v>299</v>
      </c>
      <c r="C441" s="80" t="s">
        <v>299</v>
      </c>
      <c r="D441" s="80" t="s">
        <v>505</v>
      </c>
      <c r="E441" s="80" t="s">
        <v>161</v>
      </c>
      <c r="F441" s="81">
        <f>F442</f>
        <v>0</v>
      </c>
      <c r="G441" s="81"/>
      <c r="H441" s="166" t="e">
        <f t="shared" si="20"/>
        <v>#DIV/0!</v>
      </c>
    </row>
    <row r="442" spans="1:8" ht="15.75" hidden="1">
      <c r="A442" s="79" t="s">
        <v>162</v>
      </c>
      <c r="B442" s="80" t="s">
        <v>299</v>
      </c>
      <c r="C442" s="80" t="s">
        <v>299</v>
      </c>
      <c r="D442" s="80" t="s">
        <v>505</v>
      </c>
      <c r="E442" s="80" t="s">
        <v>220</v>
      </c>
      <c r="F442" s="81"/>
      <c r="G442" s="81"/>
      <c r="H442" s="166" t="e">
        <f t="shared" si="20"/>
        <v>#DIV/0!</v>
      </c>
    </row>
    <row r="443" spans="1:8" ht="63" hidden="1">
      <c r="A443" s="79" t="s">
        <v>551</v>
      </c>
      <c r="B443" s="80" t="s">
        <v>299</v>
      </c>
      <c r="C443" s="80" t="s">
        <v>299</v>
      </c>
      <c r="D443" s="80" t="s">
        <v>550</v>
      </c>
      <c r="E443" s="80" t="s">
        <v>315</v>
      </c>
      <c r="F443" s="81">
        <f>F444</f>
        <v>0</v>
      </c>
      <c r="G443" s="81"/>
      <c r="H443" s="166" t="e">
        <f t="shared" si="20"/>
        <v>#DIV/0!</v>
      </c>
    </row>
    <row r="444" spans="1:8" ht="47.25" hidden="1">
      <c r="A444" s="93" t="s">
        <v>160</v>
      </c>
      <c r="B444" s="80" t="s">
        <v>299</v>
      </c>
      <c r="C444" s="80" t="s">
        <v>299</v>
      </c>
      <c r="D444" s="80" t="s">
        <v>550</v>
      </c>
      <c r="E444" s="80" t="s">
        <v>161</v>
      </c>
      <c r="F444" s="81">
        <f>F445</f>
        <v>0</v>
      </c>
      <c r="G444" s="81"/>
      <c r="H444" s="166" t="e">
        <f t="shared" si="20"/>
        <v>#DIV/0!</v>
      </c>
    </row>
    <row r="445" spans="1:8" ht="15.75" hidden="1">
      <c r="A445" s="93" t="s">
        <v>162</v>
      </c>
      <c r="B445" s="80" t="s">
        <v>299</v>
      </c>
      <c r="C445" s="80" t="s">
        <v>299</v>
      </c>
      <c r="D445" s="80" t="s">
        <v>550</v>
      </c>
      <c r="E445" s="80" t="s">
        <v>220</v>
      </c>
      <c r="F445" s="81"/>
      <c r="G445" s="81"/>
      <c r="H445" s="166" t="e">
        <f t="shared" si="20"/>
        <v>#DIV/0!</v>
      </c>
    </row>
    <row r="446" spans="1:8" s="138" customFormat="1" ht="15.75">
      <c r="A446" s="76" t="s">
        <v>280</v>
      </c>
      <c r="B446" s="77" t="s">
        <v>299</v>
      </c>
      <c r="C446" s="77" t="s">
        <v>285</v>
      </c>
      <c r="D446" s="77" t="s">
        <v>243</v>
      </c>
      <c r="E446" s="77" t="s">
        <v>315</v>
      </c>
      <c r="F446" s="78">
        <f>F447+F471+F478+F484+F496+F489+F493</f>
        <v>56888.91033</v>
      </c>
      <c r="G446" s="78">
        <f>G447+G471+G478+G484+G496+G489+G493</f>
        <v>56587.12441999999</v>
      </c>
      <c r="H446" s="267">
        <f t="shared" si="20"/>
        <v>0.994695171550142</v>
      </c>
    </row>
    <row r="447" spans="1:8" s="138" customFormat="1" ht="47.25">
      <c r="A447" s="10" t="s">
        <v>698</v>
      </c>
      <c r="B447" s="3" t="s">
        <v>299</v>
      </c>
      <c r="C447" s="3" t="s">
        <v>285</v>
      </c>
      <c r="D447" s="9" t="s">
        <v>22</v>
      </c>
      <c r="E447" s="9" t="s">
        <v>315</v>
      </c>
      <c r="F447" s="22">
        <f>F448+F454+F468</f>
        <v>52197.11933</v>
      </c>
      <c r="G447" s="22">
        <f>G448+G454+G468</f>
        <v>51970.544129999995</v>
      </c>
      <c r="H447" s="166">
        <f t="shared" si="20"/>
        <v>0.9956592393812471</v>
      </c>
    </row>
    <row r="448" spans="1:8" s="138" customFormat="1" ht="31.5">
      <c r="A448" s="11" t="s">
        <v>350</v>
      </c>
      <c r="B448" s="3" t="s">
        <v>299</v>
      </c>
      <c r="C448" s="3" t="s">
        <v>285</v>
      </c>
      <c r="D448" s="3" t="s">
        <v>56</v>
      </c>
      <c r="E448" s="3" t="s">
        <v>315</v>
      </c>
      <c r="F448" s="22">
        <f>F449</f>
        <v>2589.75648</v>
      </c>
      <c r="G448" s="22">
        <f>G449</f>
        <v>2589.49365</v>
      </c>
      <c r="H448" s="166">
        <f t="shared" si="20"/>
        <v>0.9998985116932693</v>
      </c>
    </row>
    <row r="449" spans="1:8" s="138" customFormat="1" ht="63">
      <c r="A449" s="10" t="s">
        <v>503</v>
      </c>
      <c r="B449" s="3" t="s">
        <v>299</v>
      </c>
      <c r="C449" s="3" t="s">
        <v>285</v>
      </c>
      <c r="D449" s="9" t="s">
        <v>56</v>
      </c>
      <c r="E449" s="9" t="s">
        <v>315</v>
      </c>
      <c r="F449" s="23">
        <f>F450+F452</f>
        <v>2589.75648</v>
      </c>
      <c r="G449" s="23">
        <f>G450+G452</f>
        <v>2589.49365</v>
      </c>
      <c r="H449" s="166">
        <f t="shared" si="20"/>
        <v>0.9998985116932693</v>
      </c>
    </row>
    <row r="450" spans="1:8" s="138" customFormat="1" ht="31.5" hidden="1">
      <c r="A450" s="17" t="s">
        <v>151</v>
      </c>
      <c r="B450" s="3" t="s">
        <v>299</v>
      </c>
      <c r="C450" s="3" t="s">
        <v>285</v>
      </c>
      <c r="D450" s="3" t="s">
        <v>57</v>
      </c>
      <c r="E450" s="3" t="s">
        <v>113</v>
      </c>
      <c r="F450" s="22">
        <f>F451</f>
        <v>0</v>
      </c>
      <c r="G450" s="84"/>
      <c r="H450" s="166" t="e">
        <f t="shared" si="20"/>
        <v>#DIV/0!</v>
      </c>
    </row>
    <row r="451" spans="1:8" s="138" customFormat="1" ht="31.5" hidden="1">
      <c r="A451" s="17" t="s">
        <v>152</v>
      </c>
      <c r="B451" s="3" t="s">
        <v>299</v>
      </c>
      <c r="C451" s="3" t="s">
        <v>285</v>
      </c>
      <c r="D451" s="3" t="s">
        <v>57</v>
      </c>
      <c r="E451" s="3" t="s">
        <v>153</v>
      </c>
      <c r="F451" s="22"/>
      <c r="G451" s="84"/>
      <c r="H451" s="166" t="e">
        <f t="shared" si="20"/>
        <v>#DIV/0!</v>
      </c>
    </row>
    <row r="452" spans="1:8" s="138" customFormat="1" ht="47.25">
      <c r="A452" s="17" t="s">
        <v>160</v>
      </c>
      <c r="B452" s="3" t="s">
        <v>299</v>
      </c>
      <c r="C452" s="3" t="s">
        <v>285</v>
      </c>
      <c r="D452" s="3" t="s">
        <v>57</v>
      </c>
      <c r="E452" s="3" t="s">
        <v>161</v>
      </c>
      <c r="F452" s="22">
        <f>F453</f>
        <v>2589.75648</v>
      </c>
      <c r="G452" s="22">
        <f>G453</f>
        <v>2589.49365</v>
      </c>
      <c r="H452" s="166">
        <f t="shared" si="20"/>
        <v>0.9998985116932693</v>
      </c>
    </row>
    <row r="453" spans="1:8" s="138" customFormat="1" ht="15.75">
      <c r="A453" s="17" t="s">
        <v>162</v>
      </c>
      <c r="B453" s="3" t="s">
        <v>299</v>
      </c>
      <c r="C453" s="3" t="s">
        <v>285</v>
      </c>
      <c r="D453" s="3" t="s">
        <v>57</v>
      </c>
      <c r="E453" s="3" t="s">
        <v>220</v>
      </c>
      <c r="F453" s="32">
        <f>2867.6175-300+22.13898</f>
        <v>2589.75648</v>
      </c>
      <c r="G453" s="84">
        <v>2589.49365</v>
      </c>
      <c r="H453" s="166">
        <f t="shared" si="20"/>
        <v>0.9998985116932693</v>
      </c>
    </row>
    <row r="454" spans="1:10" ht="31.5">
      <c r="A454" s="101" t="s">
        <v>197</v>
      </c>
      <c r="B454" s="80" t="s">
        <v>299</v>
      </c>
      <c r="C454" s="80" t="s">
        <v>285</v>
      </c>
      <c r="D454" s="80" t="s">
        <v>58</v>
      </c>
      <c r="E454" s="80" t="s">
        <v>315</v>
      </c>
      <c r="F454" s="81">
        <f>F455+F463</f>
        <v>49496.36285</v>
      </c>
      <c r="G454" s="81">
        <f>G455+G463</f>
        <v>49270.13148</v>
      </c>
      <c r="H454" s="166">
        <f t="shared" si="20"/>
        <v>0.9954293334505082</v>
      </c>
      <c r="I454" s="139"/>
      <c r="J454" s="139"/>
    </row>
    <row r="455" spans="1:8" ht="47.25">
      <c r="A455" s="79" t="s">
        <v>60</v>
      </c>
      <c r="B455" s="80" t="s">
        <v>299</v>
      </c>
      <c r="C455" s="80" t="s">
        <v>285</v>
      </c>
      <c r="D455" s="80" t="s">
        <v>59</v>
      </c>
      <c r="E455" s="80" t="s">
        <v>315</v>
      </c>
      <c r="F455" s="81">
        <f>F456+F458+F460</f>
        <v>48845.437</v>
      </c>
      <c r="G455" s="81">
        <f>G456+G458+G460</f>
        <v>48619.20563</v>
      </c>
      <c r="H455" s="166">
        <f t="shared" si="20"/>
        <v>0.9953684236666773</v>
      </c>
    </row>
    <row r="456" spans="1:8" ht="94.5">
      <c r="A456" s="79" t="s">
        <v>134</v>
      </c>
      <c r="B456" s="80" t="s">
        <v>299</v>
      </c>
      <c r="C456" s="80" t="s">
        <v>285</v>
      </c>
      <c r="D456" s="80" t="s">
        <v>59</v>
      </c>
      <c r="E456" s="80" t="s">
        <v>108</v>
      </c>
      <c r="F456" s="22">
        <f>F457</f>
        <v>41451.337</v>
      </c>
      <c r="G456" s="22">
        <f>G457</f>
        <v>41393.57416</v>
      </c>
      <c r="H456" s="166">
        <f t="shared" si="20"/>
        <v>0.9986064903045225</v>
      </c>
    </row>
    <row r="457" spans="1:8" ht="31.5">
      <c r="A457" s="79" t="s">
        <v>150</v>
      </c>
      <c r="B457" s="80" t="s">
        <v>299</v>
      </c>
      <c r="C457" s="80" t="s">
        <v>285</v>
      </c>
      <c r="D457" s="80" t="s">
        <v>59</v>
      </c>
      <c r="E457" s="80" t="s">
        <v>115</v>
      </c>
      <c r="F457" s="22">
        <f>'[1]4'!G810</f>
        <v>41451.337</v>
      </c>
      <c r="G457" s="81">
        <v>41393.57416</v>
      </c>
      <c r="H457" s="166">
        <f t="shared" si="20"/>
        <v>0.9986064903045225</v>
      </c>
    </row>
    <row r="458" spans="1:8" ht="31.5">
      <c r="A458" s="79" t="s">
        <v>137</v>
      </c>
      <c r="B458" s="80" t="s">
        <v>299</v>
      </c>
      <c r="C458" s="80" t="s">
        <v>285</v>
      </c>
      <c r="D458" s="80" t="s">
        <v>59</v>
      </c>
      <c r="E458" s="80" t="s">
        <v>112</v>
      </c>
      <c r="F458" s="22">
        <f>F459</f>
        <v>7314.1</v>
      </c>
      <c r="G458" s="22">
        <f>G459</f>
        <v>7162.16647</v>
      </c>
      <c r="H458" s="166">
        <f t="shared" si="20"/>
        <v>0.9792273102637371</v>
      </c>
    </row>
    <row r="459" spans="1:8" ht="47.25">
      <c r="A459" s="93" t="s">
        <v>138</v>
      </c>
      <c r="B459" s="80" t="s">
        <v>299</v>
      </c>
      <c r="C459" s="80" t="s">
        <v>285</v>
      </c>
      <c r="D459" s="80" t="s">
        <v>59</v>
      </c>
      <c r="E459" s="80" t="s">
        <v>139</v>
      </c>
      <c r="F459" s="22">
        <f>'[1]4'!G812</f>
        <v>7314.1</v>
      </c>
      <c r="G459" s="81">
        <v>7162.16647</v>
      </c>
      <c r="H459" s="166">
        <f t="shared" si="20"/>
        <v>0.9792273102637371</v>
      </c>
    </row>
    <row r="460" spans="1:8" ht="15.75">
      <c r="A460" s="79" t="s">
        <v>142</v>
      </c>
      <c r="B460" s="80" t="s">
        <v>299</v>
      </c>
      <c r="C460" s="80" t="s">
        <v>285</v>
      </c>
      <c r="D460" s="80" t="s">
        <v>59</v>
      </c>
      <c r="E460" s="80" t="s">
        <v>143</v>
      </c>
      <c r="F460" s="81">
        <f>F461+F462</f>
        <v>80</v>
      </c>
      <c r="G460" s="81">
        <f>G461+G462</f>
        <v>63.465</v>
      </c>
      <c r="H460" s="166">
        <f t="shared" si="20"/>
        <v>0.7933125000000001</v>
      </c>
    </row>
    <row r="461" spans="1:8" ht="15.75" hidden="1">
      <c r="A461" s="79" t="s">
        <v>146</v>
      </c>
      <c r="B461" s="80" t="s">
        <v>299</v>
      </c>
      <c r="C461" s="80" t="s">
        <v>285</v>
      </c>
      <c r="D461" s="80" t="s">
        <v>59</v>
      </c>
      <c r="E461" s="80" t="s">
        <v>147</v>
      </c>
      <c r="F461" s="81"/>
      <c r="G461" s="81"/>
      <c r="H461" s="166" t="e">
        <f t="shared" si="20"/>
        <v>#DIV/0!</v>
      </c>
    </row>
    <row r="462" spans="1:8" ht="15.75">
      <c r="A462" s="79" t="s">
        <v>140</v>
      </c>
      <c r="B462" s="80" t="s">
        <v>299</v>
      </c>
      <c r="C462" s="80" t="s">
        <v>285</v>
      </c>
      <c r="D462" s="80" t="s">
        <v>59</v>
      </c>
      <c r="E462" s="80" t="s">
        <v>141</v>
      </c>
      <c r="F462" s="22">
        <f>'[1]4'!G815</f>
        <v>80</v>
      </c>
      <c r="G462" s="81">
        <v>63.465</v>
      </c>
      <c r="H462" s="166">
        <f t="shared" si="20"/>
        <v>0.7933125000000001</v>
      </c>
    </row>
    <row r="463" spans="1:8" ht="63">
      <c r="A463" s="11" t="s">
        <v>712</v>
      </c>
      <c r="B463" s="3" t="s">
        <v>299</v>
      </c>
      <c r="C463" s="3" t="s">
        <v>285</v>
      </c>
      <c r="D463" s="3" t="s">
        <v>59</v>
      </c>
      <c r="E463" s="3" t="s">
        <v>315</v>
      </c>
      <c r="F463" s="22">
        <f>F464+F466</f>
        <v>650.9258500000001</v>
      </c>
      <c r="G463" s="22">
        <f>G464+G466</f>
        <v>650.92585</v>
      </c>
      <c r="H463" s="166">
        <f t="shared" si="20"/>
        <v>0.9999999999999998</v>
      </c>
    </row>
    <row r="464" spans="1:8" ht="94.5">
      <c r="A464" s="8" t="s">
        <v>134</v>
      </c>
      <c r="B464" s="3" t="s">
        <v>299</v>
      </c>
      <c r="C464" s="3" t="s">
        <v>285</v>
      </c>
      <c r="D464" s="3" t="s">
        <v>59</v>
      </c>
      <c r="E464" s="3" t="s">
        <v>108</v>
      </c>
      <c r="F464" s="22">
        <f>F465</f>
        <v>650.9258500000001</v>
      </c>
      <c r="G464" s="22">
        <f>G465</f>
        <v>650.92585</v>
      </c>
      <c r="H464" s="166">
        <f t="shared" si="20"/>
        <v>0.9999999999999998</v>
      </c>
    </row>
    <row r="465" spans="1:8" ht="31.5">
      <c r="A465" s="8" t="s">
        <v>150</v>
      </c>
      <c r="B465" s="3" t="s">
        <v>299</v>
      </c>
      <c r="C465" s="3" t="s">
        <v>285</v>
      </c>
      <c r="D465" s="3" t="s">
        <v>59</v>
      </c>
      <c r="E465" s="3" t="s">
        <v>115</v>
      </c>
      <c r="F465" s="22">
        <f>'[1]4'!G818</f>
        <v>650.9258500000001</v>
      </c>
      <c r="G465" s="81">
        <v>650.92585</v>
      </c>
      <c r="H465" s="166">
        <f t="shared" si="20"/>
        <v>0.9999999999999998</v>
      </c>
    </row>
    <row r="466" spans="1:8" ht="31.5" hidden="1">
      <c r="A466" s="79" t="s">
        <v>137</v>
      </c>
      <c r="B466" s="80" t="s">
        <v>299</v>
      </c>
      <c r="C466" s="80" t="s">
        <v>285</v>
      </c>
      <c r="D466" s="80" t="s">
        <v>59</v>
      </c>
      <c r="E466" s="80" t="s">
        <v>112</v>
      </c>
      <c r="F466" s="81">
        <f>F467</f>
        <v>0</v>
      </c>
      <c r="G466" s="81"/>
      <c r="H466" s="166" t="e">
        <f t="shared" si="20"/>
        <v>#DIV/0!</v>
      </c>
    </row>
    <row r="467" spans="1:8" ht="47.25" hidden="1">
      <c r="A467" s="93" t="s">
        <v>138</v>
      </c>
      <c r="B467" s="80" t="s">
        <v>299</v>
      </c>
      <c r="C467" s="80" t="s">
        <v>285</v>
      </c>
      <c r="D467" s="80" t="s">
        <v>59</v>
      </c>
      <c r="E467" s="80" t="s">
        <v>139</v>
      </c>
      <c r="F467" s="81">
        <v>0</v>
      </c>
      <c r="G467" s="81"/>
      <c r="H467" s="166" t="e">
        <f t="shared" si="20"/>
        <v>#DIV/0!</v>
      </c>
    </row>
    <row r="468" spans="1:8" ht="31.5">
      <c r="A468" s="101" t="s">
        <v>24</v>
      </c>
      <c r="B468" s="80" t="s">
        <v>299</v>
      </c>
      <c r="C468" s="80" t="s">
        <v>285</v>
      </c>
      <c r="D468" s="94" t="s">
        <v>23</v>
      </c>
      <c r="E468" s="80" t="s">
        <v>315</v>
      </c>
      <c r="F468" s="81">
        <f>F469</f>
        <v>111</v>
      </c>
      <c r="G468" s="81">
        <f>G469</f>
        <v>110.919</v>
      </c>
      <c r="H468" s="166">
        <f t="shared" si="20"/>
        <v>0.9992702702702703</v>
      </c>
    </row>
    <row r="469" spans="1:8" ht="31.5">
      <c r="A469" s="79" t="s">
        <v>137</v>
      </c>
      <c r="B469" s="80" t="s">
        <v>299</v>
      </c>
      <c r="C469" s="80" t="s">
        <v>285</v>
      </c>
      <c r="D469" s="94" t="s">
        <v>26</v>
      </c>
      <c r="E469" s="80" t="s">
        <v>112</v>
      </c>
      <c r="F469" s="81">
        <f>F470</f>
        <v>111</v>
      </c>
      <c r="G469" s="81">
        <f>G470</f>
        <v>110.919</v>
      </c>
      <c r="H469" s="166">
        <f t="shared" si="20"/>
        <v>0.9992702702702703</v>
      </c>
    </row>
    <row r="470" spans="1:8" ht="47.25">
      <c r="A470" s="93" t="s">
        <v>138</v>
      </c>
      <c r="B470" s="80" t="s">
        <v>299</v>
      </c>
      <c r="C470" s="80" t="s">
        <v>285</v>
      </c>
      <c r="D470" s="94" t="s">
        <v>26</v>
      </c>
      <c r="E470" s="80" t="s">
        <v>139</v>
      </c>
      <c r="F470" s="111">
        <v>111</v>
      </c>
      <c r="G470" s="81">
        <v>110.919</v>
      </c>
      <c r="H470" s="166">
        <f t="shared" si="20"/>
        <v>0.9992702702702703</v>
      </c>
    </row>
    <row r="471" spans="1:8" s="138" customFormat="1" ht="63">
      <c r="A471" s="82" t="s">
        <v>713</v>
      </c>
      <c r="B471" s="83" t="s">
        <v>299</v>
      </c>
      <c r="C471" s="83" t="s">
        <v>285</v>
      </c>
      <c r="D471" s="83" t="s">
        <v>61</v>
      </c>
      <c r="E471" s="83" t="s">
        <v>315</v>
      </c>
      <c r="F471" s="84">
        <f>F472+F475</f>
        <v>988</v>
      </c>
      <c r="G471" s="84">
        <f>G472+G475</f>
        <v>984.72829</v>
      </c>
      <c r="H471" s="166">
        <f t="shared" si="20"/>
        <v>0.996688552631579</v>
      </c>
    </row>
    <row r="472" spans="1:8" ht="15.75">
      <c r="A472" s="79" t="s">
        <v>308</v>
      </c>
      <c r="B472" s="80" t="s">
        <v>299</v>
      </c>
      <c r="C472" s="80" t="s">
        <v>285</v>
      </c>
      <c r="D472" s="80" t="s">
        <v>62</v>
      </c>
      <c r="E472" s="80" t="s">
        <v>315</v>
      </c>
      <c r="F472" s="81">
        <f>F473</f>
        <v>543.5</v>
      </c>
      <c r="G472" s="81">
        <f>G473</f>
        <v>540.26023</v>
      </c>
      <c r="H472" s="166">
        <f t="shared" si="20"/>
        <v>0.9940390616375344</v>
      </c>
    </row>
    <row r="473" spans="1:8" ht="31.5">
      <c r="A473" s="79" t="s">
        <v>137</v>
      </c>
      <c r="B473" s="80" t="s">
        <v>299</v>
      </c>
      <c r="C473" s="80" t="s">
        <v>285</v>
      </c>
      <c r="D473" s="80" t="s">
        <v>63</v>
      </c>
      <c r="E473" s="80" t="s">
        <v>112</v>
      </c>
      <c r="F473" s="81">
        <f>F474</f>
        <v>543.5</v>
      </c>
      <c r="G473" s="81">
        <f>G474</f>
        <v>540.26023</v>
      </c>
      <c r="H473" s="166">
        <f t="shared" si="20"/>
        <v>0.9940390616375344</v>
      </c>
    </row>
    <row r="474" spans="1:8" ht="47.25">
      <c r="A474" s="93" t="s">
        <v>138</v>
      </c>
      <c r="B474" s="80" t="s">
        <v>299</v>
      </c>
      <c r="C474" s="80" t="s">
        <v>285</v>
      </c>
      <c r="D474" s="80" t="s">
        <v>63</v>
      </c>
      <c r="E474" s="80" t="s">
        <v>139</v>
      </c>
      <c r="F474" s="22">
        <f>718-100-74.5</f>
        <v>543.5</v>
      </c>
      <c r="G474" s="81">
        <v>540.26023</v>
      </c>
      <c r="H474" s="166">
        <f t="shared" si="20"/>
        <v>0.9940390616375344</v>
      </c>
    </row>
    <row r="475" spans="1:8" ht="31.5">
      <c r="A475" s="79" t="s">
        <v>90</v>
      </c>
      <c r="B475" s="80" t="s">
        <v>299</v>
      </c>
      <c r="C475" s="80" t="s">
        <v>285</v>
      </c>
      <c r="D475" s="80" t="s">
        <v>64</v>
      </c>
      <c r="E475" s="80" t="s">
        <v>315</v>
      </c>
      <c r="F475" s="22">
        <f>F476</f>
        <v>444.5</v>
      </c>
      <c r="G475" s="22">
        <f>G476</f>
        <v>444.46806</v>
      </c>
      <c r="H475" s="166">
        <f t="shared" si="20"/>
        <v>0.9999281439820022</v>
      </c>
    </row>
    <row r="476" spans="1:8" ht="47.25">
      <c r="A476" s="79" t="s">
        <v>160</v>
      </c>
      <c r="B476" s="80" t="s">
        <v>299</v>
      </c>
      <c r="C476" s="80" t="s">
        <v>285</v>
      </c>
      <c r="D476" s="80" t="s">
        <v>64</v>
      </c>
      <c r="E476" s="80" t="s">
        <v>161</v>
      </c>
      <c r="F476" s="22">
        <f>F477</f>
        <v>444.5</v>
      </c>
      <c r="G476" s="22">
        <f>G477</f>
        <v>444.46806</v>
      </c>
      <c r="H476" s="166">
        <f t="shared" si="20"/>
        <v>0.9999281439820022</v>
      </c>
    </row>
    <row r="477" spans="1:8" ht="15.75">
      <c r="A477" s="79" t="s">
        <v>162</v>
      </c>
      <c r="B477" s="80" t="s">
        <v>299</v>
      </c>
      <c r="C477" s="80" t="s">
        <v>285</v>
      </c>
      <c r="D477" s="80" t="s">
        <v>64</v>
      </c>
      <c r="E477" s="80" t="s">
        <v>220</v>
      </c>
      <c r="F477" s="22">
        <f>270+100+74.5</f>
        <v>444.5</v>
      </c>
      <c r="G477" s="81">
        <v>444.46806</v>
      </c>
      <c r="H477" s="166">
        <f t="shared" si="20"/>
        <v>0.9999281439820022</v>
      </c>
    </row>
    <row r="478" spans="1:8" s="138" customFormat="1" ht="63">
      <c r="A478" s="10" t="s">
        <v>675</v>
      </c>
      <c r="B478" s="9" t="s">
        <v>299</v>
      </c>
      <c r="C478" s="9" t="s">
        <v>285</v>
      </c>
      <c r="D478" s="9" t="s">
        <v>29</v>
      </c>
      <c r="E478" s="9" t="s">
        <v>315</v>
      </c>
      <c r="F478" s="23">
        <f>F479</f>
        <v>699</v>
      </c>
      <c r="G478" s="23">
        <f>G479</f>
        <v>694.762</v>
      </c>
      <c r="H478" s="166">
        <f t="shared" si="20"/>
        <v>0.993937052932761</v>
      </c>
    </row>
    <row r="479" spans="1:8" ht="15.75">
      <c r="A479" s="8" t="s">
        <v>308</v>
      </c>
      <c r="B479" s="3" t="s">
        <v>299</v>
      </c>
      <c r="C479" s="3" t="s">
        <v>285</v>
      </c>
      <c r="D479" s="3" t="s">
        <v>30</v>
      </c>
      <c r="E479" s="3" t="s">
        <v>315</v>
      </c>
      <c r="F479" s="22">
        <f>F480+F482</f>
        <v>699</v>
      </c>
      <c r="G479" s="22">
        <f>G480+G482</f>
        <v>694.762</v>
      </c>
      <c r="H479" s="166">
        <f t="shared" si="20"/>
        <v>0.993937052932761</v>
      </c>
    </row>
    <row r="480" spans="1:8" ht="31.5">
      <c r="A480" s="8" t="s">
        <v>137</v>
      </c>
      <c r="B480" s="3" t="s">
        <v>299</v>
      </c>
      <c r="C480" s="3" t="s">
        <v>285</v>
      </c>
      <c r="D480" s="3" t="s">
        <v>65</v>
      </c>
      <c r="E480" s="3" t="s">
        <v>112</v>
      </c>
      <c r="F480" s="22">
        <f>F481</f>
        <v>2</v>
      </c>
      <c r="G480" s="22">
        <f>G481</f>
        <v>2</v>
      </c>
      <c r="H480" s="166">
        <f t="shared" si="20"/>
        <v>1</v>
      </c>
    </row>
    <row r="481" spans="1:8" ht="47.25">
      <c r="A481" s="17" t="s">
        <v>138</v>
      </c>
      <c r="B481" s="3" t="s">
        <v>299</v>
      </c>
      <c r="C481" s="3" t="s">
        <v>285</v>
      </c>
      <c r="D481" s="3" t="s">
        <v>65</v>
      </c>
      <c r="E481" s="3" t="s">
        <v>139</v>
      </c>
      <c r="F481" s="22">
        <v>2</v>
      </c>
      <c r="G481" s="81">
        <v>2</v>
      </c>
      <c r="H481" s="166">
        <f t="shared" si="20"/>
        <v>1</v>
      </c>
    </row>
    <row r="482" spans="1:8" ht="47.25">
      <c r="A482" s="8" t="s">
        <v>160</v>
      </c>
      <c r="B482" s="3" t="s">
        <v>299</v>
      </c>
      <c r="C482" s="3" t="s">
        <v>285</v>
      </c>
      <c r="D482" s="3" t="s">
        <v>65</v>
      </c>
      <c r="E482" s="3" t="s">
        <v>161</v>
      </c>
      <c r="F482" s="22">
        <f>F483</f>
        <v>697</v>
      </c>
      <c r="G482" s="22">
        <f>G483</f>
        <v>692.762</v>
      </c>
      <c r="H482" s="166">
        <f t="shared" si="20"/>
        <v>0.9939196556671448</v>
      </c>
    </row>
    <row r="483" spans="1:8" ht="15.75">
      <c r="A483" s="8" t="s">
        <v>162</v>
      </c>
      <c r="B483" s="3" t="s">
        <v>299</v>
      </c>
      <c r="C483" s="3" t="s">
        <v>285</v>
      </c>
      <c r="D483" s="3" t="s">
        <v>65</v>
      </c>
      <c r="E483" s="3" t="s">
        <v>220</v>
      </c>
      <c r="F483" s="32">
        <v>697</v>
      </c>
      <c r="G483" s="81">
        <v>692.762</v>
      </c>
      <c r="H483" s="166">
        <f t="shared" si="20"/>
        <v>0.9939196556671448</v>
      </c>
    </row>
    <row r="484" spans="1:8" ht="94.5">
      <c r="A484" s="95" t="s">
        <v>687</v>
      </c>
      <c r="B484" s="83" t="s">
        <v>299</v>
      </c>
      <c r="C484" s="83" t="s">
        <v>285</v>
      </c>
      <c r="D484" s="83" t="s">
        <v>384</v>
      </c>
      <c r="E484" s="83" t="s">
        <v>315</v>
      </c>
      <c r="F484" s="84">
        <f>F485+F487</f>
        <v>779.481</v>
      </c>
      <c r="G484" s="84">
        <f>G485+G487</f>
        <v>711.78</v>
      </c>
      <c r="H484" s="166">
        <f t="shared" si="20"/>
        <v>0.9131460548749745</v>
      </c>
    </row>
    <row r="485" spans="1:8" ht="31.5" hidden="1">
      <c r="A485" s="79" t="s">
        <v>137</v>
      </c>
      <c r="B485" s="80" t="s">
        <v>299</v>
      </c>
      <c r="C485" s="80" t="s">
        <v>285</v>
      </c>
      <c r="D485" s="80" t="s">
        <v>549</v>
      </c>
      <c r="E485" s="80" t="s">
        <v>112</v>
      </c>
      <c r="F485" s="81">
        <f>F486</f>
        <v>0</v>
      </c>
      <c r="G485" s="81">
        <f>G486</f>
        <v>0</v>
      </c>
      <c r="H485" s="166" t="e">
        <f t="shared" si="20"/>
        <v>#DIV/0!</v>
      </c>
    </row>
    <row r="486" spans="1:8" ht="47.25" hidden="1">
      <c r="A486" s="93" t="s">
        <v>138</v>
      </c>
      <c r="B486" s="80" t="s">
        <v>299</v>
      </c>
      <c r="C486" s="80" t="s">
        <v>285</v>
      </c>
      <c r="D486" s="80" t="s">
        <v>549</v>
      </c>
      <c r="E486" s="80" t="s">
        <v>139</v>
      </c>
      <c r="F486" s="81">
        <v>0</v>
      </c>
      <c r="G486" s="81"/>
      <c r="H486" s="166" t="e">
        <f t="shared" si="20"/>
        <v>#DIV/0!</v>
      </c>
    </row>
    <row r="487" spans="1:8" ht="47.25">
      <c r="A487" s="79" t="s">
        <v>160</v>
      </c>
      <c r="B487" s="80" t="s">
        <v>299</v>
      </c>
      <c r="C487" s="80" t="s">
        <v>285</v>
      </c>
      <c r="D487" s="80" t="s">
        <v>385</v>
      </c>
      <c r="E487" s="80" t="s">
        <v>161</v>
      </c>
      <c r="F487" s="81">
        <f>F488</f>
        <v>779.481</v>
      </c>
      <c r="G487" s="81">
        <f>G488</f>
        <v>711.78</v>
      </c>
      <c r="H487" s="166">
        <f t="shared" si="20"/>
        <v>0.9131460548749745</v>
      </c>
    </row>
    <row r="488" spans="1:8" ht="15.75">
      <c r="A488" s="79" t="s">
        <v>162</v>
      </c>
      <c r="B488" s="80" t="s">
        <v>299</v>
      </c>
      <c r="C488" s="80" t="s">
        <v>285</v>
      </c>
      <c r="D488" s="80" t="s">
        <v>385</v>
      </c>
      <c r="E488" s="80" t="s">
        <v>220</v>
      </c>
      <c r="F488" s="32">
        <f>'[1]4'!G840</f>
        <v>779.481</v>
      </c>
      <c r="G488" s="81">
        <v>711.78</v>
      </c>
      <c r="H488" s="166">
        <f t="shared" si="20"/>
        <v>0.9131460548749745</v>
      </c>
    </row>
    <row r="489" spans="1:8" ht="47.25" hidden="1">
      <c r="A489" s="95" t="s">
        <v>333</v>
      </c>
      <c r="B489" s="80" t="s">
        <v>299</v>
      </c>
      <c r="C489" s="80" t="s">
        <v>285</v>
      </c>
      <c r="D489" s="83" t="s">
        <v>32</v>
      </c>
      <c r="E489" s="83" t="s">
        <v>315</v>
      </c>
      <c r="F489" s="84">
        <f>F490</f>
        <v>0</v>
      </c>
      <c r="G489" s="81"/>
      <c r="H489" s="166" t="e">
        <f t="shared" si="20"/>
        <v>#DIV/0!</v>
      </c>
    </row>
    <row r="490" spans="1:8" ht="31.5" hidden="1">
      <c r="A490" s="93" t="s">
        <v>137</v>
      </c>
      <c r="B490" s="80" t="s">
        <v>299</v>
      </c>
      <c r="C490" s="80" t="s">
        <v>285</v>
      </c>
      <c r="D490" s="80" t="s">
        <v>369</v>
      </c>
      <c r="E490" s="80" t="s">
        <v>112</v>
      </c>
      <c r="F490" s="81">
        <f>F491+F492</f>
        <v>0</v>
      </c>
      <c r="G490" s="81"/>
      <c r="H490" s="166" t="e">
        <f aca="true" t="shared" si="21" ref="H490:H553">G490/F490</f>
        <v>#DIV/0!</v>
      </c>
    </row>
    <row r="491" spans="1:8" ht="63" hidden="1">
      <c r="A491" s="93" t="s">
        <v>448</v>
      </c>
      <c r="B491" s="80" t="s">
        <v>299</v>
      </c>
      <c r="C491" s="80" t="s">
        <v>285</v>
      </c>
      <c r="D491" s="80" t="s">
        <v>387</v>
      </c>
      <c r="E491" s="80" t="s">
        <v>139</v>
      </c>
      <c r="F491" s="81"/>
      <c r="G491" s="81"/>
      <c r="H491" s="166" t="e">
        <f t="shared" si="21"/>
        <v>#DIV/0!</v>
      </c>
    </row>
    <row r="492" spans="1:8" ht="47.25" hidden="1">
      <c r="A492" s="93" t="s">
        <v>449</v>
      </c>
      <c r="B492" s="80" t="s">
        <v>299</v>
      </c>
      <c r="C492" s="80" t="s">
        <v>285</v>
      </c>
      <c r="D492" s="80" t="s">
        <v>388</v>
      </c>
      <c r="E492" s="80" t="s">
        <v>139</v>
      </c>
      <c r="F492" s="81"/>
      <c r="G492" s="81"/>
      <c r="H492" s="166" t="e">
        <f t="shared" si="21"/>
        <v>#DIV/0!</v>
      </c>
    </row>
    <row r="493" spans="1:8" ht="47.25">
      <c r="A493" s="110" t="s">
        <v>621</v>
      </c>
      <c r="B493" s="88" t="s">
        <v>299</v>
      </c>
      <c r="C493" s="88" t="s">
        <v>285</v>
      </c>
      <c r="D493" s="88" t="s">
        <v>594</v>
      </c>
      <c r="E493" s="88" t="s">
        <v>315</v>
      </c>
      <c r="F493" s="89">
        <f>F494</f>
        <v>40</v>
      </c>
      <c r="G493" s="89">
        <f>G494</f>
        <v>40</v>
      </c>
      <c r="H493" s="166">
        <f t="shared" si="21"/>
        <v>1</v>
      </c>
    </row>
    <row r="494" spans="1:8" ht="31.5">
      <c r="A494" s="79" t="s">
        <v>137</v>
      </c>
      <c r="B494" s="80" t="s">
        <v>299</v>
      </c>
      <c r="C494" s="80" t="s">
        <v>285</v>
      </c>
      <c r="D494" s="80" t="s">
        <v>596</v>
      </c>
      <c r="E494" s="80" t="s">
        <v>112</v>
      </c>
      <c r="F494" s="81">
        <f>F495</f>
        <v>40</v>
      </c>
      <c r="G494" s="81">
        <f>G495</f>
        <v>40</v>
      </c>
      <c r="H494" s="166">
        <f t="shared" si="21"/>
        <v>1</v>
      </c>
    </row>
    <row r="495" spans="1:8" ht="47.25">
      <c r="A495" s="93" t="s">
        <v>138</v>
      </c>
      <c r="B495" s="80" t="s">
        <v>299</v>
      </c>
      <c r="C495" s="80" t="s">
        <v>285</v>
      </c>
      <c r="D495" s="80" t="s">
        <v>596</v>
      </c>
      <c r="E495" s="80" t="s">
        <v>139</v>
      </c>
      <c r="F495" s="81">
        <v>40</v>
      </c>
      <c r="G495" s="81">
        <v>40</v>
      </c>
      <c r="H495" s="166">
        <f t="shared" si="21"/>
        <v>1</v>
      </c>
    </row>
    <row r="496" spans="1:8" ht="47.25">
      <c r="A496" s="103" t="s">
        <v>106</v>
      </c>
      <c r="B496" s="97" t="s">
        <v>299</v>
      </c>
      <c r="C496" s="97" t="s">
        <v>285</v>
      </c>
      <c r="D496" s="97" t="s">
        <v>7</v>
      </c>
      <c r="E496" s="97" t="s">
        <v>315</v>
      </c>
      <c r="F496" s="98">
        <f>F497+F503+F506</f>
        <v>2185.31</v>
      </c>
      <c r="G496" s="172">
        <f>G497+G503+G506</f>
        <v>2185.31</v>
      </c>
      <c r="H496" s="166">
        <f t="shared" si="21"/>
        <v>1</v>
      </c>
    </row>
    <row r="497" spans="1:8" ht="47.25" hidden="1">
      <c r="A497" s="79" t="s">
        <v>107</v>
      </c>
      <c r="B497" s="80" t="s">
        <v>299</v>
      </c>
      <c r="C497" s="80" t="s">
        <v>285</v>
      </c>
      <c r="D497" s="80" t="s">
        <v>8</v>
      </c>
      <c r="E497" s="80" t="s">
        <v>315</v>
      </c>
      <c r="F497" s="81">
        <f>F498</f>
        <v>0</v>
      </c>
      <c r="G497" s="81"/>
      <c r="H497" s="166" t="e">
        <f t="shared" si="21"/>
        <v>#DIV/0!</v>
      </c>
    </row>
    <row r="498" spans="1:8" ht="47.25" hidden="1">
      <c r="A498" s="79" t="s">
        <v>111</v>
      </c>
      <c r="B498" s="80" t="s">
        <v>299</v>
      </c>
      <c r="C498" s="80" t="s">
        <v>285</v>
      </c>
      <c r="D498" s="80" t="s">
        <v>11</v>
      </c>
      <c r="E498" s="80" t="s">
        <v>315</v>
      </c>
      <c r="F498" s="81">
        <f>F499+F501</f>
        <v>0</v>
      </c>
      <c r="G498" s="81"/>
      <c r="H498" s="166" t="e">
        <f t="shared" si="21"/>
        <v>#DIV/0!</v>
      </c>
    </row>
    <row r="499" spans="1:8" ht="94.5" hidden="1">
      <c r="A499" s="79" t="s">
        <v>134</v>
      </c>
      <c r="B499" s="80" t="s">
        <v>299</v>
      </c>
      <c r="C499" s="80" t="s">
        <v>285</v>
      </c>
      <c r="D499" s="80" t="s">
        <v>11</v>
      </c>
      <c r="E499" s="80" t="s">
        <v>108</v>
      </c>
      <c r="F499" s="81">
        <f>F500</f>
        <v>0</v>
      </c>
      <c r="G499" s="81"/>
      <c r="H499" s="166" t="e">
        <f t="shared" si="21"/>
        <v>#DIV/0!</v>
      </c>
    </row>
    <row r="500" spans="1:8" ht="31.5" hidden="1">
      <c r="A500" s="79" t="s">
        <v>136</v>
      </c>
      <c r="B500" s="80" t="s">
        <v>299</v>
      </c>
      <c r="C500" s="80" t="s">
        <v>285</v>
      </c>
      <c r="D500" s="80" t="s">
        <v>11</v>
      </c>
      <c r="E500" s="80" t="s">
        <v>135</v>
      </c>
      <c r="F500" s="111">
        <v>0</v>
      </c>
      <c r="G500" s="81"/>
      <c r="H500" s="166" t="e">
        <f t="shared" si="21"/>
        <v>#DIV/0!</v>
      </c>
    </row>
    <row r="501" spans="1:8" ht="31.5" hidden="1">
      <c r="A501" s="79" t="s">
        <v>137</v>
      </c>
      <c r="B501" s="80" t="s">
        <v>299</v>
      </c>
      <c r="C501" s="80" t="s">
        <v>285</v>
      </c>
      <c r="D501" s="80" t="s">
        <v>11</v>
      </c>
      <c r="E501" s="80" t="s">
        <v>112</v>
      </c>
      <c r="F501" s="81">
        <f>F502</f>
        <v>0</v>
      </c>
      <c r="G501" s="81"/>
      <c r="H501" s="166" t="e">
        <f t="shared" si="21"/>
        <v>#DIV/0!</v>
      </c>
    </row>
    <row r="502" spans="1:8" ht="47.25" hidden="1">
      <c r="A502" s="93" t="s">
        <v>138</v>
      </c>
      <c r="B502" s="80" t="s">
        <v>299</v>
      </c>
      <c r="C502" s="80" t="s">
        <v>285</v>
      </c>
      <c r="D502" s="80" t="s">
        <v>11</v>
      </c>
      <c r="E502" s="80" t="s">
        <v>139</v>
      </c>
      <c r="F502" s="111">
        <v>0</v>
      </c>
      <c r="G502" s="81"/>
      <c r="H502" s="166" t="e">
        <f t="shared" si="21"/>
        <v>#DIV/0!</v>
      </c>
    </row>
    <row r="503" spans="1:8" ht="15.75">
      <c r="A503" s="16" t="s">
        <v>547</v>
      </c>
      <c r="B503" s="9" t="s">
        <v>299</v>
      </c>
      <c r="C503" s="9" t="s">
        <v>285</v>
      </c>
      <c r="D503" s="9" t="s">
        <v>548</v>
      </c>
      <c r="E503" s="9" t="s">
        <v>315</v>
      </c>
      <c r="F503" s="23">
        <f>F504</f>
        <v>100</v>
      </c>
      <c r="G503" s="23">
        <f>G504</f>
        <v>100</v>
      </c>
      <c r="H503" s="166">
        <f t="shared" si="21"/>
        <v>1</v>
      </c>
    </row>
    <row r="504" spans="1:8" ht="31.5">
      <c r="A504" s="8" t="s">
        <v>137</v>
      </c>
      <c r="B504" s="3" t="s">
        <v>299</v>
      </c>
      <c r="C504" s="3" t="s">
        <v>285</v>
      </c>
      <c r="D504" s="3" t="s">
        <v>548</v>
      </c>
      <c r="E504" s="3" t="s">
        <v>112</v>
      </c>
      <c r="F504" s="22">
        <f>F505</f>
        <v>100</v>
      </c>
      <c r="G504" s="22">
        <f>G505</f>
        <v>100</v>
      </c>
      <c r="H504" s="166">
        <f t="shared" si="21"/>
        <v>1</v>
      </c>
    </row>
    <row r="505" spans="1:8" ht="47.25">
      <c r="A505" s="17" t="s">
        <v>138</v>
      </c>
      <c r="B505" s="3" t="s">
        <v>299</v>
      </c>
      <c r="C505" s="3" t="s">
        <v>285</v>
      </c>
      <c r="D505" s="3" t="s">
        <v>548</v>
      </c>
      <c r="E505" s="3" t="s">
        <v>139</v>
      </c>
      <c r="F505" s="22">
        <f>40+60</f>
        <v>100</v>
      </c>
      <c r="G505" s="81">
        <v>100</v>
      </c>
      <c r="H505" s="166">
        <f t="shared" si="21"/>
        <v>1</v>
      </c>
    </row>
    <row r="506" spans="1:8" s="143" customFormat="1" ht="78.75">
      <c r="A506" s="95" t="s">
        <v>477</v>
      </c>
      <c r="B506" s="83" t="s">
        <v>299</v>
      </c>
      <c r="C506" s="83" t="s">
        <v>285</v>
      </c>
      <c r="D506" s="83" t="s">
        <v>484</v>
      </c>
      <c r="E506" s="83" t="s">
        <v>315</v>
      </c>
      <c r="F506" s="84">
        <f>F507+F509</f>
        <v>2085.31</v>
      </c>
      <c r="G506" s="84">
        <f>G507+G509</f>
        <v>2085.31</v>
      </c>
      <c r="H506" s="166">
        <f t="shared" si="21"/>
        <v>1</v>
      </c>
    </row>
    <row r="507" spans="1:8" ht="94.5">
      <c r="A507" s="79" t="s">
        <v>134</v>
      </c>
      <c r="B507" s="80" t="s">
        <v>299</v>
      </c>
      <c r="C507" s="80" t="s">
        <v>285</v>
      </c>
      <c r="D507" s="80" t="s">
        <v>484</v>
      </c>
      <c r="E507" s="80" t="s">
        <v>108</v>
      </c>
      <c r="F507" s="81">
        <f>F508</f>
        <v>1803.2320599999998</v>
      </c>
      <c r="G507" s="81">
        <f>G508</f>
        <v>1803.23206</v>
      </c>
      <c r="H507" s="166">
        <f t="shared" si="21"/>
        <v>1.0000000000000002</v>
      </c>
    </row>
    <row r="508" spans="1:8" ht="31.5">
      <c r="A508" s="93" t="s">
        <v>136</v>
      </c>
      <c r="B508" s="80" t="s">
        <v>299</v>
      </c>
      <c r="C508" s="80" t="s">
        <v>285</v>
      </c>
      <c r="D508" s="80" t="s">
        <v>484</v>
      </c>
      <c r="E508" s="80" t="s">
        <v>135</v>
      </c>
      <c r="F508" s="22">
        <f>'[1]4'!G369</f>
        <v>1803.2320599999998</v>
      </c>
      <c r="G508" s="81">
        <v>1803.23206</v>
      </c>
      <c r="H508" s="166">
        <f t="shared" si="21"/>
        <v>1.0000000000000002</v>
      </c>
    </row>
    <row r="509" spans="1:8" ht="31.5">
      <c r="A509" s="79" t="s">
        <v>137</v>
      </c>
      <c r="B509" s="80" t="s">
        <v>299</v>
      </c>
      <c r="C509" s="80" t="s">
        <v>285</v>
      </c>
      <c r="D509" s="80" t="s">
        <v>484</v>
      </c>
      <c r="E509" s="80" t="s">
        <v>112</v>
      </c>
      <c r="F509" s="81">
        <f>F510</f>
        <v>282.07793999999996</v>
      </c>
      <c r="G509" s="81">
        <f>G510</f>
        <v>282.07794</v>
      </c>
      <c r="H509" s="166">
        <f t="shared" si="21"/>
        <v>1.0000000000000002</v>
      </c>
    </row>
    <row r="510" spans="1:8" ht="47.25">
      <c r="A510" s="93" t="s">
        <v>138</v>
      </c>
      <c r="B510" s="80" t="s">
        <v>299</v>
      </c>
      <c r="C510" s="80" t="s">
        <v>285</v>
      </c>
      <c r="D510" s="80" t="s">
        <v>484</v>
      </c>
      <c r="E510" s="80" t="s">
        <v>139</v>
      </c>
      <c r="F510" s="22">
        <f>'[1]4'!G371</f>
        <v>282.07793999999996</v>
      </c>
      <c r="G510" s="81">
        <v>282.07794</v>
      </c>
      <c r="H510" s="166">
        <f t="shared" si="21"/>
        <v>1.0000000000000002</v>
      </c>
    </row>
    <row r="511" spans="1:8" s="143" customFormat="1" ht="15.75">
      <c r="A511" s="73" t="s">
        <v>133</v>
      </c>
      <c r="B511" s="74" t="s">
        <v>288</v>
      </c>
      <c r="C511" s="74" t="s">
        <v>104</v>
      </c>
      <c r="D511" s="74" t="s">
        <v>243</v>
      </c>
      <c r="E511" s="74" t="s">
        <v>315</v>
      </c>
      <c r="F511" s="75">
        <f>F512+F570</f>
        <v>18528.078169999997</v>
      </c>
      <c r="G511" s="75">
        <f>G512+G570</f>
        <v>18080.66684</v>
      </c>
      <c r="H511" s="265">
        <f t="shared" si="21"/>
        <v>0.9758522537580596</v>
      </c>
    </row>
    <row r="512" spans="1:9" s="138" customFormat="1" ht="15.75">
      <c r="A512" s="76" t="s">
        <v>339</v>
      </c>
      <c r="B512" s="77" t="s">
        <v>288</v>
      </c>
      <c r="C512" s="77" t="s">
        <v>103</v>
      </c>
      <c r="D512" s="77" t="s">
        <v>243</v>
      </c>
      <c r="E512" s="77" t="s">
        <v>315</v>
      </c>
      <c r="F512" s="78">
        <f>F513</f>
        <v>16523.06617</v>
      </c>
      <c r="G512" s="78">
        <f>G513</f>
        <v>16080.70174</v>
      </c>
      <c r="H512" s="267">
        <f t="shared" si="21"/>
        <v>0.9732274612079461</v>
      </c>
      <c r="I512" s="147"/>
    </row>
    <row r="513" spans="1:8" s="138" customFormat="1" ht="47.25">
      <c r="A513" s="82" t="s">
        <v>714</v>
      </c>
      <c r="B513" s="83" t="s">
        <v>288</v>
      </c>
      <c r="C513" s="83" t="s">
        <v>103</v>
      </c>
      <c r="D513" s="83" t="s">
        <v>66</v>
      </c>
      <c r="E513" s="83" t="s">
        <v>315</v>
      </c>
      <c r="F513" s="84">
        <f>F514+F528+F534+F567+F519+F546+F553+F531+F560</f>
        <v>16523.06617</v>
      </c>
      <c r="G513" s="84">
        <f>G514+G528+G534+G567+G519+G546+G553+G531+G560</f>
        <v>16080.70174</v>
      </c>
      <c r="H513" s="166">
        <f t="shared" si="21"/>
        <v>0.9732274612079461</v>
      </c>
    </row>
    <row r="514" spans="1:9" ht="63">
      <c r="A514" s="101" t="s">
        <v>390</v>
      </c>
      <c r="B514" s="80" t="s">
        <v>288</v>
      </c>
      <c r="C514" s="80" t="s">
        <v>103</v>
      </c>
      <c r="D514" s="80" t="s">
        <v>67</v>
      </c>
      <c r="E514" s="80" t="s">
        <v>315</v>
      </c>
      <c r="F514" s="22">
        <f>F515+F517</f>
        <v>9426.554999999997</v>
      </c>
      <c r="G514" s="22">
        <f>G515+G517</f>
        <v>9134.567579999999</v>
      </c>
      <c r="H514" s="166">
        <f t="shared" si="21"/>
        <v>0.9690250128493392</v>
      </c>
      <c r="I514" s="139"/>
    </row>
    <row r="515" spans="1:8" ht="47.25">
      <c r="A515" s="79" t="s">
        <v>160</v>
      </c>
      <c r="B515" s="80" t="s">
        <v>288</v>
      </c>
      <c r="C515" s="80" t="s">
        <v>103</v>
      </c>
      <c r="D515" s="80" t="s">
        <v>68</v>
      </c>
      <c r="E515" s="80" t="s">
        <v>161</v>
      </c>
      <c r="F515" s="22">
        <f>F516</f>
        <v>9065.085999999998</v>
      </c>
      <c r="G515" s="22">
        <f>G516</f>
        <v>8773.09858</v>
      </c>
      <c r="H515" s="166">
        <f t="shared" si="21"/>
        <v>0.9677898896932696</v>
      </c>
    </row>
    <row r="516" spans="1:8" ht="15.75">
      <c r="A516" s="79" t="s">
        <v>162</v>
      </c>
      <c r="B516" s="80" t="s">
        <v>288</v>
      </c>
      <c r="C516" s="80" t="s">
        <v>103</v>
      </c>
      <c r="D516" s="80" t="s">
        <v>69</v>
      </c>
      <c r="E516" s="80" t="s">
        <v>220</v>
      </c>
      <c r="F516" s="22">
        <f>'[1]5'!D125</f>
        <v>9065.085999999998</v>
      </c>
      <c r="G516" s="81">
        <v>8773.09858</v>
      </c>
      <c r="H516" s="166">
        <f t="shared" si="21"/>
        <v>0.9677898896932696</v>
      </c>
    </row>
    <row r="517" spans="1:8" ht="110.25">
      <c r="A517" s="79" t="s">
        <v>85</v>
      </c>
      <c r="B517" s="80" t="s">
        <v>288</v>
      </c>
      <c r="C517" s="80" t="s">
        <v>103</v>
      </c>
      <c r="D517" s="80" t="s">
        <v>84</v>
      </c>
      <c r="E517" s="80" t="s">
        <v>220</v>
      </c>
      <c r="F517" s="22">
        <f>F518</f>
        <v>361.469</v>
      </c>
      <c r="G517" s="22">
        <f>G518</f>
        <v>361.469</v>
      </c>
      <c r="H517" s="166">
        <f t="shared" si="21"/>
        <v>1</v>
      </c>
    </row>
    <row r="518" spans="1:8" ht="15.75">
      <c r="A518" s="79" t="s">
        <v>162</v>
      </c>
      <c r="B518" s="80" t="s">
        <v>288</v>
      </c>
      <c r="C518" s="80" t="s">
        <v>103</v>
      </c>
      <c r="D518" s="80" t="s">
        <v>84</v>
      </c>
      <c r="E518" s="80" t="s">
        <v>220</v>
      </c>
      <c r="F518" s="22">
        <f>'[1]5'!D126</f>
        <v>361.469</v>
      </c>
      <c r="G518" s="81">
        <v>361.469</v>
      </c>
      <c r="H518" s="166">
        <f t="shared" si="21"/>
        <v>1</v>
      </c>
    </row>
    <row r="519" spans="1:8" ht="110.25" hidden="1">
      <c r="A519" s="79" t="s">
        <v>516</v>
      </c>
      <c r="B519" s="80" t="s">
        <v>288</v>
      </c>
      <c r="C519" s="80" t="s">
        <v>103</v>
      </c>
      <c r="D519" s="80" t="s">
        <v>528</v>
      </c>
      <c r="E519" s="80" t="s">
        <v>315</v>
      </c>
      <c r="F519" s="22">
        <f>F520</f>
        <v>0</v>
      </c>
      <c r="G519" s="81"/>
      <c r="H519" s="166" t="e">
        <f t="shared" si="21"/>
        <v>#DIV/0!</v>
      </c>
    </row>
    <row r="520" spans="1:8" ht="15.75" hidden="1">
      <c r="A520" s="79" t="s">
        <v>162</v>
      </c>
      <c r="B520" s="80" t="s">
        <v>288</v>
      </c>
      <c r="C520" s="80" t="s">
        <v>103</v>
      </c>
      <c r="D520" s="80" t="s">
        <v>528</v>
      </c>
      <c r="E520" s="80" t="s">
        <v>220</v>
      </c>
      <c r="F520" s="22"/>
      <c r="G520" s="81"/>
      <c r="H520" s="166" t="e">
        <f t="shared" si="21"/>
        <v>#DIV/0!</v>
      </c>
    </row>
    <row r="521" spans="1:8" ht="78.75" hidden="1">
      <c r="A521" s="103" t="s">
        <v>430</v>
      </c>
      <c r="B521" s="97" t="s">
        <v>288</v>
      </c>
      <c r="C521" s="97" t="s">
        <v>103</v>
      </c>
      <c r="D521" s="97" t="s">
        <v>67</v>
      </c>
      <c r="E521" s="97" t="s">
        <v>315</v>
      </c>
      <c r="F521" s="30">
        <f>F522+F525</f>
        <v>0</v>
      </c>
      <c r="G521" s="81"/>
      <c r="H521" s="166" t="e">
        <f t="shared" si="21"/>
        <v>#DIV/0!</v>
      </c>
    </row>
    <row r="522" spans="1:8" ht="78.75" hidden="1">
      <c r="A522" s="82" t="s">
        <v>431</v>
      </c>
      <c r="B522" s="83" t="s">
        <v>288</v>
      </c>
      <c r="C522" s="83" t="s">
        <v>103</v>
      </c>
      <c r="D522" s="83" t="s">
        <v>432</v>
      </c>
      <c r="E522" s="83" t="s">
        <v>315</v>
      </c>
      <c r="F522" s="23">
        <f>F523</f>
        <v>0</v>
      </c>
      <c r="G522" s="81"/>
      <c r="H522" s="166" t="e">
        <f t="shared" si="21"/>
        <v>#DIV/0!</v>
      </c>
    </row>
    <row r="523" spans="1:8" ht="47.25" hidden="1">
      <c r="A523" s="79" t="s">
        <v>160</v>
      </c>
      <c r="B523" s="80" t="s">
        <v>288</v>
      </c>
      <c r="C523" s="80" t="s">
        <v>103</v>
      </c>
      <c r="D523" s="80" t="s">
        <v>432</v>
      </c>
      <c r="E523" s="80" t="s">
        <v>161</v>
      </c>
      <c r="F523" s="22">
        <f>F524</f>
        <v>0</v>
      </c>
      <c r="G523" s="81"/>
      <c r="H523" s="166" t="e">
        <f t="shared" si="21"/>
        <v>#DIV/0!</v>
      </c>
    </row>
    <row r="524" spans="1:8" ht="15.75" hidden="1">
      <c r="A524" s="79" t="s">
        <v>162</v>
      </c>
      <c r="B524" s="80" t="s">
        <v>288</v>
      </c>
      <c r="C524" s="80" t="s">
        <v>103</v>
      </c>
      <c r="D524" s="80" t="s">
        <v>432</v>
      </c>
      <c r="E524" s="80" t="s">
        <v>220</v>
      </c>
      <c r="F524" s="22"/>
      <c r="G524" s="81"/>
      <c r="H524" s="166" t="e">
        <f t="shared" si="21"/>
        <v>#DIV/0!</v>
      </c>
    </row>
    <row r="525" spans="1:8" ht="126" hidden="1">
      <c r="A525" s="82" t="s">
        <v>450</v>
      </c>
      <c r="B525" s="83" t="s">
        <v>288</v>
      </c>
      <c r="C525" s="83" t="s">
        <v>103</v>
      </c>
      <c r="D525" s="83" t="s">
        <v>433</v>
      </c>
      <c r="E525" s="83" t="s">
        <v>315</v>
      </c>
      <c r="F525" s="23">
        <f>F526</f>
        <v>0</v>
      </c>
      <c r="G525" s="81"/>
      <c r="H525" s="166" t="e">
        <f t="shared" si="21"/>
        <v>#DIV/0!</v>
      </c>
    </row>
    <row r="526" spans="1:8" ht="47.25" hidden="1">
      <c r="A526" s="79" t="s">
        <v>160</v>
      </c>
      <c r="B526" s="80" t="s">
        <v>288</v>
      </c>
      <c r="C526" s="80" t="s">
        <v>103</v>
      </c>
      <c r="D526" s="80" t="s">
        <v>433</v>
      </c>
      <c r="E526" s="80" t="s">
        <v>161</v>
      </c>
      <c r="F526" s="22">
        <f>F527</f>
        <v>0</v>
      </c>
      <c r="G526" s="81"/>
      <c r="H526" s="166" t="e">
        <f t="shared" si="21"/>
        <v>#DIV/0!</v>
      </c>
    </row>
    <row r="527" spans="1:8" ht="15.75" hidden="1">
      <c r="A527" s="79" t="s">
        <v>162</v>
      </c>
      <c r="B527" s="80" t="s">
        <v>288</v>
      </c>
      <c r="C527" s="80" t="s">
        <v>103</v>
      </c>
      <c r="D527" s="80" t="s">
        <v>433</v>
      </c>
      <c r="E527" s="80" t="s">
        <v>220</v>
      </c>
      <c r="F527" s="22"/>
      <c r="G527" s="81"/>
      <c r="H527" s="166" t="e">
        <f t="shared" si="21"/>
        <v>#DIV/0!</v>
      </c>
    </row>
    <row r="528" spans="1:8" ht="63">
      <c r="A528" s="101" t="s">
        <v>391</v>
      </c>
      <c r="B528" s="80" t="s">
        <v>288</v>
      </c>
      <c r="C528" s="80" t="s">
        <v>103</v>
      </c>
      <c r="D528" s="80" t="s">
        <v>70</v>
      </c>
      <c r="E528" s="80" t="s">
        <v>315</v>
      </c>
      <c r="F528" s="22">
        <f>F529</f>
        <v>4327.5650000000005</v>
      </c>
      <c r="G528" s="22">
        <f>G529</f>
        <v>4276.29796</v>
      </c>
      <c r="H528" s="166">
        <f t="shared" si="21"/>
        <v>0.9881533749348651</v>
      </c>
    </row>
    <row r="529" spans="1:8" ht="47.25">
      <c r="A529" s="79" t="s">
        <v>160</v>
      </c>
      <c r="B529" s="80" t="s">
        <v>288</v>
      </c>
      <c r="C529" s="80" t="s">
        <v>103</v>
      </c>
      <c r="D529" s="80" t="s">
        <v>70</v>
      </c>
      <c r="E529" s="80" t="s">
        <v>161</v>
      </c>
      <c r="F529" s="22">
        <f>F530</f>
        <v>4327.5650000000005</v>
      </c>
      <c r="G529" s="22">
        <f>G530</f>
        <v>4276.29796</v>
      </c>
      <c r="H529" s="166">
        <f t="shared" si="21"/>
        <v>0.9881533749348651</v>
      </c>
    </row>
    <row r="530" spans="1:8" ht="15.75">
      <c r="A530" s="79" t="s">
        <v>162</v>
      </c>
      <c r="B530" s="80" t="s">
        <v>288</v>
      </c>
      <c r="C530" s="80" t="s">
        <v>103</v>
      </c>
      <c r="D530" s="80" t="s">
        <v>70</v>
      </c>
      <c r="E530" s="80" t="s">
        <v>220</v>
      </c>
      <c r="F530" s="22">
        <f>'[1]5'!D144</f>
        <v>4327.5650000000005</v>
      </c>
      <c r="G530" s="81">
        <v>4276.29796</v>
      </c>
      <c r="H530" s="166">
        <f t="shared" si="21"/>
        <v>0.9881533749348651</v>
      </c>
    </row>
    <row r="531" spans="1:8" ht="110.25" hidden="1">
      <c r="A531" s="103" t="s">
        <v>715</v>
      </c>
      <c r="B531" s="97" t="s">
        <v>288</v>
      </c>
      <c r="C531" s="97" t="s">
        <v>103</v>
      </c>
      <c r="D531" s="5" t="s">
        <v>716</v>
      </c>
      <c r="E531" s="97" t="s">
        <v>315</v>
      </c>
      <c r="F531" s="30">
        <f>F532+F533</f>
        <v>0</v>
      </c>
      <c r="G531" s="81"/>
      <c r="H531" s="166" t="e">
        <f t="shared" si="21"/>
        <v>#DIV/0!</v>
      </c>
    </row>
    <row r="532" spans="1:8" ht="110.25" hidden="1">
      <c r="A532" s="79" t="s">
        <v>717</v>
      </c>
      <c r="B532" s="80" t="s">
        <v>288</v>
      </c>
      <c r="C532" s="80" t="s">
        <v>103</v>
      </c>
      <c r="D532" s="3" t="s">
        <v>718</v>
      </c>
      <c r="E532" s="80" t="s">
        <v>220</v>
      </c>
      <c r="F532" s="81">
        <v>0</v>
      </c>
      <c r="G532" s="81"/>
      <c r="H532" s="166" t="e">
        <f t="shared" si="21"/>
        <v>#DIV/0!</v>
      </c>
    </row>
    <row r="533" spans="1:8" ht="141.75" hidden="1">
      <c r="A533" s="79" t="s">
        <v>719</v>
      </c>
      <c r="B533" s="80" t="s">
        <v>288</v>
      </c>
      <c r="C533" s="80" t="s">
        <v>103</v>
      </c>
      <c r="D533" s="3" t="s">
        <v>720</v>
      </c>
      <c r="E533" s="80" t="s">
        <v>220</v>
      </c>
      <c r="F533" s="81">
        <v>0</v>
      </c>
      <c r="G533" s="81"/>
      <c r="H533" s="166" t="e">
        <f t="shared" si="21"/>
        <v>#DIV/0!</v>
      </c>
    </row>
    <row r="534" spans="1:8" ht="63">
      <c r="A534" s="103" t="s">
        <v>434</v>
      </c>
      <c r="B534" s="80" t="s">
        <v>288</v>
      </c>
      <c r="C534" s="80" t="s">
        <v>103</v>
      </c>
      <c r="D534" s="97" t="s">
        <v>435</v>
      </c>
      <c r="E534" s="97" t="s">
        <v>315</v>
      </c>
      <c r="F534" s="98">
        <f>F535+F538</f>
        <v>169.70202</v>
      </c>
      <c r="G534" s="172">
        <f>G535+G538</f>
        <v>169.70202</v>
      </c>
      <c r="H534" s="166">
        <f t="shared" si="21"/>
        <v>1</v>
      </c>
    </row>
    <row r="535" spans="1:8" ht="78.75">
      <c r="A535" s="79" t="s">
        <v>721</v>
      </c>
      <c r="B535" s="80" t="s">
        <v>288</v>
      </c>
      <c r="C535" s="80" t="s">
        <v>103</v>
      </c>
      <c r="D535" s="80" t="s">
        <v>436</v>
      </c>
      <c r="E535" s="80" t="s">
        <v>315</v>
      </c>
      <c r="F535" s="81">
        <f>F536</f>
        <v>168.005</v>
      </c>
      <c r="G535" s="81">
        <f>G536</f>
        <v>168.005</v>
      </c>
      <c r="H535" s="166">
        <f t="shared" si="21"/>
        <v>1</v>
      </c>
    </row>
    <row r="536" spans="1:8" ht="47.25">
      <c r="A536" s="79" t="s">
        <v>160</v>
      </c>
      <c r="B536" s="80" t="s">
        <v>288</v>
      </c>
      <c r="C536" s="80" t="s">
        <v>103</v>
      </c>
      <c r="D536" s="80" t="s">
        <v>436</v>
      </c>
      <c r="E536" s="80" t="s">
        <v>161</v>
      </c>
      <c r="F536" s="81">
        <f>F537</f>
        <v>168.005</v>
      </c>
      <c r="G536" s="81">
        <f>G537</f>
        <v>168.005</v>
      </c>
      <c r="H536" s="166">
        <f t="shared" si="21"/>
        <v>1</v>
      </c>
    </row>
    <row r="537" spans="1:8" ht="15.75">
      <c r="A537" s="79" t="s">
        <v>162</v>
      </c>
      <c r="B537" s="80" t="s">
        <v>288</v>
      </c>
      <c r="C537" s="80" t="s">
        <v>103</v>
      </c>
      <c r="D537" s="80" t="s">
        <v>436</v>
      </c>
      <c r="E537" s="80" t="s">
        <v>220</v>
      </c>
      <c r="F537" s="81">
        <v>168.005</v>
      </c>
      <c r="G537" s="81">
        <v>168.005</v>
      </c>
      <c r="H537" s="166">
        <f t="shared" si="21"/>
        <v>1</v>
      </c>
    </row>
    <row r="538" spans="1:8" ht="110.25">
      <c r="A538" s="79" t="s">
        <v>722</v>
      </c>
      <c r="B538" s="80" t="s">
        <v>288</v>
      </c>
      <c r="C538" s="80" t="s">
        <v>103</v>
      </c>
      <c r="D538" s="80" t="s">
        <v>723</v>
      </c>
      <c r="E538" s="80" t="s">
        <v>315</v>
      </c>
      <c r="F538" s="81">
        <f>F539</f>
        <v>1.69702</v>
      </c>
      <c r="G538" s="81">
        <f>G539</f>
        <v>1.69702</v>
      </c>
      <c r="H538" s="166">
        <f t="shared" si="21"/>
        <v>1</v>
      </c>
    </row>
    <row r="539" spans="1:8" ht="47.25">
      <c r="A539" s="79" t="s">
        <v>160</v>
      </c>
      <c r="B539" s="80" t="s">
        <v>288</v>
      </c>
      <c r="C539" s="80" t="s">
        <v>103</v>
      </c>
      <c r="D539" s="80" t="s">
        <v>723</v>
      </c>
      <c r="E539" s="80" t="s">
        <v>161</v>
      </c>
      <c r="F539" s="81">
        <f>F540</f>
        <v>1.69702</v>
      </c>
      <c r="G539" s="81">
        <f>G540</f>
        <v>1.69702</v>
      </c>
      <c r="H539" s="166">
        <f t="shared" si="21"/>
        <v>1</v>
      </c>
    </row>
    <row r="540" spans="1:8" ht="15.75">
      <c r="A540" s="79" t="s">
        <v>162</v>
      </c>
      <c r="B540" s="80" t="s">
        <v>288</v>
      </c>
      <c r="C540" s="80" t="s">
        <v>103</v>
      </c>
      <c r="D540" s="80" t="s">
        <v>723</v>
      </c>
      <c r="E540" s="80" t="s">
        <v>220</v>
      </c>
      <c r="F540" s="81">
        <v>1.69702</v>
      </c>
      <c r="G540" s="81">
        <v>1.69702</v>
      </c>
      <c r="H540" s="166">
        <f t="shared" si="21"/>
        <v>1</v>
      </c>
    </row>
    <row r="541" spans="1:8" ht="47.25" hidden="1">
      <c r="A541" s="103" t="s">
        <v>584</v>
      </c>
      <c r="B541" s="80" t="s">
        <v>288</v>
      </c>
      <c r="C541" s="80" t="s">
        <v>103</v>
      </c>
      <c r="D541" s="97" t="s">
        <v>67</v>
      </c>
      <c r="E541" s="97" t="s">
        <v>315</v>
      </c>
      <c r="F541" s="98">
        <f>F542+F544</f>
        <v>0</v>
      </c>
      <c r="G541" s="81"/>
      <c r="H541" s="166" t="e">
        <f t="shared" si="21"/>
        <v>#DIV/0!</v>
      </c>
    </row>
    <row r="542" spans="1:8" ht="78.75" hidden="1">
      <c r="A542" s="82" t="s">
        <v>583</v>
      </c>
      <c r="B542" s="80" t="s">
        <v>288</v>
      </c>
      <c r="C542" s="80" t="s">
        <v>103</v>
      </c>
      <c r="D542" s="83" t="s">
        <v>562</v>
      </c>
      <c r="E542" s="83" t="s">
        <v>161</v>
      </c>
      <c r="F542" s="81">
        <f>F543</f>
        <v>0</v>
      </c>
      <c r="G542" s="81"/>
      <c r="H542" s="166" t="e">
        <f t="shared" si="21"/>
        <v>#DIV/0!</v>
      </c>
    </row>
    <row r="543" spans="1:8" ht="15.75" hidden="1">
      <c r="A543" s="79" t="s">
        <v>162</v>
      </c>
      <c r="B543" s="80" t="s">
        <v>288</v>
      </c>
      <c r="C543" s="80" t="s">
        <v>103</v>
      </c>
      <c r="D543" s="83" t="s">
        <v>562</v>
      </c>
      <c r="E543" s="80" t="s">
        <v>220</v>
      </c>
      <c r="F543" s="81">
        <v>0</v>
      </c>
      <c r="G543" s="81"/>
      <c r="H543" s="166" t="e">
        <f t="shared" si="21"/>
        <v>#DIV/0!</v>
      </c>
    </row>
    <row r="544" spans="1:8" ht="94.5" hidden="1">
      <c r="A544" s="82" t="s">
        <v>561</v>
      </c>
      <c r="B544" s="80" t="s">
        <v>288</v>
      </c>
      <c r="C544" s="80" t="s">
        <v>103</v>
      </c>
      <c r="D544" s="83" t="s">
        <v>563</v>
      </c>
      <c r="E544" s="83" t="s">
        <v>161</v>
      </c>
      <c r="F544" s="84">
        <f>F545</f>
        <v>0</v>
      </c>
      <c r="G544" s="81"/>
      <c r="H544" s="166" t="e">
        <f t="shared" si="21"/>
        <v>#DIV/0!</v>
      </c>
    </row>
    <row r="545" spans="1:8" ht="15.75" hidden="1">
      <c r="A545" s="79" t="s">
        <v>162</v>
      </c>
      <c r="B545" s="80" t="s">
        <v>288</v>
      </c>
      <c r="C545" s="80" t="s">
        <v>103</v>
      </c>
      <c r="D545" s="80" t="s">
        <v>585</v>
      </c>
      <c r="E545" s="80" t="s">
        <v>220</v>
      </c>
      <c r="F545" s="81"/>
      <c r="G545" s="81"/>
      <c r="H545" s="166" t="e">
        <f t="shared" si="21"/>
        <v>#DIV/0!</v>
      </c>
    </row>
    <row r="546" spans="1:8" ht="47.25" hidden="1">
      <c r="A546" s="103" t="s">
        <v>631</v>
      </c>
      <c r="B546" s="97" t="s">
        <v>288</v>
      </c>
      <c r="C546" s="97" t="s">
        <v>103</v>
      </c>
      <c r="D546" s="97" t="s">
        <v>67</v>
      </c>
      <c r="E546" s="97" t="s">
        <v>315</v>
      </c>
      <c r="F546" s="98">
        <f>F547+F550</f>
        <v>0</v>
      </c>
      <c r="G546" s="81"/>
      <c r="H546" s="166" t="e">
        <f t="shared" si="21"/>
        <v>#DIV/0!</v>
      </c>
    </row>
    <row r="547" spans="1:8" ht="78.75" hidden="1">
      <c r="A547" s="79" t="s">
        <v>628</v>
      </c>
      <c r="B547" s="80" t="s">
        <v>288</v>
      </c>
      <c r="C547" s="80" t="s">
        <v>103</v>
      </c>
      <c r="D547" s="80" t="s">
        <v>630</v>
      </c>
      <c r="E547" s="80" t="s">
        <v>315</v>
      </c>
      <c r="F547" s="81">
        <f>F548</f>
        <v>0</v>
      </c>
      <c r="G547" s="81"/>
      <c r="H547" s="166" t="e">
        <f t="shared" si="21"/>
        <v>#DIV/0!</v>
      </c>
    </row>
    <row r="548" spans="1:8" ht="47.25" hidden="1">
      <c r="A548" s="79" t="s">
        <v>160</v>
      </c>
      <c r="B548" s="80" t="s">
        <v>288</v>
      </c>
      <c r="C548" s="80" t="s">
        <v>103</v>
      </c>
      <c r="D548" s="80" t="s">
        <v>630</v>
      </c>
      <c r="E548" s="80" t="s">
        <v>161</v>
      </c>
      <c r="F548" s="81">
        <f>F549</f>
        <v>0</v>
      </c>
      <c r="G548" s="81"/>
      <c r="H548" s="166" t="e">
        <f t="shared" si="21"/>
        <v>#DIV/0!</v>
      </c>
    </row>
    <row r="549" spans="1:8" ht="15.75" hidden="1">
      <c r="A549" s="79" t="s">
        <v>162</v>
      </c>
      <c r="B549" s="80" t="s">
        <v>288</v>
      </c>
      <c r="C549" s="80" t="s">
        <v>103</v>
      </c>
      <c r="D549" s="80" t="s">
        <v>630</v>
      </c>
      <c r="E549" s="80" t="s">
        <v>220</v>
      </c>
      <c r="F549" s="81"/>
      <c r="G549" s="81"/>
      <c r="H549" s="166" t="e">
        <f t="shared" si="21"/>
        <v>#DIV/0!</v>
      </c>
    </row>
    <row r="550" spans="1:8" ht="94.5" hidden="1">
      <c r="A550" s="79" t="s">
        <v>629</v>
      </c>
      <c r="B550" s="80" t="s">
        <v>288</v>
      </c>
      <c r="C550" s="80" t="s">
        <v>103</v>
      </c>
      <c r="D550" s="80" t="s">
        <v>724</v>
      </c>
      <c r="E550" s="80" t="s">
        <v>315</v>
      </c>
      <c r="F550" s="81">
        <f>F551</f>
        <v>0</v>
      </c>
      <c r="G550" s="81"/>
      <c r="H550" s="166" t="e">
        <f t="shared" si="21"/>
        <v>#DIV/0!</v>
      </c>
    </row>
    <row r="551" spans="1:8" ht="47.25" hidden="1">
      <c r="A551" s="79" t="s">
        <v>160</v>
      </c>
      <c r="B551" s="80" t="s">
        <v>288</v>
      </c>
      <c r="C551" s="80" t="s">
        <v>103</v>
      </c>
      <c r="D551" s="80" t="s">
        <v>724</v>
      </c>
      <c r="E551" s="80" t="s">
        <v>161</v>
      </c>
      <c r="F551" s="81">
        <f>F552</f>
        <v>0</v>
      </c>
      <c r="G551" s="81"/>
      <c r="H551" s="166" t="e">
        <f t="shared" si="21"/>
        <v>#DIV/0!</v>
      </c>
    </row>
    <row r="552" spans="1:8" ht="15.75" hidden="1">
      <c r="A552" s="79" t="s">
        <v>162</v>
      </c>
      <c r="B552" s="80" t="s">
        <v>288</v>
      </c>
      <c r="C552" s="80" t="s">
        <v>103</v>
      </c>
      <c r="D552" s="80" t="s">
        <v>724</v>
      </c>
      <c r="E552" s="80" t="s">
        <v>220</v>
      </c>
      <c r="F552" s="81"/>
      <c r="G552" s="81"/>
      <c r="H552" s="166" t="e">
        <f t="shared" si="21"/>
        <v>#DIV/0!</v>
      </c>
    </row>
    <row r="553" spans="1:8" ht="63">
      <c r="A553" s="14" t="s">
        <v>635</v>
      </c>
      <c r="B553" s="20" t="s">
        <v>288</v>
      </c>
      <c r="C553" s="20" t="s">
        <v>103</v>
      </c>
      <c r="D553" s="20" t="s">
        <v>243</v>
      </c>
      <c r="E553" s="20" t="s">
        <v>315</v>
      </c>
      <c r="F553" s="28">
        <f>F554+F557</f>
        <v>102.06143</v>
      </c>
      <c r="G553" s="28">
        <f>G554+G557</f>
        <v>102.06143</v>
      </c>
      <c r="H553" s="166">
        <f t="shared" si="21"/>
        <v>1</v>
      </c>
    </row>
    <row r="554" spans="1:8" ht="94.5">
      <c r="A554" s="8" t="s">
        <v>640</v>
      </c>
      <c r="B554" s="3" t="s">
        <v>288</v>
      </c>
      <c r="C554" s="3" t="s">
        <v>103</v>
      </c>
      <c r="D554" s="3" t="s">
        <v>642</v>
      </c>
      <c r="E554" s="3" t="s">
        <v>315</v>
      </c>
      <c r="F554" s="22">
        <f>F555</f>
        <v>102.04082</v>
      </c>
      <c r="G554" s="22">
        <f>G555</f>
        <v>102.04082</v>
      </c>
      <c r="H554" s="166">
        <f aca="true" t="shared" si="22" ref="H554:H617">G554/F554</f>
        <v>1</v>
      </c>
    </row>
    <row r="555" spans="1:8" ht="47.25">
      <c r="A555" s="8" t="s">
        <v>160</v>
      </c>
      <c r="B555" s="3" t="s">
        <v>288</v>
      </c>
      <c r="C555" s="3" t="s">
        <v>103</v>
      </c>
      <c r="D555" s="3" t="s">
        <v>642</v>
      </c>
      <c r="E555" s="3" t="s">
        <v>161</v>
      </c>
      <c r="F555" s="22">
        <f>F556</f>
        <v>102.04082</v>
      </c>
      <c r="G555" s="22">
        <f>G556</f>
        <v>102.04082</v>
      </c>
      <c r="H555" s="166">
        <f t="shared" si="22"/>
        <v>1</v>
      </c>
    </row>
    <row r="556" spans="1:8" ht="15.75">
      <c r="A556" s="8" t="s">
        <v>162</v>
      </c>
      <c r="B556" s="3" t="s">
        <v>288</v>
      </c>
      <c r="C556" s="3" t="s">
        <v>103</v>
      </c>
      <c r="D556" s="3" t="s">
        <v>642</v>
      </c>
      <c r="E556" s="3" t="s">
        <v>220</v>
      </c>
      <c r="F556" s="22">
        <v>102.04082</v>
      </c>
      <c r="G556" s="81">
        <v>102.04082</v>
      </c>
      <c r="H556" s="166">
        <f t="shared" si="22"/>
        <v>1</v>
      </c>
    </row>
    <row r="557" spans="1:8" ht="110.25">
      <c r="A557" s="8" t="s">
        <v>636</v>
      </c>
      <c r="B557" s="3" t="s">
        <v>288</v>
      </c>
      <c r="C557" s="3" t="s">
        <v>103</v>
      </c>
      <c r="D557" s="3" t="s">
        <v>642</v>
      </c>
      <c r="E557" s="3" t="s">
        <v>315</v>
      </c>
      <c r="F557" s="22">
        <f>F558</f>
        <v>0.02061</v>
      </c>
      <c r="G557" s="22">
        <f>G558</f>
        <v>0.02061</v>
      </c>
      <c r="H557" s="166">
        <f t="shared" si="22"/>
        <v>1</v>
      </c>
    </row>
    <row r="558" spans="1:8" ht="47.25">
      <c r="A558" s="8" t="s">
        <v>160</v>
      </c>
      <c r="B558" s="3" t="s">
        <v>288</v>
      </c>
      <c r="C558" s="3" t="s">
        <v>103</v>
      </c>
      <c r="D558" s="3" t="s">
        <v>642</v>
      </c>
      <c r="E558" s="3" t="s">
        <v>161</v>
      </c>
      <c r="F558" s="22">
        <f>F559</f>
        <v>0.02061</v>
      </c>
      <c r="G558" s="22">
        <f>G559</f>
        <v>0.02061</v>
      </c>
      <c r="H558" s="166">
        <f t="shared" si="22"/>
        <v>1</v>
      </c>
    </row>
    <row r="559" spans="1:8" ht="15.75">
      <c r="A559" s="8" t="s">
        <v>162</v>
      </c>
      <c r="B559" s="3" t="s">
        <v>288</v>
      </c>
      <c r="C559" s="3" t="s">
        <v>103</v>
      </c>
      <c r="D559" s="3" t="s">
        <v>642</v>
      </c>
      <c r="E559" s="3" t="s">
        <v>220</v>
      </c>
      <c r="F559" s="22">
        <f>20.61/1000</f>
        <v>0.02061</v>
      </c>
      <c r="G559" s="81">
        <v>0.02061</v>
      </c>
      <c r="H559" s="166">
        <f t="shared" si="22"/>
        <v>1</v>
      </c>
    </row>
    <row r="560" spans="1:8" ht="71.25">
      <c r="A560" s="24" t="s">
        <v>725</v>
      </c>
      <c r="B560" s="20" t="s">
        <v>288</v>
      </c>
      <c r="C560" s="20" t="s">
        <v>103</v>
      </c>
      <c r="D560" s="20" t="s">
        <v>243</v>
      </c>
      <c r="E560" s="20" t="s">
        <v>315</v>
      </c>
      <c r="F560" s="28">
        <f>F561+F564</f>
        <v>51.030719999999995</v>
      </c>
      <c r="G560" s="28">
        <f>G561+G564</f>
        <v>51.030719999999995</v>
      </c>
      <c r="H560" s="166">
        <f t="shared" si="22"/>
        <v>1</v>
      </c>
    </row>
    <row r="561" spans="1:8" ht="75">
      <c r="A561" s="99" t="s">
        <v>726</v>
      </c>
      <c r="B561" s="80" t="s">
        <v>288</v>
      </c>
      <c r="C561" s="80" t="s">
        <v>103</v>
      </c>
      <c r="D561" s="80" t="s">
        <v>727</v>
      </c>
      <c r="E561" s="80" t="s">
        <v>315</v>
      </c>
      <c r="F561" s="81">
        <f>F562</f>
        <v>51.02041</v>
      </c>
      <c r="G561" s="81">
        <f>G562</f>
        <v>51.02041</v>
      </c>
      <c r="H561" s="166">
        <f t="shared" si="22"/>
        <v>1</v>
      </c>
    </row>
    <row r="562" spans="1:8" ht="45">
      <c r="A562" s="99" t="s">
        <v>160</v>
      </c>
      <c r="B562" s="80" t="s">
        <v>288</v>
      </c>
      <c r="C562" s="80" t="s">
        <v>103</v>
      </c>
      <c r="D562" s="80" t="s">
        <v>727</v>
      </c>
      <c r="E562" s="80" t="s">
        <v>161</v>
      </c>
      <c r="F562" s="81">
        <f>F563</f>
        <v>51.02041</v>
      </c>
      <c r="G562" s="81">
        <f>G563</f>
        <v>51.02041</v>
      </c>
      <c r="H562" s="166">
        <f t="shared" si="22"/>
        <v>1</v>
      </c>
    </row>
    <row r="563" spans="1:8" ht="15.75">
      <c r="A563" s="99" t="s">
        <v>162</v>
      </c>
      <c r="B563" s="80" t="s">
        <v>288</v>
      </c>
      <c r="C563" s="80" t="s">
        <v>103</v>
      </c>
      <c r="D563" s="3" t="s">
        <v>727</v>
      </c>
      <c r="E563" s="80" t="s">
        <v>220</v>
      </c>
      <c r="F563" s="81">
        <v>51.02041</v>
      </c>
      <c r="G563" s="81">
        <v>51.02041</v>
      </c>
      <c r="H563" s="166">
        <f t="shared" si="22"/>
        <v>1</v>
      </c>
    </row>
    <row r="564" spans="1:8" ht="105">
      <c r="A564" s="4" t="s">
        <v>728</v>
      </c>
      <c r="B564" s="3" t="s">
        <v>288</v>
      </c>
      <c r="C564" s="3" t="s">
        <v>103</v>
      </c>
      <c r="D564" s="3" t="s">
        <v>727</v>
      </c>
      <c r="E564" s="3" t="s">
        <v>315</v>
      </c>
      <c r="F564" s="22">
        <f>F565</f>
        <v>0.01031</v>
      </c>
      <c r="G564" s="22">
        <f>G565</f>
        <v>0.01031</v>
      </c>
      <c r="H564" s="166">
        <f t="shared" si="22"/>
        <v>1</v>
      </c>
    </row>
    <row r="565" spans="1:8" ht="45">
      <c r="A565" s="99" t="s">
        <v>160</v>
      </c>
      <c r="B565" s="80" t="s">
        <v>288</v>
      </c>
      <c r="C565" s="80" t="s">
        <v>103</v>
      </c>
      <c r="D565" s="80" t="s">
        <v>727</v>
      </c>
      <c r="E565" s="80" t="s">
        <v>161</v>
      </c>
      <c r="F565" s="81">
        <f>F566</f>
        <v>0.01031</v>
      </c>
      <c r="G565" s="81">
        <f>G566</f>
        <v>0.01031</v>
      </c>
      <c r="H565" s="166">
        <f t="shared" si="22"/>
        <v>1</v>
      </c>
    </row>
    <row r="566" spans="1:8" ht="15.75">
      <c r="A566" s="99" t="s">
        <v>162</v>
      </c>
      <c r="B566" s="80" t="s">
        <v>288</v>
      </c>
      <c r="C566" s="80" t="s">
        <v>103</v>
      </c>
      <c r="D566" s="3" t="s">
        <v>727</v>
      </c>
      <c r="E566" s="80" t="s">
        <v>220</v>
      </c>
      <c r="F566" s="81">
        <f>10.31/1000</f>
        <v>0.01031</v>
      </c>
      <c r="G566" s="81">
        <f>10.31/1000</f>
        <v>0.01031</v>
      </c>
      <c r="H566" s="166">
        <f t="shared" si="22"/>
        <v>1</v>
      </c>
    </row>
    <row r="567" spans="1:8" ht="110.25">
      <c r="A567" s="101" t="s">
        <v>392</v>
      </c>
      <c r="B567" s="80" t="s">
        <v>288</v>
      </c>
      <c r="C567" s="80" t="s">
        <v>103</v>
      </c>
      <c r="D567" s="80" t="s">
        <v>71</v>
      </c>
      <c r="E567" s="80" t="s">
        <v>315</v>
      </c>
      <c r="F567" s="81">
        <f>F568</f>
        <v>2446.152</v>
      </c>
      <c r="G567" s="81">
        <f>G568</f>
        <v>2347.04203</v>
      </c>
      <c r="H567" s="166">
        <f t="shared" si="22"/>
        <v>0.9594833150188541</v>
      </c>
    </row>
    <row r="568" spans="1:8" ht="47.25">
      <c r="A568" s="79" t="s">
        <v>160</v>
      </c>
      <c r="B568" s="80" t="s">
        <v>288</v>
      </c>
      <c r="C568" s="80" t="s">
        <v>103</v>
      </c>
      <c r="D568" s="80" t="s">
        <v>71</v>
      </c>
      <c r="E568" s="80" t="s">
        <v>161</v>
      </c>
      <c r="F568" s="81">
        <f>F569</f>
        <v>2446.152</v>
      </c>
      <c r="G568" s="81">
        <f>G569</f>
        <v>2347.04203</v>
      </c>
      <c r="H568" s="166">
        <f t="shared" si="22"/>
        <v>0.9594833150188541</v>
      </c>
    </row>
    <row r="569" spans="1:8" ht="15.75">
      <c r="A569" s="79" t="s">
        <v>162</v>
      </c>
      <c r="B569" s="80" t="s">
        <v>288</v>
      </c>
      <c r="C569" s="80" t="s">
        <v>103</v>
      </c>
      <c r="D569" s="80" t="s">
        <v>71</v>
      </c>
      <c r="E569" s="80" t="s">
        <v>220</v>
      </c>
      <c r="F569" s="22">
        <f>'[1]5'!D152</f>
        <v>2446.152</v>
      </c>
      <c r="G569" s="81">
        <v>2347.04203</v>
      </c>
      <c r="H569" s="166">
        <f t="shared" si="22"/>
        <v>0.9594833150188541</v>
      </c>
    </row>
    <row r="570" spans="1:8" s="141" customFormat="1" ht="31.5">
      <c r="A570" s="76" t="s">
        <v>5</v>
      </c>
      <c r="B570" s="77" t="s">
        <v>288</v>
      </c>
      <c r="C570" s="77" t="s">
        <v>114</v>
      </c>
      <c r="D570" s="77" t="s">
        <v>243</v>
      </c>
      <c r="E570" s="77" t="s">
        <v>315</v>
      </c>
      <c r="F570" s="78">
        <f>F571+F595+F600+F603+F598</f>
        <v>2005.0120000000002</v>
      </c>
      <c r="G570" s="78">
        <f>G571+G595+G600+G603+G598</f>
        <v>1999.9651</v>
      </c>
      <c r="H570" s="267">
        <f t="shared" si="22"/>
        <v>0.9974828579579572</v>
      </c>
    </row>
    <row r="571" spans="1:8" ht="47.25">
      <c r="A571" s="82" t="s">
        <v>714</v>
      </c>
      <c r="B571" s="83" t="s">
        <v>288</v>
      </c>
      <c r="C571" s="83" t="s">
        <v>114</v>
      </c>
      <c r="D571" s="83" t="s">
        <v>66</v>
      </c>
      <c r="E571" s="83" t="s">
        <v>315</v>
      </c>
      <c r="F571" s="84">
        <f>F572+F575+F589+F592+F582</f>
        <v>1921.0120000000002</v>
      </c>
      <c r="G571" s="84">
        <f>G572+G575+G589+G592+G582</f>
        <v>1915.9651</v>
      </c>
      <c r="H571" s="166">
        <f t="shared" si="22"/>
        <v>0.9973727910080726</v>
      </c>
    </row>
    <row r="572" spans="1:8" ht="47.25">
      <c r="A572" s="101" t="s">
        <v>393</v>
      </c>
      <c r="B572" s="80" t="s">
        <v>288</v>
      </c>
      <c r="C572" s="80" t="s">
        <v>114</v>
      </c>
      <c r="D572" s="80" t="s">
        <v>72</v>
      </c>
      <c r="E572" s="80" t="s">
        <v>315</v>
      </c>
      <c r="F572" s="81">
        <f>F573</f>
        <v>1921.0120000000002</v>
      </c>
      <c r="G572" s="81">
        <f>G573</f>
        <v>1915.9651</v>
      </c>
      <c r="H572" s="166">
        <f t="shared" si="22"/>
        <v>0.9973727910080726</v>
      </c>
    </row>
    <row r="573" spans="1:8" ht="47.25">
      <c r="A573" s="79" t="s">
        <v>160</v>
      </c>
      <c r="B573" s="80" t="s">
        <v>288</v>
      </c>
      <c r="C573" s="80" t="s">
        <v>114</v>
      </c>
      <c r="D573" s="80" t="s">
        <v>72</v>
      </c>
      <c r="E573" s="80" t="s">
        <v>161</v>
      </c>
      <c r="F573" s="81">
        <f>F574</f>
        <v>1921.0120000000002</v>
      </c>
      <c r="G573" s="81">
        <f>G574</f>
        <v>1915.9651</v>
      </c>
      <c r="H573" s="166">
        <f t="shared" si="22"/>
        <v>0.9973727910080726</v>
      </c>
    </row>
    <row r="574" spans="1:8" ht="15.75">
      <c r="A574" s="79" t="s">
        <v>162</v>
      </c>
      <c r="B574" s="80" t="s">
        <v>288</v>
      </c>
      <c r="C574" s="80" t="s">
        <v>114</v>
      </c>
      <c r="D574" s="80" t="s">
        <v>72</v>
      </c>
      <c r="E574" s="80" t="s">
        <v>220</v>
      </c>
      <c r="F574" s="22">
        <f>'[1]5'!D157</f>
        <v>1921.0120000000002</v>
      </c>
      <c r="G574" s="81">
        <v>1915.9651</v>
      </c>
      <c r="H574" s="166">
        <f t="shared" si="22"/>
        <v>0.9973727910080726</v>
      </c>
    </row>
    <row r="575" spans="1:8" ht="47.25" hidden="1">
      <c r="A575" s="103" t="s">
        <v>559</v>
      </c>
      <c r="B575" s="80" t="s">
        <v>288</v>
      </c>
      <c r="C575" s="80" t="s">
        <v>114</v>
      </c>
      <c r="D575" s="97" t="s">
        <v>67</v>
      </c>
      <c r="E575" s="97" t="s">
        <v>315</v>
      </c>
      <c r="F575" s="98">
        <f>F576</f>
        <v>0</v>
      </c>
      <c r="G575" s="81"/>
      <c r="H575" s="166" t="e">
        <f t="shared" si="22"/>
        <v>#DIV/0!</v>
      </c>
    </row>
    <row r="576" spans="1:8" ht="63" hidden="1">
      <c r="A576" s="79" t="s">
        <v>560</v>
      </c>
      <c r="B576" s="80" t="s">
        <v>288</v>
      </c>
      <c r="C576" s="80" t="s">
        <v>114</v>
      </c>
      <c r="D576" s="80" t="s">
        <v>562</v>
      </c>
      <c r="E576" s="80" t="s">
        <v>315</v>
      </c>
      <c r="F576" s="81">
        <f>F577</f>
        <v>0</v>
      </c>
      <c r="G576" s="81"/>
      <c r="H576" s="166" t="e">
        <f t="shared" si="22"/>
        <v>#DIV/0!</v>
      </c>
    </row>
    <row r="577" spans="1:8" ht="47.25" hidden="1">
      <c r="A577" s="79" t="s">
        <v>160</v>
      </c>
      <c r="B577" s="80" t="s">
        <v>288</v>
      </c>
      <c r="C577" s="80" t="s">
        <v>114</v>
      </c>
      <c r="D577" s="80" t="s">
        <v>562</v>
      </c>
      <c r="E577" s="80" t="s">
        <v>161</v>
      </c>
      <c r="F577" s="81">
        <f>F578</f>
        <v>0</v>
      </c>
      <c r="G577" s="81"/>
      <c r="H577" s="166" t="e">
        <f t="shared" si="22"/>
        <v>#DIV/0!</v>
      </c>
    </row>
    <row r="578" spans="1:8" ht="15.75" hidden="1">
      <c r="A578" s="79" t="s">
        <v>162</v>
      </c>
      <c r="B578" s="80" t="s">
        <v>288</v>
      </c>
      <c r="C578" s="80" t="s">
        <v>114</v>
      </c>
      <c r="D578" s="80" t="s">
        <v>562</v>
      </c>
      <c r="E578" s="80" t="s">
        <v>220</v>
      </c>
      <c r="F578" s="81"/>
      <c r="G578" s="81"/>
      <c r="H578" s="166" t="e">
        <f t="shared" si="22"/>
        <v>#DIV/0!</v>
      </c>
    </row>
    <row r="579" spans="1:8" ht="94.5" hidden="1">
      <c r="A579" s="79" t="s">
        <v>561</v>
      </c>
      <c r="B579" s="80" t="s">
        <v>288</v>
      </c>
      <c r="C579" s="80" t="s">
        <v>114</v>
      </c>
      <c r="D579" s="80" t="s">
        <v>563</v>
      </c>
      <c r="E579" s="80" t="s">
        <v>315</v>
      </c>
      <c r="F579" s="81">
        <f>F580</f>
        <v>0</v>
      </c>
      <c r="G579" s="81"/>
      <c r="H579" s="166" t="e">
        <f t="shared" si="22"/>
        <v>#DIV/0!</v>
      </c>
    </row>
    <row r="580" spans="1:8" ht="47.25" hidden="1">
      <c r="A580" s="79" t="s">
        <v>160</v>
      </c>
      <c r="B580" s="80" t="s">
        <v>288</v>
      </c>
      <c r="C580" s="80" t="s">
        <v>114</v>
      </c>
      <c r="D580" s="80" t="s">
        <v>563</v>
      </c>
      <c r="E580" s="80" t="s">
        <v>161</v>
      </c>
      <c r="F580" s="81">
        <f>F581</f>
        <v>0</v>
      </c>
      <c r="G580" s="81"/>
      <c r="H580" s="166" t="e">
        <f t="shared" si="22"/>
        <v>#DIV/0!</v>
      </c>
    </row>
    <row r="581" spans="1:8" ht="15.75" hidden="1">
      <c r="A581" s="79" t="s">
        <v>162</v>
      </c>
      <c r="B581" s="80" t="s">
        <v>288</v>
      </c>
      <c r="C581" s="80" t="s">
        <v>114</v>
      </c>
      <c r="D581" s="80" t="s">
        <v>563</v>
      </c>
      <c r="E581" s="80" t="s">
        <v>220</v>
      </c>
      <c r="F581" s="81"/>
      <c r="G581" s="81"/>
      <c r="H581" s="166" t="e">
        <f t="shared" si="22"/>
        <v>#DIV/0!</v>
      </c>
    </row>
    <row r="582" spans="1:8" ht="94.5" hidden="1">
      <c r="A582" s="103" t="s">
        <v>729</v>
      </c>
      <c r="B582" s="97" t="s">
        <v>288</v>
      </c>
      <c r="C582" s="97" t="s">
        <v>114</v>
      </c>
      <c r="D582" s="97" t="s">
        <v>730</v>
      </c>
      <c r="E582" s="97" t="s">
        <v>315</v>
      </c>
      <c r="F582" s="98">
        <f>F583+F586</f>
        <v>0</v>
      </c>
      <c r="G582" s="81"/>
      <c r="H582" s="166" t="e">
        <f t="shared" si="22"/>
        <v>#DIV/0!</v>
      </c>
    </row>
    <row r="583" spans="1:8" ht="94.5" hidden="1">
      <c r="A583" s="79" t="s">
        <v>731</v>
      </c>
      <c r="B583" s="80" t="s">
        <v>288</v>
      </c>
      <c r="C583" s="80" t="s">
        <v>114</v>
      </c>
      <c r="D583" s="3" t="s">
        <v>732</v>
      </c>
      <c r="E583" s="80" t="s">
        <v>315</v>
      </c>
      <c r="F583" s="81">
        <f>F584</f>
        <v>0</v>
      </c>
      <c r="G583" s="81"/>
      <c r="H583" s="166" t="e">
        <f t="shared" si="22"/>
        <v>#DIV/0!</v>
      </c>
    </row>
    <row r="584" spans="1:8" ht="47.25" hidden="1">
      <c r="A584" s="79" t="s">
        <v>160</v>
      </c>
      <c r="B584" s="80" t="s">
        <v>288</v>
      </c>
      <c r="C584" s="80" t="s">
        <v>114</v>
      </c>
      <c r="D584" s="3" t="s">
        <v>732</v>
      </c>
      <c r="E584" s="80" t="s">
        <v>161</v>
      </c>
      <c r="F584" s="81">
        <f>F585</f>
        <v>0</v>
      </c>
      <c r="G584" s="81"/>
      <c r="H584" s="166" t="e">
        <f t="shared" si="22"/>
        <v>#DIV/0!</v>
      </c>
    </row>
    <row r="585" spans="1:8" ht="15.75" hidden="1">
      <c r="A585" s="79" t="s">
        <v>162</v>
      </c>
      <c r="B585" s="80" t="s">
        <v>288</v>
      </c>
      <c r="C585" s="80" t="s">
        <v>114</v>
      </c>
      <c r="D585" s="3" t="s">
        <v>732</v>
      </c>
      <c r="E585" s="80" t="s">
        <v>220</v>
      </c>
      <c r="F585" s="81">
        <v>0</v>
      </c>
      <c r="G585" s="81"/>
      <c r="H585" s="166" t="e">
        <f t="shared" si="22"/>
        <v>#DIV/0!</v>
      </c>
    </row>
    <row r="586" spans="1:8" ht="126" hidden="1">
      <c r="A586" s="79" t="s">
        <v>733</v>
      </c>
      <c r="B586" s="80" t="s">
        <v>288</v>
      </c>
      <c r="C586" s="80" t="s">
        <v>114</v>
      </c>
      <c r="D586" s="3" t="s">
        <v>734</v>
      </c>
      <c r="E586" s="80" t="s">
        <v>315</v>
      </c>
      <c r="F586" s="124">
        <f>F587</f>
        <v>0</v>
      </c>
      <c r="G586" s="81"/>
      <c r="H586" s="166" t="e">
        <f t="shared" si="22"/>
        <v>#DIV/0!</v>
      </c>
    </row>
    <row r="587" spans="1:8" ht="47.25" hidden="1">
      <c r="A587" s="79" t="s">
        <v>160</v>
      </c>
      <c r="B587" s="80" t="s">
        <v>288</v>
      </c>
      <c r="C587" s="80" t="s">
        <v>114</v>
      </c>
      <c r="D587" s="3" t="s">
        <v>734</v>
      </c>
      <c r="E587" s="80" t="s">
        <v>161</v>
      </c>
      <c r="F587" s="124">
        <f>F588</f>
        <v>0</v>
      </c>
      <c r="G587" s="81"/>
      <c r="H587" s="166" t="e">
        <f t="shared" si="22"/>
        <v>#DIV/0!</v>
      </c>
    </row>
    <row r="588" spans="1:8" ht="15.75" hidden="1">
      <c r="A588" s="125" t="s">
        <v>162</v>
      </c>
      <c r="B588" s="80" t="s">
        <v>288</v>
      </c>
      <c r="C588" s="80" t="s">
        <v>114</v>
      </c>
      <c r="D588" s="3" t="s">
        <v>734</v>
      </c>
      <c r="E588" s="80" t="s">
        <v>220</v>
      </c>
      <c r="F588" s="124">
        <v>0</v>
      </c>
      <c r="G588" s="81"/>
      <c r="H588" s="166" t="e">
        <f t="shared" si="22"/>
        <v>#DIV/0!</v>
      </c>
    </row>
    <row r="589" spans="1:8" ht="31.5" hidden="1">
      <c r="A589" s="101" t="s">
        <v>611</v>
      </c>
      <c r="B589" s="80" t="s">
        <v>288</v>
      </c>
      <c r="C589" s="80" t="s">
        <v>114</v>
      </c>
      <c r="D589" s="80" t="s">
        <v>591</v>
      </c>
      <c r="E589" s="80" t="s">
        <v>315</v>
      </c>
      <c r="F589" s="81">
        <f>F590</f>
        <v>0</v>
      </c>
      <c r="G589" s="81"/>
      <c r="H589" s="166" t="e">
        <f t="shared" si="22"/>
        <v>#DIV/0!</v>
      </c>
    </row>
    <row r="590" spans="1:8" ht="47.25" hidden="1">
      <c r="A590" s="125" t="s">
        <v>160</v>
      </c>
      <c r="B590" s="80" t="s">
        <v>288</v>
      </c>
      <c r="C590" s="80" t="s">
        <v>114</v>
      </c>
      <c r="D590" s="80" t="s">
        <v>591</v>
      </c>
      <c r="E590" s="80" t="s">
        <v>161</v>
      </c>
      <c r="F590" s="81">
        <f>F591</f>
        <v>0</v>
      </c>
      <c r="G590" s="81"/>
      <c r="H590" s="166" t="e">
        <f t="shared" si="22"/>
        <v>#DIV/0!</v>
      </c>
    </row>
    <row r="591" spans="1:8" ht="15.75" hidden="1">
      <c r="A591" s="125" t="s">
        <v>162</v>
      </c>
      <c r="B591" s="80" t="s">
        <v>288</v>
      </c>
      <c r="C591" s="80" t="s">
        <v>114</v>
      </c>
      <c r="D591" s="80" t="s">
        <v>591</v>
      </c>
      <c r="E591" s="80" t="s">
        <v>220</v>
      </c>
      <c r="F591" s="81"/>
      <c r="G591" s="81"/>
      <c r="H591" s="166" t="e">
        <f t="shared" si="22"/>
        <v>#DIV/0!</v>
      </c>
    </row>
    <row r="592" spans="1:8" ht="31.5" hidden="1">
      <c r="A592" s="101" t="s">
        <v>612</v>
      </c>
      <c r="B592" s="80" t="s">
        <v>288</v>
      </c>
      <c r="C592" s="80" t="s">
        <v>114</v>
      </c>
      <c r="D592" s="80" t="s">
        <v>592</v>
      </c>
      <c r="E592" s="80" t="s">
        <v>315</v>
      </c>
      <c r="F592" s="81">
        <f>F593</f>
        <v>0</v>
      </c>
      <c r="G592" s="81"/>
      <c r="H592" s="166" t="e">
        <f t="shared" si="22"/>
        <v>#DIV/0!</v>
      </c>
    </row>
    <row r="593" spans="1:8" ht="47.25" hidden="1">
      <c r="A593" s="125" t="s">
        <v>160</v>
      </c>
      <c r="B593" s="80" t="s">
        <v>288</v>
      </c>
      <c r="C593" s="80" t="s">
        <v>114</v>
      </c>
      <c r="D593" s="80" t="s">
        <v>592</v>
      </c>
      <c r="E593" s="80" t="s">
        <v>161</v>
      </c>
      <c r="F593" s="81">
        <f>F594</f>
        <v>0</v>
      </c>
      <c r="G593" s="81"/>
      <c r="H593" s="166" t="e">
        <f t="shared" si="22"/>
        <v>#DIV/0!</v>
      </c>
    </row>
    <row r="594" spans="1:8" ht="15.75" hidden="1">
      <c r="A594" s="125" t="s">
        <v>162</v>
      </c>
      <c r="B594" s="80" t="s">
        <v>288</v>
      </c>
      <c r="C594" s="80" t="s">
        <v>114</v>
      </c>
      <c r="D594" s="80" t="s">
        <v>592</v>
      </c>
      <c r="E594" s="80" t="s">
        <v>220</v>
      </c>
      <c r="F594" s="81"/>
      <c r="G594" s="81"/>
      <c r="H594" s="166" t="e">
        <f t="shared" si="22"/>
        <v>#DIV/0!</v>
      </c>
    </row>
    <row r="595" spans="1:8" s="138" customFormat="1" ht="47.25">
      <c r="A595" s="82" t="s">
        <v>673</v>
      </c>
      <c r="B595" s="83" t="s">
        <v>288</v>
      </c>
      <c r="C595" s="83" t="s">
        <v>114</v>
      </c>
      <c r="D595" s="83" t="s">
        <v>22</v>
      </c>
      <c r="E595" s="83" t="s">
        <v>315</v>
      </c>
      <c r="F595" s="84">
        <f>F596</f>
        <v>39</v>
      </c>
      <c r="G595" s="84">
        <f>G596</f>
        <v>39</v>
      </c>
      <c r="H595" s="166">
        <f t="shared" si="22"/>
        <v>1</v>
      </c>
    </row>
    <row r="596" spans="1:8" ht="31.5">
      <c r="A596" s="101" t="s">
        <v>73</v>
      </c>
      <c r="B596" s="80" t="s">
        <v>288</v>
      </c>
      <c r="C596" s="80" t="s">
        <v>114</v>
      </c>
      <c r="D596" s="80" t="s">
        <v>23</v>
      </c>
      <c r="E596" s="80" t="s">
        <v>315</v>
      </c>
      <c r="F596" s="81">
        <f>F597</f>
        <v>39</v>
      </c>
      <c r="G596" s="81">
        <f>G597</f>
        <v>39</v>
      </c>
      <c r="H596" s="166">
        <f t="shared" si="22"/>
        <v>1</v>
      </c>
    </row>
    <row r="597" spans="1:8" ht="15.75">
      <c r="A597" s="79" t="s">
        <v>162</v>
      </c>
      <c r="B597" s="80" t="s">
        <v>288</v>
      </c>
      <c r="C597" s="80" t="s">
        <v>114</v>
      </c>
      <c r="D597" s="80" t="s">
        <v>74</v>
      </c>
      <c r="E597" s="80" t="s">
        <v>220</v>
      </c>
      <c r="F597" s="81">
        <v>39</v>
      </c>
      <c r="G597" s="81">
        <v>39</v>
      </c>
      <c r="H597" s="166">
        <f t="shared" si="22"/>
        <v>1</v>
      </c>
    </row>
    <row r="598" spans="1:8" s="138" customFormat="1" ht="63">
      <c r="A598" s="82" t="s">
        <v>713</v>
      </c>
      <c r="B598" s="83" t="s">
        <v>288</v>
      </c>
      <c r="C598" s="83" t="s">
        <v>114</v>
      </c>
      <c r="D598" s="83" t="s">
        <v>61</v>
      </c>
      <c r="E598" s="83" t="s">
        <v>315</v>
      </c>
      <c r="F598" s="84">
        <f>F599</f>
        <v>5</v>
      </c>
      <c r="G598" s="84">
        <f>G599</f>
        <v>5</v>
      </c>
      <c r="H598" s="166">
        <f t="shared" si="22"/>
        <v>1</v>
      </c>
    </row>
    <row r="599" spans="1:8" s="143" customFormat="1" ht="31.5">
      <c r="A599" s="79" t="s">
        <v>256</v>
      </c>
      <c r="B599" s="80" t="s">
        <v>288</v>
      </c>
      <c r="C599" s="80" t="s">
        <v>114</v>
      </c>
      <c r="D599" s="80" t="s">
        <v>75</v>
      </c>
      <c r="E599" s="80" t="s">
        <v>220</v>
      </c>
      <c r="F599" s="81">
        <v>5</v>
      </c>
      <c r="G599" s="81">
        <v>5</v>
      </c>
      <c r="H599" s="166">
        <f t="shared" si="22"/>
        <v>1</v>
      </c>
    </row>
    <row r="600" spans="1:8" s="143" customFormat="1" ht="63">
      <c r="A600" s="10" t="s">
        <v>675</v>
      </c>
      <c r="B600" s="9" t="s">
        <v>288</v>
      </c>
      <c r="C600" s="9" t="s">
        <v>114</v>
      </c>
      <c r="D600" s="9" t="s">
        <v>32</v>
      </c>
      <c r="E600" s="9" t="s">
        <v>315</v>
      </c>
      <c r="F600" s="23">
        <f>F601</f>
        <v>40</v>
      </c>
      <c r="G600" s="23">
        <f>G601</f>
        <v>40</v>
      </c>
      <c r="H600" s="166">
        <f t="shared" si="22"/>
        <v>1</v>
      </c>
    </row>
    <row r="601" spans="1:8" ht="47.25">
      <c r="A601" s="8" t="s">
        <v>160</v>
      </c>
      <c r="B601" s="3" t="s">
        <v>288</v>
      </c>
      <c r="C601" s="3" t="s">
        <v>114</v>
      </c>
      <c r="D601" s="2" t="s">
        <v>482</v>
      </c>
      <c r="E601" s="3" t="s">
        <v>161</v>
      </c>
      <c r="F601" s="22">
        <f>F602</f>
        <v>40</v>
      </c>
      <c r="G601" s="22">
        <f>G602</f>
        <v>40</v>
      </c>
      <c r="H601" s="166">
        <f t="shared" si="22"/>
        <v>1</v>
      </c>
    </row>
    <row r="602" spans="1:8" ht="31.5">
      <c r="A602" s="8" t="s">
        <v>256</v>
      </c>
      <c r="B602" s="3" t="s">
        <v>288</v>
      </c>
      <c r="C602" s="3" t="s">
        <v>114</v>
      </c>
      <c r="D602" s="2" t="s">
        <v>482</v>
      </c>
      <c r="E602" s="3" t="s">
        <v>220</v>
      </c>
      <c r="F602" s="22">
        <v>40</v>
      </c>
      <c r="G602" s="81">
        <v>40</v>
      </c>
      <c r="H602" s="166">
        <f t="shared" si="22"/>
        <v>1</v>
      </c>
    </row>
    <row r="603" spans="1:8" ht="94.5" hidden="1">
      <c r="A603" s="82" t="s">
        <v>687</v>
      </c>
      <c r="B603" s="83" t="s">
        <v>288</v>
      </c>
      <c r="C603" s="83" t="s">
        <v>114</v>
      </c>
      <c r="D603" s="83" t="s">
        <v>384</v>
      </c>
      <c r="E603" s="83" t="s">
        <v>315</v>
      </c>
      <c r="F603" s="84">
        <f>F604</f>
        <v>0</v>
      </c>
      <c r="G603" s="81"/>
      <c r="H603" s="166" t="e">
        <f t="shared" si="22"/>
        <v>#DIV/0!</v>
      </c>
    </row>
    <row r="604" spans="1:8" ht="47.25" hidden="1">
      <c r="A604" s="79" t="s">
        <v>160</v>
      </c>
      <c r="B604" s="80" t="s">
        <v>288</v>
      </c>
      <c r="C604" s="80" t="s">
        <v>114</v>
      </c>
      <c r="D604" s="80" t="s">
        <v>544</v>
      </c>
      <c r="E604" s="80" t="s">
        <v>161</v>
      </c>
      <c r="F604" s="81">
        <f>F605</f>
        <v>0</v>
      </c>
      <c r="G604" s="81"/>
      <c r="H604" s="166" t="e">
        <f t="shared" si="22"/>
        <v>#DIV/0!</v>
      </c>
    </row>
    <row r="605" spans="1:8" ht="15.75" hidden="1">
      <c r="A605" s="79" t="s">
        <v>162</v>
      </c>
      <c r="B605" s="80" t="s">
        <v>288</v>
      </c>
      <c r="C605" s="80" t="s">
        <v>114</v>
      </c>
      <c r="D605" s="80" t="s">
        <v>544</v>
      </c>
      <c r="E605" s="80" t="s">
        <v>220</v>
      </c>
      <c r="F605" s="81">
        <v>0</v>
      </c>
      <c r="G605" s="81"/>
      <c r="H605" s="166" t="e">
        <f t="shared" si="22"/>
        <v>#DIV/0!</v>
      </c>
    </row>
    <row r="606" spans="1:8" ht="47.25" hidden="1">
      <c r="A606" s="82" t="s">
        <v>358</v>
      </c>
      <c r="B606" s="83" t="s">
        <v>288</v>
      </c>
      <c r="C606" s="83" t="s">
        <v>114</v>
      </c>
      <c r="D606" s="83" t="s">
        <v>66</v>
      </c>
      <c r="E606" s="83" t="s">
        <v>315</v>
      </c>
      <c r="F606" s="84">
        <f>F607</f>
        <v>0</v>
      </c>
      <c r="G606" s="81"/>
      <c r="H606" s="166" t="e">
        <f t="shared" si="22"/>
        <v>#DIV/0!</v>
      </c>
    </row>
    <row r="607" spans="1:8" ht="78.75" hidden="1">
      <c r="A607" s="101" t="s">
        <v>394</v>
      </c>
      <c r="B607" s="80" t="s">
        <v>288</v>
      </c>
      <c r="C607" s="80" t="s">
        <v>114</v>
      </c>
      <c r="D607" s="80" t="s">
        <v>370</v>
      </c>
      <c r="E607" s="80" t="s">
        <v>315</v>
      </c>
      <c r="F607" s="81">
        <f>F608+F610</f>
        <v>0</v>
      </c>
      <c r="G607" s="81"/>
      <c r="H607" s="166" t="e">
        <f t="shared" si="22"/>
        <v>#DIV/0!</v>
      </c>
    </row>
    <row r="608" spans="1:8" ht="94.5" hidden="1">
      <c r="A608" s="79" t="s">
        <v>134</v>
      </c>
      <c r="B608" s="80" t="s">
        <v>288</v>
      </c>
      <c r="C608" s="80" t="s">
        <v>114</v>
      </c>
      <c r="D608" s="80" t="s">
        <v>370</v>
      </c>
      <c r="E608" s="80" t="s">
        <v>108</v>
      </c>
      <c r="F608" s="81">
        <f>F609</f>
        <v>0</v>
      </c>
      <c r="G608" s="81"/>
      <c r="H608" s="166" t="e">
        <f t="shared" si="22"/>
        <v>#DIV/0!</v>
      </c>
    </row>
    <row r="609" spans="1:8" ht="31.5" hidden="1">
      <c r="A609" s="79" t="s">
        <v>150</v>
      </c>
      <c r="B609" s="80" t="s">
        <v>288</v>
      </c>
      <c r="C609" s="80" t="s">
        <v>114</v>
      </c>
      <c r="D609" s="80" t="s">
        <v>370</v>
      </c>
      <c r="E609" s="80" t="s">
        <v>115</v>
      </c>
      <c r="F609" s="81"/>
      <c r="G609" s="81"/>
      <c r="H609" s="166" t="e">
        <f t="shared" si="22"/>
        <v>#DIV/0!</v>
      </c>
    </row>
    <row r="610" spans="1:8" ht="31.5" hidden="1">
      <c r="A610" s="79" t="s">
        <v>137</v>
      </c>
      <c r="B610" s="80" t="s">
        <v>288</v>
      </c>
      <c r="C610" s="80" t="s">
        <v>114</v>
      </c>
      <c r="D610" s="80" t="s">
        <v>370</v>
      </c>
      <c r="E610" s="80" t="s">
        <v>112</v>
      </c>
      <c r="F610" s="81">
        <f>F611</f>
        <v>0</v>
      </c>
      <c r="G610" s="81"/>
      <c r="H610" s="166" t="e">
        <f t="shared" si="22"/>
        <v>#DIV/0!</v>
      </c>
    </row>
    <row r="611" spans="1:8" ht="47.25" hidden="1">
      <c r="A611" s="93" t="s">
        <v>138</v>
      </c>
      <c r="B611" s="80" t="s">
        <v>288</v>
      </c>
      <c r="C611" s="80" t="s">
        <v>114</v>
      </c>
      <c r="D611" s="80" t="s">
        <v>370</v>
      </c>
      <c r="E611" s="80" t="s">
        <v>139</v>
      </c>
      <c r="F611" s="81"/>
      <c r="G611" s="81"/>
      <c r="H611" s="166" t="e">
        <f t="shared" si="22"/>
        <v>#DIV/0!</v>
      </c>
    </row>
    <row r="612" spans="1:8" ht="15.75" hidden="1">
      <c r="A612" s="103" t="s">
        <v>608</v>
      </c>
      <c r="B612" s="97" t="s">
        <v>285</v>
      </c>
      <c r="C612" s="97" t="s">
        <v>104</v>
      </c>
      <c r="D612" s="97" t="s">
        <v>243</v>
      </c>
      <c r="E612" s="97" t="s">
        <v>315</v>
      </c>
      <c r="F612" s="98">
        <f>F613</f>
        <v>0</v>
      </c>
      <c r="G612" s="81"/>
      <c r="H612" s="166" t="e">
        <f t="shared" si="22"/>
        <v>#DIV/0!</v>
      </c>
    </row>
    <row r="613" spans="1:8" ht="31.5" hidden="1">
      <c r="A613" s="110" t="s">
        <v>595</v>
      </c>
      <c r="B613" s="88" t="s">
        <v>285</v>
      </c>
      <c r="C613" s="88" t="s">
        <v>285</v>
      </c>
      <c r="D613" s="88" t="s">
        <v>243</v>
      </c>
      <c r="E613" s="88" t="s">
        <v>315</v>
      </c>
      <c r="F613" s="89">
        <f>F614</f>
        <v>0</v>
      </c>
      <c r="G613" s="81"/>
      <c r="H613" s="166" t="e">
        <f t="shared" si="22"/>
        <v>#DIV/0!</v>
      </c>
    </row>
    <row r="614" spans="1:8" ht="31.5" hidden="1">
      <c r="A614" s="79" t="s">
        <v>581</v>
      </c>
      <c r="B614" s="83" t="s">
        <v>285</v>
      </c>
      <c r="C614" s="83" t="s">
        <v>285</v>
      </c>
      <c r="D614" s="83" t="s">
        <v>594</v>
      </c>
      <c r="E614" s="80" t="s">
        <v>315</v>
      </c>
      <c r="F614" s="84">
        <f>F615</f>
        <v>0</v>
      </c>
      <c r="G614" s="81"/>
      <c r="H614" s="166" t="e">
        <f t="shared" si="22"/>
        <v>#DIV/0!</v>
      </c>
    </row>
    <row r="615" spans="1:8" ht="31.5" hidden="1">
      <c r="A615" s="79" t="s">
        <v>137</v>
      </c>
      <c r="B615" s="83" t="s">
        <v>285</v>
      </c>
      <c r="C615" s="83" t="s">
        <v>285</v>
      </c>
      <c r="D615" s="80" t="s">
        <v>593</v>
      </c>
      <c r="E615" s="80" t="s">
        <v>112</v>
      </c>
      <c r="F615" s="81">
        <f>F616</f>
        <v>0</v>
      </c>
      <c r="G615" s="81"/>
      <c r="H615" s="166" t="e">
        <f t="shared" si="22"/>
        <v>#DIV/0!</v>
      </c>
    </row>
    <row r="616" spans="1:8" ht="47.25" hidden="1">
      <c r="A616" s="93" t="s">
        <v>138</v>
      </c>
      <c r="B616" s="83" t="s">
        <v>285</v>
      </c>
      <c r="C616" s="83" t="s">
        <v>285</v>
      </c>
      <c r="D616" s="80" t="s">
        <v>596</v>
      </c>
      <c r="E616" s="80" t="s">
        <v>139</v>
      </c>
      <c r="F616" s="81"/>
      <c r="G616" s="81"/>
      <c r="H616" s="166" t="e">
        <f t="shared" si="22"/>
        <v>#DIV/0!</v>
      </c>
    </row>
    <row r="617" spans="1:8" ht="15.75">
      <c r="A617" s="73" t="s">
        <v>166</v>
      </c>
      <c r="B617" s="74" t="s">
        <v>167</v>
      </c>
      <c r="C617" s="74" t="s">
        <v>104</v>
      </c>
      <c r="D617" s="74" t="s">
        <v>243</v>
      </c>
      <c r="E617" s="74" t="s">
        <v>315</v>
      </c>
      <c r="F617" s="75">
        <f>F618+F623+F638</f>
        <v>27706.985090000002</v>
      </c>
      <c r="G617" s="75">
        <f>G618+G623+G638</f>
        <v>25946.333640000004</v>
      </c>
      <c r="H617" s="265">
        <f t="shared" si="22"/>
        <v>0.9364546000122023</v>
      </c>
    </row>
    <row r="618" spans="1:9" s="138" customFormat="1" ht="15.75">
      <c r="A618" s="76" t="s">
        <v>97</v>
      </c>
      <c r="B618" s="77" t="s">
        <v>167</v>
      </c>
      <c r="C618" s="77" t="s">
        <v>103</v>
      </c>
      <c r="D618" s="77" t="s">
        <v>243</v>
      </c>
      <c r="E618" s="77" t="s">
        <v>315</v>
      </c>
      <c r="F618" s="78">
        <f aca="true" t="shared" si="23" ref="F618:G621">F619</f>
        <v>1199</v>
      </c>
      <c r="G618" s="78">
        <f t="shared" si="23"/>
        <v>1197.87985</v>
      </c>
      <c r="H618" s="267">
        <f aca="true" t="shared" si="24" ref="H618:H673">G618/F618</f>
        <v>0.9990657631359466</v>
      </c>
      <c r="I618" s="147"/>
    </row>
    <row r="619" spans="1:8" ht="31.5">
      <c r="A619" s="79" t="s">
        <v>437</v>
      </c>
      <c r="B619" s="80" t="s">
        <v>167</v>
      </c>
      <c r="C619" s="80" t="s">
        <v>103</v>
      </c>
      <c r="D619" s="80" t="s">
        <v>76</v>
      </c>
      <c r="E619" s="80" t="s">
        <v>315</v>
      </c>
      <c r="F619" s="81">
        <f t="shared" si="23"/>
        <v>1199</v>
      </c>
      <c r="G619" s="81">
        <f t="shared" si="23"/>
        <v>1197.87985</v>
      </c>
      <c r="H619" s="166">
        <f t="shared" si="24"/>
        <v>0.9990657631359466</v>
      </c>
    </row>
    <row r="620" spans="1:8" ht="47.25">
      <c r="A620" s="79" t="s">
        <v>98</v>
      </c>
      <c r="B620" s="80" t="s">
        <v>167</v>
      </c>
      <c r="C620" s="80" t="s">
        <v>103</v>
      </c>
      <c r="D620" s="80" t="s">
        <v>76</v>
      </c>
      <c r="E620" s="80" t="s">
        <v>315</v>
      </c>
      <c r="F620" s="81">
        <f t="shared" si="23"/>
        <v>1199</v>
      </c>
      <c r="G620" s="81">
        <f t="shared" si="23"/>
        <v>1197.87985</v>
      </c>
      <c r="H620" s="166">
        <f t="shared" si="24"/>
        <v>0.9990657631359466</v>
      </c>
    </row>
    <row r="621" spans="1:8" ht="31.5">
      <c r="A621" s="79" t="s">
        <v>151</v>
      </c>
      <c r="B621" s="80" t="s">
        <v>167</v>
      </c>
      <c r="C621" s="80" t="s">
        <v>103</v>
      </c>
      <c r="D621" s="80" t="s">
        <v>76</v>
      </c>
      <c r="E621" s="80" t="s">
        <v>113</v>
      </c>
      <c r="F621" s="81">
        <f t="shared" si="23"/>
        <v>1199</v>
      </c>
      <c r="G621" s="81">
        <f t="shared" si="23"/>
        <v>1197.87985</v>
      </c>
      <c r="H621" s="166">
        <f t="shared" si="24"/>
        <v>0.9990657631359466</v>
      </c>
    </row>
    <row r="622" spans="1:8" s="143" customFormat="1" ht="31.5">
      <c r="A622" s="79" t="s">
        <v>152</v>
      </c>
      <c r="B622" s="80" t="s">
        <v>167</v>
      </c>
      <c r="C622" s="80" t="s">
        <v>103</v>
      </c>
      <c r="D622" s="80" t="s">
        <v>76</v>
      </c>
      <c r="E622" s="80" t="s">
        <v>153</v>
      </c>
      <c r="F622" s="22">
        <f>'[1]4'!G483</f>
        <v>1199</v>
      </c>
      <c r="G622" s="81">
        <v>1197.87985</v>
      </c>
      <c r="H622" s="166">
        <f t="shared" si="24"/>
        <v>0.9990657631359466</v>
      </c>
    </row>
    <row r="623" spans="1:8" s="143" customFormat="1" ht="15.75">
      <c r="A623" s="76" t="s">
        <v>438</v>
      </c>
      <c r="B623" s="77" t="s">
        <v>167</v>
      </c>
      <c r="C623" s="77" t="s">
        <v>110</v>
      </c>
      <c r="D623" s="77" t="s">
        <v>243</v>
      </c>
      <c r="E623" s="77" t="s">
        <v>315</v>
      </c>
      <c r="F623" s="78">
        <f>F624+F627+F630</f>
        <v>1484.286</v>
      </c>
      <c r="G623" s="78">
        <f>G624+G627+G630</f>
        <v>1400</v>
      </c>
      <c r="H623" s="267">
        <f t="shared" si="24"/>
        <v>0.9432144478894229</v>
      </c>
    </row>
    <row r="624" spans="1:8" s="143" customFormat="1" ht="94.5">
      <c r="A624" s="82" t="s">
        <v>439</v>
      </c>
      <c r="B624" s="83" t="s">
        <v>167</v>
      </c>
      <c r="C624" s="83" t="s">
        <v>110</v>
      </c>
      <c r="D624" s="83" t="s">
        <v>39</v>
      </c>
      <c r="E624" s="83" t="s">
        <v>315</v>
      </c>
      <c r="F624" s="84">
        <f>F625</f>
        <v>240</v>
      </c>
      <c r="G624" s="84">
        <f>G625</f>
        <v>200</v>
      </c>
      <c r="H624" s="166">
        <f t="shared" si="24"/>
        <v>0.8333333333333334</v>
      </c>
    </row>
    <row r="625" spans="1:8" s="143" customFormat="1" ht="31.5">
      <c r="A625" s="79" t="s">
        <v>151</v>
      </c>
      <c r="B625" s="80" t="s">
        <v>167</v>
      </c>
      <c r="C625" s="80" t="s">
        <v>110</v>
      </c>
      <c r="D625" s="80" t="s">
        <v>558</v>
      </c>
      <c r="E625" s="80" t="s">
        <v>113</v>
      </c>
      <c r="F625" s="81">
        <f>F626</f>
        <v>240</v>
      </c>
      <c r="G625" s="81">
        <f>G626</f>
        <v>200</v>
      </c>
      <c r="H625" s="166">
        <f t="shared" si="24"/>
        <v>0.8333333333333334</v>
      </c>
    </row>
    <row r="626" spans="1:8" s="143" customFormat="1" ht="47.25">
      <c r="A626" s="79" t="s">
        <v>154</v>
      </c>
      <c r="B626" s="80" t="s">
        <v>167</v>
      </c>
      <c r="C626" s="80" t="s">
        <v>110</v>
      </c>
      <c r="D626" s="80" t="s">
        <v>558</v>
      </c>
      <c r="E626" s="80" t="s">
        <v>155</v>
      </c>
      <c r="F626" s="22">
        <f>'[1]4'!G854</f>
        <v>240</v>
      </c>
      <c r="G626" s="81">
        <v>200</v>
      </c>
      <c r="H626" s="166">
        <f t="shared" si="24"/>
        <v>0.8333333333333334</v>
      </c>
    </row>
    <row r="627" spans="1:8" s="138" customFormat="1" ht="63" hidden="1">
      <c r="A627" s="82" t="s">
        <v>530</v>
      </c>
      <c r="B627" s="83" t="s">
        <v>167</v>
      </c>
      <c r="C627" s="83" t="s">
        <v>110</v>
      </c>
      <c r="D627" s="83" t="s">
        <v>77</v>
      </c>
      <c r="E627" s="83" t="s">
        <v>315</v>
      </c>
      <c r="F627" s="84">
        <f>F628</f>
        <v>0</v>
      </c>
      <c r="G627" s="84"/>
      <c r="H627" s="166" t="e">
        <f t="shared" si="24"/>
        <v>#DIV/0!</v>
      </c>
    </row>
    <row r="628" spans="1:8" s="138" customFormat="1" ht="31.5" hidden="1">
      <c r="A628" s="79" t="s">
        <v>151</v>
      </c>
      <c r="B628" s="80" t="s">
        <v>167</v>
      </c>
      <c r="C628" s="80" t="s">
        <v>110</v>
      </c>
      <c r="D628" s="80" t="s">
        <v>78</v>
      </c>
      <c r="E628" s="80" t="s">
        <v>113</v>
      </c>
      <c r="F628" s="81">
        <f>F629</f>
        <v>0</v>
      </c>
      <c r="G628" s="84"/>
      <c r="H628" s="166" t="e">
        <f t="shared" si="24"/>
        <v>#DIV/0!</v>
      </c>
    </row>
    <row r="629" spans="1:8" ht="47.25" hidden="1">
      <c r="A629" s="79" t="s">
        <v>154</v>
      </c>
      <c r="B629" s="80" t="s">
        <v>167</v>
      </c>
      <c r="C629" s="80" t="s">
        <v>110</v>
      </c>
      <c r="D629" s="80" t="s">
        <v>78</v>
      </c>
      <c r="E629" s="80" t="s">
        <v>155</v>
      </c>
      <c r="F629" s="22">
        <f>200-200</f>
        <v>0</v>
      </c>
      <c r="G629" s="81"/>
      <c r="H629" s="166" t="e">
        <f t="shared" si="24"/>
        <v>#DIV/0!</v>
      </c>
    </row>
    <row r="630" spans="1:8" ht="31.5">
      <c r="A630" s="79" t="s">
        <v>106</v>
      </c>
      <c r="B630" s="80" t="s">
        <v>167</v>
      </c>
      <c r="C630" s="80" t="s">
        <v>110</v>
      </c>
      <c r="D630" s="80" t="s">
        <v>243</v>
      </c>
      <c r="E630" s="80" t="s">
        <v>315</v>
      </c>
      <c r="F630" s="81">
        <f>F631</f>
        <v>1244.286</v>
      </c>
      <c r="G630" s="81">
        <f>G631</f>
        <v>1200</v>
      </c>
      <c r="H630" s="166">
        <f t="shared" si="24"/>
        <v>0.9644085041541895</v>
      </c>
    </row>
    <row r="631" spans="1:8" ht="47.25">
      <c r="A631" s="79" t="s">
        <v>107</v>
      </c>
      <c r="B631" s="80" t="s">
        <v>167</v>
      </c>
      <c r="C631" s="80" t="s">
        <v>110</v>
      </c>
      <c r="D631" s="80" t="s">
        <v>243</v>
      </c>
      <c r="E631" s="80" t="s">
        <v>315</v>
      </c>
      <c r="F631" s="81">
        <f>F632+F635</f>
        <v>1244.286</v>
      </c>
      <c r="G631" s="81">
        <f>G632+G635</f>
        <v>1200</v>
      </c>
      <c r="H631" s="166">
        <f t="shared" si="24"/>
        <v>0.9644085041541895</v>
      </c>
    </row>
    <row r="632" spans="1:8" ht="267.75">
      <c r="A632" s="95" t="s">
        <v>735</v>
      </c>
      <c r="B632" s="80" t="s">
        <v>167</v>
      </c>
      <c r="C632" s="80" t="s">
        <v>110</v>
      </c>
      <c r="D632" s="83" t="s">
        <v>736</v>
      </c>
      <c r="E632" s="83" t="s">
        <v>315</v>
      </c>
      <c r="F632" s="84">
        <f>F633</f>
        <v>114.286</v>
      </c>
      <c r="G632" s="84">
        <f>G633</f>
        <v>0</v>
      </c>
      <c r="H632" s="166">
        <f t="shared" si="24"/>
        <v>0</v>
      </c>
    </row>
    <row r="633" spans="1:8" ht="15.75">
      <c r="A633" s="93" t="s">
        <v>142</v>
      </c>
      <c r="B633" s="80" t="s">
        <v>167</v>
      </c>
      <c r="C633" s="80" t="s">
        <v>110</v>
      </c>
      <c r="D633" s="80" t="s">
        <v>736</v>
      </c>
      <c r="E633" s="80" t="s">
        <v>143</v>
      </c>
      <c r="F633" s="81">
        <f>F634</f>
        <v>114.286</v>
      </c>
      <c r="G633" s="81">
        <f>G634</f>
        <v>0</v>
      </c>
      <c r="H633" s="166">
        <f t="shared" si="24"/>
        <v>0</v>
      </c>
    </row>
    <row r="634" spans="1:8" ht="78.75">
      <c r="A634" s="93" t="s">
        <v>737</v>
      </c>
      <c r="B634" s="80" t="s">
        <v>167</v>
      </c>
      <c r="C634" s="80" t="s">
        <v>110</v>
      </c>
      <c r="D634" s="80" t="s">
        <v>736</v>
      </c>
      <c r="E634" s="80" t="s">
        <v>294</v>
      </c>
      <c r="F634" s="108">
        <v>114.286</v>
      </c>
      <c r="G634" s="81">
        <v>0</v>
      </c>
      <c r="H634" s="166">
        <f t="shared" si="24"/>
        <v>0</v>
      </c>
    </row>
    <row r="635" spans="1:8" ht="63">
      <c r="A635" s="16" t="s">
        <v>653</v>
      </c>
      <c r="B635" s="9" t="s">
        <v>167</v>
      </c>
      <c r="C635" s="9" t="s">
        <v>110</v>
      </c>
      <c r="D635" s="9" t="s">
        <v>654</v>
      </c>
      <c r="E635" s="9" t="s">
        <v>315</v>
      </c>
      <c r="F635" s="33">
        <f>F636</f>
        <v>1130</v>
      </c>
      <c r="G635" s="33">
        <f>G636</f>
        <v>1200</v>
      </c>
      <c r="H635" s="166">
        <f t="shared" si="24"/>
        <v>1.0619469026548674</v>
      </c>
    </row>
    <row r="636" spans="1:8" ht="31.5">
      <c r="A636" s="8" t="s">
        <v>151</v>
      </c>
      <c r="B636" s="3" t="s">
        <v>167</v>
      </c>
      <c r="C636" s="3" t="s">
        <v>110</v>
      </c>
      <c r="D636" s="3" t="s">
        <v>654</v>
      </c>
      <c r="E636" s="3" t="s">
        <v>113</v>
      </c>
      <c r="F636" s="29">
        <f>F637</f>
        <v>1130</v>
      </c>
      <c r="G636" s="29">
        <f>G637</f>
        <v>1200</v>
      </c>
      <c r="H636" s="166">
        <f t="shared" si="24"/>
        <v>1.0619469026548674</v>
      </c>
    </row>
    <row r="637" spans="1:8" ht="47.25">
      <c r="A637" s="8" t="s">
        <v>154</v>
      </c>
      <c r="B637" s="3" t="s">
        <v>167</v>
      </c>
      <c r="C637" s="3" t="s">
        <v>110</v>
      </c>
      <c r="D637" s="3" t="s">
        <v>654</v>
      </c>
      <c r="E637" s="3" t="s">
        <v>155</v>
      </c>
      <c r="F637" s="29">
        <f>'[1]4'!G498</f>
        <v>1130</v>
      </c>
      <c r="G637" s="81">
        <v>1200</v>
      </c>
      <c r="H637" s="166">
        <f t="shared" si="24"/>
        <v>1.0619469026548674</v>
      </c>
    </row>
    <row r="638" spans="1:8" ht="15.75">
      <c r="A638" s="76" t="s">
        <v>309</v>
      </c>
      <c r="B638" s="77" t="s">
        <v>167</v>
      </c>
      <c r="C638" s="77" t="s">
        <v>114</v>
      </c>
      <c r="D638" s="77" t="s">
        <v>243</v>
      </c>
      <c r="E638" s="77" t="s">
        <v>315</v>
      </c>
      <c r="F638" s="78">
        <f>F639+F652+F667</f>
        <v>25023.699090000002</v>
      </c>
      <c r="G638" s="78">
        <f>G639+G652+G667</f>
        <v>23348.453790000003</v>
      </c>
      <c r="H638" s="267">
        <f t="shared" si="24"/>
        <v>0.9330536507022872</v>
      </c>
    </row>
    <row r="639" spans="1:8" ht="47.25">
      <c r="A639" s="82" t="s">
        <v>698</v>
      </c>
      <c r="B639" s="80" t="s">
        <v>167</v>
      </c>
      <c r="C639" s="80" t="s">
        <v>114</v>
      </c>
      <c r="D639" s="80" t="s">
        <v>22</v>
      </c>
      <c r="E639" s="80" t="s">
        <v>315</v>
      </c>
      <c r="F639" s="81">
        <f>F643+F647+F640</f>
        <v>3869.272020000001</v>
      </c>
      <c r="G639" s="81">
        <f>G643+G647+G640</f>
        <v>3361.9205</v>
      </c>
      <c r="H639" s="166">
        <f t="shared" si="24"/>
        <v>0.868876750619358</v>
      </c>
    </row>
    <row r="640" spans="1:8" ht="47.25">
      <c r="A640" s="101" t="s">
        <v>196</v>
      </c>
      <c r="B640" s="80" t="s">
        <v>167</v>
      </c>
      <c r="C640" s="80" t="s">
        <v>114</v>
      </c>
      <c r="D640" s="83" t="s">
        <v>427</v>
      </c>
      <c r="E640" s="83" t="s">
        <v>315</v>
      </c>
      <c r="F640" s="81">
        <f>F641</f>
        <v>365.4</v>
      </c>
      <c r="G640" s="81">
        <f>G641</f>
        <v>131.88</v>
      </c>
      <c r="H640" s="166">
        <f t="shared" si="24"/>
        <v>0.3609195402298851</v>
      </c>
    </row>
    <row r="641" spans="1:8" ht="126">
      <c r="A641" s="82" t="s">
        <v>458</v>
      </c>
      <c r="B641" s="80" t="s">
        <v>167</v>
      </c>
      <c r="C641" s="80" t="s">
        <v>114</v>
      </c>
      <c r="D641" s="83" t="s">
        <v>427</v>
      </c>
      <c r="E641" s="83" t="s">
        <v>113</v>
      </c>
      <c r="F641" s="81">
        <f>F642</f>
        <v>365.4</v>
      </c>
      <c r="G641" s="81">
        <f>G642</f>
        <v>131.88</v>
      </c>
      <c r="H641" s="166">
        <f t="shared" si="24"/>
        <v>0.3609195402298851</v>
      </c>
    </row>
    <row r="642" spans="1:8" ht="47.25">
      <c r="A642" s="8" t="s">
        <v>154</v>
      </c>
      <c r="B642" s="3" t="s">
        <v>167</v>
      </c>
      <c r="C642" s="3" t="s">
        <v>114</v>
      </c>
      <c r="D642" s="9" t="s">
        <v>427</v>
      </c>
      <c r="E642" s="9" t="s">
        <v>155</v>
      </c>
      <c r="F642" s="22">
        <v>365.4</v>
      </c>
      <c r="G642" s="22">
        <v>131.88</v>
      </c>
      <c r="H642" s="166">
        <f t="shared" si="24"/>
        <v>0.3609195402298851</v>
      </c>
    </row>
    <row r="643" spans="1:8" ht="31.5">
      <c r="A643" s="101" t="s">
        <v>79</v>
      </c>
      <c r="B643" s="80" t="s">
        <v>167</v>
      </c>
      <c r="C643" s="80" t="s">
        <v>114</v>
      </c>
      <c r="D643" s="80" t="s">
        <v>34</v>
      </c>
      <c r="E643" s="80" t="s">
        <v>315</v>
      </c>
      <c r="F643" s="81">
        <f>F644</f>
        <v>3174.611000000001</v>
      </c>
      <c r="G643" s="81">
        <f>G644</f>
        <v>2901.2405</v>
      </c>
      <c r="H643" s="166">
        <f t="shared" si="24"/>
        <v>0.9138885047648355</v>
      </c>
    </row>
    <row r="644" spans="1:8" ht="78.75">
      <c r="A644" s="82" t="s">
        <v>169</v>
      </c>
      <c r="B644" s="80" t="s">
        <v>167</v>
      </c>
      <c r="C644" s="80" t="s">
        <v>114</v>
      </c>
      <c r="D644" s="80" t="s">
        <v>80</v>
      </c>
      <c r="E644" s="80" t="s">
        <v>315</v>
      </c>
      <c r="F644" s="81">
        <f>F645+F646</f>
        <v>3174.611000000001</v>
      </c>
      <c r="G644" s="81">
        <f>G645+G646</f>
        <v>2901.2405</v>
      </c>
      <c r="H644" s="166">
        <f t="shared" si="24"/>
        <v>0.9138885047648355</v>
      </c>
    </row>
    <row r="645" spans="1:8" ht="47.25">
      <c r="A645" s="93" t="s">
        <v>138</v>
      </c>
      <c r="B645" s="80" t="s">
        <v>167</v>
      </c>
      <c r="C645" s="80" t="s">
        <v>114</v>
      </c>
      <c r="D645" s="80" t="s">
        <v>80</v>
      </c>
      <c r="E645" s="80" t="s">
        <v>139</v>
      </c>
      <c r="F645" s="22">
        <f>'[1]4'!G862</f>
        <v>50.11917000000001</v>
      </c>
      <c r="G645" s="81">
        <v>43.52409</v>
      </c>
      <c r="H645" s="166">
        <f t="shared" si="24"/>
        <v>0.8684120267753834</v>
      </c>
    </row>
    <row r="646" spans="1:8" ht="31.5">
      <c r="A646" s="79" t="s">
        <v>152</v>
      </c>
      <c r="B646" s="80" t="s">
        <v>167</v>
      </c>
      <c r="C646" s="80" t="s">
        <v>114</v>
      </c>
      <c r="D646" s="80" t="s">
        <v>80</v>
      </c>
      <c r="E646" s="80" t="s">
        <v>153</v>
      </c>
      <c r="F646" s="22">
        <f>'[1]4'!G863</f>
        <v>3124.491830000001</v>
      </c>
      <c r="G646" s="81">
        <v>2857.71641</v>
      </c>
      <c r="H646" s="166">
        <f t="shared" si="24"/>
        <v>0.9146179812542506</v>
      </c>
    </row>
    <row r="647" spans="1:8" ht="47.25">
      <c r="A647" s="82" t="s">
        <v>698</v>
      </c>
      <c r="B647" s="83" t="s">
        <v>167</v>
      </c>
      <c r="C647" s="83" t="s">
        <v>114</v>
      </c>
      <c r="D647" s="83" t="s">
        <v>22</v>
      </c>
      <c r="E647" s="83" t="s">
        <v>315</v>
      </c>
      <c r="F647" s="84">
        <f aca="true" t="shared" si="25" ref="F647:G650">F648</f>
        <v>329.26102</v>
      </c>
      <c r="G647" s="84">
        <f t="shared" si="25"/>
        <v>328.8</v>
      </c>
      <c r="H647" s="166">
        <f t="shared" si="24"/>
        <v>0.9985998342591541</v>
      </c>
    </row>
    <row r="648" spans="1:8" ht="31.5">
      <c r="A648" s="126" t="s">
        <v>350</v>
      </c>
      <c r="B648" s="83" t="s">
        <v>167</v>
      </c>
      <c r="C648" s="83" t="s">
        <v>114</v>
      </c>
      <c r="D648" s="83" t="s">
        <v>56</v>
      </c>
      <c r="E648" s="83" t="s">
        <v>315</v>
      </c>
      <c r="F648" s="84">
        <f t="shared" si="25"/>
        <v>329.26102</v>
      </c>
      <c r="G648" s="84">
        <f t="shared" si="25"/>
        <v>328.8</v>
      </c>
      <c r="H648" s="166">
        <f t="shared" si="24"/>
        <v>0.9985998342591541</v>
      </c>
    </row>
    <row r="649" spans="1:8" ht="63">
      <c r="A649" s="82" t="s">
        <v>503</v>
      </c>
      <c r="B649" s="83" t="s">
        <v>167</v>
      </c>
      <c r="C649" s="83" t="s">
        <v>114</v>
      </c>
      <c r="D649" s="83" t="s">
        <v>56</v>
      </c>
      <c r="E649" s="83" t="s">
        <v>315</v>
      </c>
      <c r="F649" s="84">
        <f t="shared" si="25"/>
        <v>329.26102</v>
      </c>
      <c r="G649" s="84">
        <f t="shared" si="25"/>
        <v>328.8</v>
      </c>
      <c r="H649" s="166">
        <f t="shared" si="24"/>
        <v>0.9985998342591541</v>
      </c>
    </row>
    <row r="650" spans="1:8" ht="31.5">
      <c r="A650" s="93" t="s">
        <v>151</v>
      </c>
      <c r="B650" s="80" t="s">
        <v>167</v>
      </c>
      <c r="C650" s="80" t="s">
        <v>114</v>
      </c>
      <c r="D650" s="80" t="s">
        <v>57</v>
      </c>
      <c r="E650" s="80" t="s">
        <v>113</v>
      </c>
      <c r="F650" s="81">
        <f t="shared" si="25"/>
        <v>329.26102</v>
      </c>
      <c r="G650" s="81">
        <f t="shared" si="25"/>
        <v>328.8</v>
      </c>
      <c r="H650" s="166">
        <f t="shared" si="24"/>
        <v>0.9985998342591541</v>
      </c>
    </row>
    <row r="651" spans="1:8" ht="31.5">
      <c r="A651" s="93" t="s">
        <v>152</v>
      </c>
      <c r="B651" s="80" t="s">
        <v>167</v>
      </c>
      <c r="C651" s="80" t="s">
        <v>114</v>
      </c>
      <c r="D651" s="80" t="s">
        <v>57</v>
      </c>
      <c r="E651" s="80" t="s">
        <v>153</v>
      </c>
      <c r="F651" s="22">
        <f>300-22.13898+51.4</f>
        <v>329.26102</v>
      </c>
      <c r="G651" s="81">
        <v>328.8</v>
      </c>
      <c r="H651" s="166">
        <f t="shared" si="24"/>
        <v>0.9985998342591541</v>
      </c>
    </row>
    <row r="652" spans="1:8" ht="141.75">
      <c r="A652" s="110" t="s">
        <v>541</v>
      </c>
      <c r="B652" s="88" t="s">
        <v>167</v>
      </c>
      <c r="C652" s="88" t="s">
        <v>114</v>
      </c>
      <c r="D652" s="88" t="s">
        <v>523</v>
      </c>
      <c r="E652" s="88" t="s">
        <v>315</v>
      </c>
      <c r="F652" s="89">
        <f>F653+F658+F661</f>
        <v>21154.42707</v>
      </c>
      <c r="G652" s="89">
        <f>G653+G658+G661</f>
        <v>19986.533290000003</v>
      </c>
      <c r="H652" s="266">
        <f t="shared" si="24"/>
        <v>0.9447919919487567</v>
      </c>
    </row>
    <row r="653" spans="1:8" ht="78.75">
      <c r="A653" s="95" t="s">
        <v>738</v>
      </c>
      <c r="B653" s="83" t="s">
        <v>167</v>
      </c>
      <c r="C653" s="83" t="s">
        <v>114</v>
      </c>
      <c r="D653" s="80" t="s">
        <v>526</v>
      </c>
      <c r="E653" s="83" t="s">
        <v>315</v>
      </c>
      <c r="F653" s="84">
        <f>F654+F656</f>
        <v>7746.885799999999</v>
      </c>
      <c r="G653" s="84">
        <f>G654+G656</f>
        <v>7584.4463000000005</v>
      </c>
      <c r="H653" s="166">
        <f t="shared" si="24"/>
        <v>0.9790316387521811</v>
      </c>
    </row>
    <row r="654" spans="1:8" ht="31.5">
      <c r="A654" s="79" t="s">
        <v>137</v>
      </c>
      <c r="B654" s="80" t="s">
        <v>167</v>
      </c>
      <c r="C654" s="80" t="s">
        <v>114</v>
      </c>
      <c r="D654" s="80" t="s">
        <v>526</v>
      </c>
      <c r="E654" s="80" t="s">
        <v>112</v>
      </c>
      <c r="F654" s="81">
        <f>F655</f>
        <v>376.71</v>
      </c>
      <c r="G654" s="81">
        <f>G655</f>
        <v>319.8023</v>
      </c>
      <c r="H654" s="166">
        <f t="shared" si="24"/>
        <v>0.8489349897799369</v>
      </c>
    </row>
    <row r="655" spans="1:8" ht="47.25">
      <c r="A655" s="93" t="s">
        <v>138</v>
      </c>
      <c r="B655" s="80" t="s">
        <v>167</v>
      </c>
      <c r="C655" s="80" t="s">
        <v>114</v>
      </c>
      <c r="D655" s="80" t="s">
        <v>526</v>
      </c>
      <c r="E655" s="80" t="s">
        <v>139</v>
      </c>
      <c r="F655" s="22">
        <f>'[1]4'!G503</f>
        <v>376.71</v>
      </c>
      <c r="G655" s="81">
        <v>319.8023</v>
      </c>
      <c r="H655" s="166">
        <f t="shared" si="24"/>
        <v>0.8489349897799369</v>
      </c>
    </row>
    <row r="656" spans="1:8" ht="47.25">
      <c r="A656" s="93" t="s">
        <v>440</v>
      </c>
      <c r="B656" s="80" t="s">
        <v>167</v>
      </c>
      <c r="C656" s="80" t="s">
        <v>114</v>
      </c>
      <c r="D656" s="80" t="s">
        <v>526</v>
      </c>
      <c r="E656" s="80" t="s">
        <v>441</v>
      </c>
      <c r="F656" s="22">
        <f>F657</f>
        <v>7370.175799999999</v>
      </c>
      <c r="G656" s="22">
        <f>G657</f>
        <v>7264.644</v>
      </c>
      <c r="H656" s="166">
        <f t="shared" si="24"/>
        <v>0.9856812370744266</v>
      </c>
    </row>
    <row r="657" spans="1:8" ht="15.75">
      <c r="A657" s="93" t="s">
        <v>442</v>
      </c>
      <c r="B657" s="80" t="s">
        <v>167</v>
      </c>
      <c r="C657" s="80" t="s">
        <v>114</v>
      </c>
      <c r="D657" s="80" t="s">
        <v>526</v>
      </c>
      <c r="E657" s="80" t="s">
        <v>443</v>
      </c>
      <c r="F657" s="22">
        <f>'[1]4'!G505</f>
        <v>7370.175799999999</v>
      </c>
      <c r="G657" s="81">
        <v>7264.644</v>
      </c>
      <c r="H657" s="166">
        <f t="shared" si="24"/>
        <v>0.9856812370744266</v>
      </c>
    </row>
    <row r="658" spans="1:8" ht="94.5" hidden="1">
      <c r="A658" s="95" t="s">
        <v>739</v>
      </c>
      <c r="B658" s="80" t="s">
        <v>167</v>
      </c>
      <c r="C658" s="80" t="s">
        <v>114</v>
      </c>
      <c r="D658" s="83" t="s">
        <v>580</v>
      </c>
      <c r="E658" s="83" t="s">
        <v>315</v>
      </c>
      <c r="F658" s="84">
        <f>F659</f>
        <v>0</v>
      </c>
      <c r="G658" s="81"/>
      <c r="H658" s="166" t="e">
        <f t="shared" si="24"/>
        <v>#DIV/0!</v>
      </c>
    </row>
    <row r="659" spans="1:8" ht="47.25" hidden="1">
      <c r="A659" s="93" t="s">
        <v>440</v>
      </c>
      <c r="B659" s="80" t="s">
        <v>167</v>
      </c>
      <c r="C659" s="80" t="s">
        <v>114</v>
      </c>
      <c r="D659" s="80" t="s">
        <v>580</v>
      </c>
      <c r="E659" s="80" t="s">
        <v>441</v>
      </c>
      <c r="F659" s="81">
        <f>F660</f>
        <v>0</v>
      </c>
      <c r="G659" s="81"/>
      <c r="H659" s="166" t="e">
        <f t="shared" si="24"/>
        <v>#DIV/0!</v>
      </c>
    </row>
    <row r="660" spans="1:8" ht="15.75" hidden="1">
      <c r="A660" s="93" t="s">
        <v>442</v>
      </c>
      <c r="B660" s="80" t="s">
        <v>167</v>
      </c>
      <c r="C660" s="80" t="s">
        <v>114</v>
      </c>
      <c r="D660" s="80" t="s">
        <v>580</v>
      </c>
      <c r="E660" s="80" t="s">
        <v>443</v>
      </c>
      <c r="F660" s="22">
        <f>12784.77-12784.77</f>
        <v>0</v>
      </c>
      <c r="G660" s="81"/>
      <c r="H660" s="166" t="e">
        <f t="shared" si="24"/>
        <v>#DIV/0!</v>
      </c>
    </row>
    <row r="661" spans="1:8" ht="110.25">
      <c r="A661" s="82" t="s">
        <v>471</v>
      </c>
      <c r="B661" s="83" t="s">
        <v>167</v>
      </c>
      <c r="C661" s="83" t="s">
        <v>114</v>
      </c>
      <c r="D661" s="80" t="s">
        <v>524</v>
      </c>
      <c r="E661" s="83" t="s">
        <v>315</v>
      </c>
      <c r="F661" s="84">
        <f>F662+F664</f>
        <v>13407.541270000002</v>
      </c>
      <c r="G661" s="84">
        <f>G662+G664</f>
        <v>12402.086990000002</v>
      </c>
      <c r="H661" s="166">
        <f t="shared" si="24"/>
        <v>0.925008302435753</v>
      </c>
    </row>
    <row r="662" spans="1:8" ht="31.5">
      <c r="A662" s="79" t="s">
        <v>137</v>
      </c>
      <c r="B662" s="80" t="s">
        <v>167</v>
      </c>
      <c r="C662" s="80" t="s">
        <v>114</v>
      </c>
      <c r="D662" s="80" t="s">
        <v>524</v>
      </c>
      <c r="E662" s="80" t="s">
        <v>112</v>
      </c>
      <c r="F662" s="81">
        <f>F663</f>
        <v>150</v>
      </c>
      <c r="G662" s="81">
        <f>G663</f>
        <v>115.89262</v>
      </c>
      <c r="H662" s="166">
        <f t="shared" si="24"/>
        <v>0.7726174666666666</v>
      </c>
    </row>
    <row r="663" spans="1:8" ht="47.25">
      <c r="A663" s="93" t="s">
        <v>138</v>
      </c>
      <c r="B663" s="80" t="s">
        <v>167</v>
      </c>
      <c r="C663" s="80" t="s">
        <v>114</v>
      </c>
      <c r="D663" s="80" t="s">
        <v>524</v>
      </c>
      <c r="E663" s="80" t="s">
        <v>139</v>
      </c>
      <c r="F663" s="22">
        <f>'[1]4'!G516</f>
        <v>150</v>
      </c>
      <c r="G663" s="81">
        <v>115.89262</v>
      </c>
      <c r="H663" s="166">
        <f t="shared" si="24"/>
        <v>0.7726174666666666</v>
      </c>
    </row>
    <row r="664" spans="1:8" ht="31.5">
      <c r="A664" s="79" t="s">
        <v>151</v>
      </c>
      <c r="B664" s="80" t="s">
        <v>167</v>
      </c>
      <c r="C664" s="80" t="s">
        <v>114</v>
      </c>
      <c r="D664" s="80" t="s">
        <v>524</v>
      </c>
      <c r="E664" s="80" t="s">
        <v>113</v>
      </c>
      <c r="F664" s="81">
        <f>F665+F666</f>
        <v>13257.541270000002</v>
      </c>
      <c r="G664" s="81">
        <f>G665+G666</f>
        <v>12286.194370000001</v>
      </c>
      <c r="H664" s="166">
        <f t="shared" si="24"/>
        <v>0.9267325003771231</v>
      </c>
    </row>
    <row r="665" spans="1:8" ht="31.5">
      <c r="A665" s="93" t="s">
        <v>152</v>
      </c>
      <c r="B665" s="80" t="s">
        <v>167</v>
      </c>
      <c r="C665" s="80" t="s">
        <v>114</v>
      </c>
      <c r="D665" s="80" t="s">
        <v>524</v>
      </c>
      <c r="E665" s="80" t="s">
        <v>153</v>
      </c>
      <c r="F665" s="22">
        <f>'[1]4'!G518</f>
        <v>11057.541270000002</v>
      </c>
      <c r="G665" s="81">
        <v>10563.64933</v>
      </c>
      <c r="H665" s="166">
        <f t="shared" si="24"/>
        <v>0.9553343796834862</v>
      </c>
    </row>
    <row r="666" spans="1:8" ht="47.25">
      <c r="A666" s="79" t="s">
        <v>154</v>
      </c>
      <c r="B666" s="80" t="s">
        <v>167</v>
      </c>
      <c r="C666" s="80" t="s">
        <v>114</v>
      </c>
      <c r="D666" s="80" t="s">
        <v>524</v>
      </c>
      <c r="E666" s="80" t="s">
        <v>155</v>
      </c>
      <c r="F666" s="22">
        <f>'[1]4'!G519</f>
        <v>2200</v>
      </c>
      <c r="G666" s="81">
        <v>1722.54504</v>
      </c>
      <c r="H666" s="166">
        <f t="shared" si="24"/>
        <v>0.7829750181818181</v>
      </c>
    </row>
    <row r="667" spans="1:8" ht="45" hidden="1">
      <c r="A667" s="18" t="s">
        <v>740</v>
      </c>
      <c r="B667" s="80" t="s">
        <v>167</v>
      </c>
      <c r="C667" s="80" t="s">
        <v>114</v>
      </c>
      <c r="D667" s="13" t="s">
        <v>741</v>
      </c>
      <c r="E667" s="13" t="s">
        <v>315</v>
      </c>
      <c r="F667" s="27">
        <f>F668</f>
        <v>0</v>
      </c>
      <c r="G667" s="255"/>
      <c r="H667" s="266" t="e">
        <f t="shared" si="24"/>
        <v>#DIV/0!</v>
      </c>
    </row>
    <row r="668" spans="1:8" ht="38.25" hidden="1">
      <c r="A668" s="128" t="s">
        <v>742</v>
      </c>
      <c r="B668" s="80" t="s">
        <v>167</v>
      </c>
      <c r="C668" s="80" t="s">
        <v>114</v>
      </c>
      <c r="D668" s="13" t="s">
        <v>743</v>
      </c>
      <c r="E668" s="105" t="s">
        <v>113</v>
      </c>
      <c r="F668" s="129">
        <f>F669</f>
        <v>0</v>
      </c>
      <c r="G668" s="255"/>
      <c r="H668" s="266" t="e">
        <f t="shared" si="24"/>
        <v>#DIV/0!</v>
      </c>
    </row>
    <row r="669" spans="1:8" ht="30" hidden="1">
      <c r="A669" s="99" t="s">
        <v>154</v>
      </c>
      <c r="B669" s="80" t="s">
        <v>167</v>
      </c>
      <c r="C669" s="80" t="s">
        <v>114</v>
      </c>
      <c r="D669" s="13" t="s">
        <v>743</v>
      </c>
      <c r="E669" s="105" t="s">
        <v>155</v>
      </c>
      <c r="F669" s="129">
        <v>0</v>
      </c>
      <c r="G669" s="255"/>
      <c r="H669" s="266" t="e">
        <f t="shared" si="24"/>
        <v>#DIV/0!</v>
      </c>
    </row>
    <row r="670" spans="1:8" s="143" customFormat="1" ht="15.75">
      <c r="A670" s="73" t="s">
        <v>170</v>
      </c>
      <c r="B670" s="74" t="s">
        <v>120</v>
      </c>
      <c r="C670" s="74" t="s">
        <v>104</v>
      </c>
      <c r="D670" s="74" t="s">
        <v>243</v>
      </c>
      <c r="E670" s="74" t="s">
        <v>315</v>
      </c>
      <c r="F670" s="75">
        <f>F671</f>
        <v>8900.6368</v>
      </c>
      <c r="G670" s="75">
        <f>G671</f>
        <v>8820.60939</v>
      </c>
      <c r="H670" s="265">
        <f t="shared" si="24"/>
        <v>0.9910087995052218</v>
      </c>
    </row>
    <row r="671" spans="1:8" ht="15.75">
      <c r="A671" s="76" t="s">
        <v>260</v>
      </c>
      <c r="B671" s="77" t="s">
        <v>120</v>
      </c>
      <c r="C671" s="77" t="s">
        <v>105</v>
      </c>
      <c r="D671" s="77" t="s">
        <v>243</v>
      </c>
      <c r="E671" s="77" t="s">
        <v>315</v>
      </c>
      <c r="F671" s="78">
        <f>F672</f>
        <v>8900.6368</v>
      </c>
      <c r="G671" s="78">
        <f>G672</f>
        <v>8820.60939</v>
      </c>
      <c r="H671" s="267">
        <f t="shared" si="24"/>
        <v>0.9910087995052218</v>
      </c>
    </row>
    <row r="672" spans="1:8" ht="47.25">
      <c r="A672" s="82" t="s">
        <v>744</v>
      </c>
      <c r="B672" s="83" t="s">
        <v>120</v>
      </c>
      <c r="C672" s="83" t="s">
        <v>105</v>
      </c>
      <c r="D672" s="83" t="s">
        <v>81</v>
      </c>
      <c r="E672" s="83" t="s">
        <v>315</v>
      </c>
      <c r="F672" s="84">
        <f>F673+F680+F685+F689+F696+F703</f>
        <v>8900.6368</v>
      </c>
      <c r="G672" s="84">
        <f>G673+G680+G685+G689+G696+G703</f>
        <v>8820.60939</v>
      </c>
      <c r="H672" s="166">
        <f t="shared" si="24"/>
        <v>0.9910087995052218</v>
      </c>
    </row>
    <row r="673" spans="1:8" ht="31.5">
      <c r="A673" s="79" t="s">
        <v>171</v>
      </c>
      <c r="B673" s="80" t="s">
        <v>120</v>
      </c>
      <c r="C673" s="80" t="s">
        <v>105</v>
      </c>
      <c r="D673" s="80" t="s">
        <v>82</v>
      </c>
      <c r="E673" s="80" t="s">
        <v>315</v>
      </c>
      <c r="F673" s="81">
        <f>F674+F678</f>
        <v>509.6368</v>
      </c>
      <c r="G673" s="81">
        <f>G674+G678</f>
        <v>508.28479999999996</v>
      </c>
      <c r="H673" s="166">
        <f t="shared" si="24"/>
        <v>0.9973471303485149</v>
      </c>
    </row>
    <row r="674" spans="1:8" ht="31.5">
      <c r="A674" s="79" t="s">
        <v>137</v>
      </c>
      <c r="B674" s="80" t="s">
        <v>120</v>
      </c>
      <c r="C674" s="80" t="s">
        <v>105</v>
      </c>
      <c r="D674" s="80" t="s">
        <v>82</v>
      </c>
      <c r="E674" s="80" t="s">
        <v>112</v>
      </c>
      <c r="F674" s="22">
        <f>F675</f>
        <v>212</v>
      </c>
      <c r="G674" s="22">
        <f>G675</f>
        <v>211.2</v>
      </c>
      <c r="H674" s="166">
        <f aca="true" t="shared" si="26" ref="H674:H720">G674/F674</f>
        <v>0.9962264150943396</v>
      </c>
    </row>
    <row r="675" spans="1:8" ht="47.25">
      <c r="A675" s="93" t="s">
        <v>138</v>
      </c>
      <c r="B675" s="80" t="s">
        <v>120</v>
      </c>
      <c r="C675" s="80" t="s">
        <v>105</v>
      </c>
      <c r="D675" s="80" t="s">
        <v>82</v>
      </c>
      <c r="E675" s="80" t="s">
        <v>139</v>
      </c>
      <c r="F675" s="22">
        <f>'[1]5'!D99</f>
        <v>212</v>
      </c>
      <c r="G675" s="81">
        <v>211.2</v>
      </c>
      <c r="H675" s="166">
        <f t="shared" si="26"/>
        <v>0.9962264150943396</v>
      </c>
    </row>
    <row r="676" spans="1:8" ht="47.25">
      <c r="A676" s="79" t="s">
        <v>445</v>
      </c>
      <c r="B676" s="80" t="s">
        <v>120</v>
      </c>
      <c r="C676" s="80" t="s">
        <v>105</v>
      </c>
      <c r="D676" s="80" t="s">
        <v>82</v>
      </c>
      <c r="E676" s="80" t="s">
        <v>161</v>
      </c>
      <c r="F676" s="22">
        <f aca="true" t="shared" si="27" ref="F676:G678">F677</f>
        <v>297.6368</v>
      </c>
      <c r="G676" s="22">
        <f t="shared" si="27"/>
        <v>297.0848</v>
      </c>
      <c r="H676" s="166">
        <f t="shared" si="26"/>
        <v>0.99814539062374</v>
      </c>
    </row>
    <row r="677" spans="1:8" ht="15.75">
      <c r="A677" s="79" t="s">
        <v>127</v>
      </c>
      <c r="B677" s="80" t="s">
        <v>120</v>
      </c>
      <c r="C677" s="80" t="s">
        <v>105</v>
      </c>
      <c r="D677" s="80" t="s">
        <v>82</v>
      </c>
      <c r="E677" s="80" t="s">
        <v>220</v>
      </c>
      <c r="F677" s="22">
        <f t="shared" si="27"/>
        <v>297.6368</v>
      </c>
      <c r="G677" s="22">
        <f t="shared" si="27"/>
        <v>297.0848</v>
      </c>
      <c r="H677" s="166">
        <f t="shared" si="26"/>
        <v>0.99814539062374</v>
      </c>
    </row>
    <row r="678" spans="1:8" ht="47.25">
      <c r="A678" s="79" t="s">
        <v>445</v>
      </c>
      <c r="B678" s="80" t="s">
        <v>120</v>
      </c>
      <c r="C678" s="80" t="s">
        <v>105</v>
      </c>
      <c r="D678" s="80" t="s">
        <v>82</v>
      </c>
      <c r="E678" s="80" t="s">
        <v>161</v>
      </c>
      <c r="F678" s="22">
        <f t="shared" si="27"/>
        <v>297.6368</v>
      </c>
      <c r="G678" s="22">
        <f t="shared" si="27"/>
        <v>297.0848</v>
      </c>
      <c r="H678" s="166">
        <f t="shared" si="26"/>
        <v>0.99814539062374</v>
      </c>
    </row>
    <row r="679" spans="1:8" ht="15.75">
      <c r="A679" s="79" t="s">
        <v>127</v>
      </c>
      <c r="B679" s="80" t="s">
        <v>120</v>
      </c>
      <c r="C679" s="80" t="s">
        <v>105</v>
      </c>
      <c r="D679" s="80" t="s">
        <v>82</v>
      </c>
      <c r="E679" s="80" t="s">
        <v>220</v>
      </c>
      <c r="F679" s="22">
        <f>251-19.3632+66</f>
        <v>297.6368</v>
      </c>
      <c r="G679" s="81">
        <v>297.0848</v>
      </c>
      <c r="H679" s="166">
        <f t="shared" si="26"/>
        <v>0.99814539062374</v>
      </c>
    </row>
    <row r="680" spans="1:8" ht="47.25">
      <c r="A680" s="10" t="s">
        <v>510</v>
      </c>
      <c r="B680" s="9" t="s">
        <v>120</v>
      </c>
      <c r="C680" s="9" t="s">
        <v>105</v>
      </c>
      <c r="D680" s="9" t="s">
        <v>509</v>
      </c>
      <c r="E680" s="9" t="s">
        <v>315</v>
      </c>
      <c r="F680" s="23">
        <f>F681+F683</f>
        <v>4284</v>
      </c>
      <c r="G680" s="23">
        <f>G681+G683</f>
        <v>4278.45724</v>
      </c>
      <c r="H680" s="166">
        <f t="shared" si="26"/>
        <v>0.9987061718020541</v>
      </c>
    </row>
    <row r="681" spans="1:8" ht="31.5">
      <c r="A681" s="8" t="s">
        <v>137</v>
      </c>
      <c r="B681" s="3" t="s">
        <v>120</v>
      </c>
      <c r="C681" s="3" t="s">
        <v>105</v>
      </c>
      <c r="D681" s="3" t="s">
        <v>509</v>
      </c>
      <c r="E681" s="3" t="s">
        <v>112</v>
      </c>
      <c r="F681" s="22">
        <f>F682</f>
        <v>4284</v>
      </c>
      <c r="G681" s="22">
        <f>G682</f>
        <v>4278.45724</v>
      </c>
      <c r="H681" s="166">
        <f t="shared" si="26"/>
        <v>0.9987061718020541</v>
      </c>
    </row>
    <row r="682" spans="1:8" ht="47.25">
      <c r="A682" s="17" t="s">
        <v>138</v>
      </c>
      <c r="B682" s="3" t="s">
        <v>120</v>
      </c>
      <c r="C682" s="3" t="s">
        <v>105</v>
      </c>
      <c r="D682" s="3" t="s">
        <v>509</v>
      </c>
      <c r="E682" s="3" t="s">
        <v>139</v>
      </c>
      <c r="F682" s="22">
        <f>'[1]4'!G547</f>
        <v>4284</v>
      </c>
      <c r="G682" s="81">
        <v>4278.45724</v>
      </c>
      <c r="H682" s="166">
        <f t="shared" si="26"/>
        <v>0.9987061718020541</v>
      </c>
    </row>
    <row r="683" spans="1:8" ht="47.25" hidden="1">
      <c r="A683" s="17" t="s">
        <v>440</v>
      </c>
      <c r="B683" s="3" t="s">
        <v>120</v>
      </c>
      <c r="C683" s="3" t="s">
        <v>105</v>
      </c>
      <c r="D683" s="3" t="s">
        <v>509</v>
      </c>
      <c r="E683" s="3" t="s">
        <v>441</v>
      </c>
      <c r="F683" s="22">
        <f>F684</f>
        <v>0</v>
      </c>
      <c r="G683" s="81"/>
      <c r="H683" s="166" t="e">
        <f t="shared" si="26"/>
        <v>#DIV/0!</v>
      </c>
    </row>
    <row r="684" spans="1:8" ht="15.75" hidden="1">
      <c r="A684" s="17" t="s">
        <v>442</v>
      </c>
      <c r="B684" s="3" t="s">
        <v>120</v>
      </c>
      <c r="C684" s="3" t="s">
        <v>105</v>
      </c>
      <c r="D684" s="3" t="s">
        <v>509</v>
      </c>
      <c r="E684" s="3" t="s">
        <v>443</v>
      </c>
      <c r="F684" s="22">
        <v>0</v>
      </c>
      <c r="G684" s="81"/>
      <c r="H684" s="166" t="e">
        <f t="shared" si="26"/>
        <v>#DIV/0!</v>
      </c>
    </row>
    <row r="685" spans="1:8" ht="47.25" hidden="1">
      <c r="A685" s="103" t="s">
        <v>444</v>
      </c>
      <c r="B685" s="97" t="s">
        <v>120</v>
      </c>
      <c r="C685" s="97" t="s">
        <v>105</v>
      </c>
      <c r="D685" s="97" t="s">
        <v>243</v>
      </c>
      <c r="E685" s="97" t="s">
        <v>315</v>
      </c>
      <c r="F685" s="98">
        <f>F686</f>
        <v>0</v>
      </c>
      <c r="G685" s="81"/>
      <c r="H685" s="166" t="e">
        <f t="shared" si="26"/>
        <v>#DIV/0!</v>
      </c>
    </row>
    <row r="686" spans="1:8" ht="110.25" hidden="1">
      <c r="A686" s="79" t="s">
        <v>745</v>
      </c>
      <c r="B686" s="80" t="s">
        <v>120</v>
      </c>
      <c r="C686" s="80" t="s">
        <v>105</v>
      </c>
      <c r="D686" s="80" t="s">
        <v>746</v>
      </c>
      <c r="E686" s="80" t="s">
        <v>315</v>
      </c>
      <c r="F686" s="81">
        <f>F687</f>
        <v>0</v>
      </c>
      <c r="G686" s="81"/>
      <c r="H686" s="166" t="e">
        <f t="shared" si="26"/>
        <v>#DIV/0!</v>
      </c>
    </row>
    <row r="687" spans="1:8" ht="47.25" hidden="1">
      <c r="A687" s="93" t="s">
        <v>747</v>
      </c>
      <c r="B687" s="80" t="s">
        <v>120</v>
      </c>
      <c r="C687" s="80" t="s">
        <v>105</v>
      </c>
      <c r="D687" s="80" t="s">
        <v>746</v>
      </c>
      <c r="E687" s="80" t="s">
        <v>441</v>
      </c>
      <c r="F687" s="81">
        <f>F688</f>
        <v>0</v>
      </c>
      <c r="G687" s="81"/>
      <c r="H687" s="166" t="e">
        <f t="shared" si="26"/>
        <v>#DIV/0!</v>
      </c>
    </row>
    <row r="688" spans="1:8" ht="15.75" hidden="1">
      <c r="A688" s="93" t="s">
        <v>442</v>
      </c>
      <c r="B688" s="80" t="s">
        <v>120</v>
      </c>
      <c r="C688" s="80" t="s">
        <v>105</v>
      </c>
      <c r="D688" s="80" t="s">
        <v>746</v>
      </c>
      <c r="E688" s="80" t="s">
        <v>443</v>
      </c>
      <c r="F688" s="22">
        <f>133.36-74-59.36</f>
        <v>0</v>
      </c>
      <c r="G688" s="81"/>
      <c r="H688" s="166" t="e">
        <f t="shared" si="26"/>
        <v>#DIV/0!</v>
      </c>
    </row>
    <row r="689" spans="1:8" ht="47.25" hidden="1">
      <c r="A689" s="103" t="s">
        <v>617</v>
      </c>
      <c r="B689" s="97" t="s">
        <v>120</v>
      </c>
      <c r="C689" s="97" t="s">
        <v>105</v>
      </c>
      <c r="D689" s="97" t="s">
        <v>243</v>
      </c>
      <c r="E689" s="97" t="s">
        <v>315</v>
      </c>
      <c r="F689" s="98">
        <f>F690+F693</f>
        <v>0</v>
      </c>
      <c r="G689" s="81"/>
      <c r="H689" s="166" t="e">
        <f t="shared" si="26"/>
        <v>#DIV/0!</v>
      </c>
    </row>
    <row r="690" spans="1:8" ht="94.5" hidden="1">
      <c r="A690" s="95" t="s">
        <v>622</v>
      </c>
      <c r="B690" s="83" t="s">
        <v>120</v>
      </c>
      <c r="C690" s="83" t="s">
        <v>105</v>
      </c>
      <c r="D690" s="83" t="s">
        <v>577</v>
      </c>
      <c r="E690" s="83" t="s">
        <v>315</v>
      </c>
      <c r="F690" s="84">
        <f>F691</f>
        <v>0</v>
      </c>
      <c r="G690" s="81"/>
      <c r="H690" s="166" t="e">
        <f t="shared" si="26"/>
        <v>#DIV/0!</v>
      </c>
    </row>
    <row r="691" spans="1:8" ht="31.5" hidden="1">
      <c r="A691" s="79" t="s">
        <v>137</v>
      </c>
      <c r="B691" s="80" t="s">
        <v>120</v>
      </c>
      <c r="C691" s="80" t="s">
        <v>105</v>
      </c>
      <c r="D691" s="80" t="s">
        <v>577</v>
      </c>
      <c r="E691" s="80" t="s">
        <v>112</v>
      </c>
      <c r="F691" s="81">
        <f>F692</f>
        <v>0</v>
      </c>
      <c r="G691" s="81"/>
      <c r="H691" s="166" t="e">
        <f t="shared" si="26"/>
        <v>#DIV/0!</v>
      </c>
    </row>
    <row r="692" spans="1:8" ht="47.25" hidden="1">
      <c r="A692" s="93" t="s">
        <v>138</v>
      </c>
      <c r="B692" s="80" t="s">
        <v>120</v>
      </c>
      <c r="C692" s="80" t="s">
        <v>105</v>
      </c>
      <c r="D692" s="80" t="s">
        <v>577</v>
      </c>
      <c r="E692" s="80" t="s">
        <v>139</v>
      </c>
      <c r="F692" s="81"/>
      <c r="G692" s="81"/>
      <c r="H692" s="166" t="e">
        <f t="shared" si="26"/>
        <v>#DIV/0!</v>
      </c>
    </row>
    <row r="693" spans="1:8" ht="63" hidden="1">
      <c r="A693" s="82" t="s">
        <v>618</v>
      </c>
      <c r="B693" s="83" t="s">
        <v>120</v>
      </c>
      <c r="C693" s="83" t="s">
        <v>105</v>
      </c>
      <c r="D693" s="83" t="s">
        <v>748</v>
      </c>
      <c r="E693" s="83" t="s">
        <v>315</v>
      </c>
      <c r="F693" s="84">
        <f>F694</f>
        <v>0</v>
      </c>
      <c r="G693" s="81"/>
      <c r="H693" s="166" t="e">
        <f t="shared" si="26"/>
        <v>#DIV/0!</v>
      </c>
    </row>
    <row r="694" spans="1:8" ht="31.5" hidden="1">
      <c r="A694" s="79" t="s">
        <v>137</v>
      </c>
      <c r="B694" s="80" t="s">
        <v>120</v>
      </c>
      <c r="C694" s="80" t="s">
        <v>105</v>
      </c>
      <c r="D694" s="80" t="s">
        <v>748</v>
      </c>
      <c r="E694" s="80" t="s">
        <v>112</v>
      </c>
      <c r="F694" s="81">
        <f>F695</f>
        <v>0</v>
      </c>
      <c r="G694" s="81"/>
      <c r="H694" s="166" t="e">
        <f t="shared" si="26"/>
        <v>#DIV/0!</v>
      </c>
    </row>
    <row r="695" spans="1:8" ht="47.25" hidden="1">
      <c r="A695" s="93" t="s">
        <v>138</v>
      </c>
      <c r="B695" s="80" t="s">
        <v>120</v>
      </c>
      <c r="C695" s="80" t="s">
        <v>105</v>
      </c>
      <c r="D695" s="80" t="s">
        <v>748</v>
      </c>
      <c r="E695" s="80" t="s">
        <v>139</v>
      </c>
      <c r="F695" s="81"/>
      <c r="G695" s="81"/>
      <c r="H695" s="166" t="e">
        <f t="shared" si="26"/>
        <v>#DIV/0!</v>
      </c>
    </row>
    <row r="696" spans="1:8" ht="78.75">
      <c r="A696" s="96" t="s">
        <v>613</v>
      </c>
      <c r="B696" s="97" t="s">
        <v>120</v>
      </c>
      <c r="C696" s="97" t="s">
        <v>105</v>
      </c>
      <c r="D696" s="97" t="s">
        <v>243</v>
      </c>
      <c r="E696" s="97" t="s">
        <v>315</v>
      </c>
      <c r="F696" s="98">
        <f>F697+F700</f>
        <v>4107</v>
      </c>
      <c r="G696" s="172">
        <f>G697+G700</f>
        <v>4033.86735</v>
      </c>
      <c r="H696" s="166">
        <f t="shared" si="26"/>
        <v>0.9821931701972243</v>
      </c>
    </row>
    <row r="697" spans="1:8" ht="94.5">
      <c r="A697" s="95" t="s">
        <v>600</v>
      </c>
      <c r="B697" s="83" t="s">
        <v>120</v>
      </c>
      <c r="C697" s="83" t="s">
        <v>105</v>
      </c>
      <c r="D697" s="83" t="s">
        <v>578</v>
      </c>
      <c r="E697" s="83" t="s">
        <v>315</v>
      </c>
      <c r="F697" s="84">
        <f>F698</f>
        <v>4065.93</v>
      </c>
      <c r="G697" s="84">
        <f>G698</f>
        <v>3993.52868</v>
      </c>
      <c r="H697" s="166">
        <f t="shared" si="26"/>
        <v>0.9821931710580359</v>
      </c>
    </row>
    <row r="698" spans="1:8" ht="31.5">
      <c r="A698" s="79" t="s">
        <v>137</v>
      </c>
      <c r="B698" s="80" t="s">
        <v>120</v>
      </c>
      <c r="C698" s="80" t="s">
        <v>105</v>
      </c>
      <c r="D698" s="80" t="s">
        <v>578</v>
      </c>
      <c r="E698" s="80" t="s">
        <v>112</v>
      </c>
      <c r="F698" s="81">
        <f>F699</f>
        <v>4065.93</v>
      </c>
      <c r="G698" s="81">
        <f>G699</f>
        <v>3993.52868</v>
      </c>
      <c r="H698" s="166">
        <f t="shared" si="26"/>
        <v>0.9821931710580359</v>
      </c>
    </row>
    <row r="699" spans="1:8" ht="47.25">
      <c r="A699" s="93" t="s">
        <v>138</v>
      </c>
      <c r="B699" s="80" t="s">
        <v>120</v>
      </c>
      <c r="C699" s="80" t="s">
        <v>105</v>
      </c>
      <c r="D699" s="80" t="s">
        <v>578</v>
      </c>
      <c r="E699" s="80" t="s">
        <v>139</v>
      </c>
      <c r="F699" s="81">
        <v>4065.93</v>
      </c>
      <c r="G699" s="81">
        <v>3993.52868</v>
      </c>
      <c r="H699" s="166">
        <f t="shared" si="26"/>
        <v>0.9821931710580359</v>
      </c>
    </row>
    <row r="700" spans="1:8" ht="126">
      <c r="A700" s="95" t="s">
        <v>623</v>
      </c>
      <c r="B700" s="83" t="s">
        <v>120</v>
      </c>
      <c r="C700" s="83" t="s">
        <v>105</v>
      </c>
      <c r="D700" s="83" t="s">
        <v>749</v>
      </c>
      <c r="E700" s="83" t="s">
        <v>315</v>
      </c>
      <c r="F700" s="84">
        <f>F701</f>
        <v>41.07</v>
      </c>
      <c r="G700" s="84">
        <f>G701</f>
        <v>40.33867</v>
      </c>
      <c r="H700" s="166">
        <f t="shared" si="26"/>
        <v>0.9821930849768687</v>
      </c>
    </row>
    <row r="701" spans="1:8" ht="31.5">
      <c r="A701" s="79" t="s">
        <v>137</v>
      </c>
      <c r="B701" s="80" t="s">
        <v>120</v>
      </c>
      <c r="C701" s="80" t="s">
        <v>105</v>
      </c>
      <c r="D701" s="80" t="s">
        <v>749</v>
      </c>
      <c r="E701" s="80" t="s">
        <v>112</v>
      </c>
      <c r="F701" s="81">
        <f>F702</f>
        <v>41.07</v>
      </c>
      <c r="G701" s="81">
        <f>G702</f>
        <v>40.33867</v>
      </c>
      <c r="H701" s="166">
        <f t="shared" si="26"/>
        <v>0.9821930849768687</v>
      </c>
    </row>
    <row r="702" spans="1:8" ht="47.25">
      <c r="A702" s="93" t="s">
        <v>138</v>
      </c>
      <c r="B702" s="80" t="s">
        <v>120</v>
      </c>
      <c r="C702" s="80" t="s">
        <v>105</v>
      </c>
      <c r="D702" s="80" t="s">
        <v>749</v>
      </c>
      <c r="E702" s="80" t="s">
        <v>139</v>
      </c>
      <c r="F702" s="22">
        <f>41.07</f>
        <v>41.07</v>
      </c>
      <c r="G702" s="81">
        <v>40.33867</v>
      </c>
      <c r="H702" s="166">
        <f t="shared" si="26"/>
        <v>0.9821930849768687</v>
      </c>
    </row>
    <row r="703" spans="1:8" ht="31.5" hidden="1">
      <c r="A703" s="96" t="s">
        <v>616</v>
      </c>
      <c r="B703" s="97" t="s">
        <v>120</v>
      </c>
      <c r="C703" s="97" t="s">
        <v>105</v>
      </c>
      <c r="D703" s="97" t="s">
        <v>243</v>
      </c>
      <c r="E703" s="97" t="s">
        <v>315</v>
      </c>
      <c r="F703" s="98">
        <f>F707</f>
        <v>0</v>
      </c>
      <c r="G703" s="81"/>
      <c r="H703" s="166" t="e">
        <f t="shared" si="26"/>
        <v>#DIV/0!</v>
      </c>
    </row>
    <row r="704" spans="1:8" ht="47.25" hidden="1">
      <c r="A704" s="95" t="s">
        <v>624</v>
      </c>
      <c r="B704" s="80" t="s">
        <v>120</v>
      </c>
      <c r="C704" s="80" t="s">
        <v>105</v>
      </c>
      <c r="D704" s="80" t="s">
        <v>625</v>
      </c>
      <c r="E704" s="80" t="s">
        <v>315</v>
      </c>
      <c r="F704" s="81" t="e">
        <f>#REF!+#REF!</f>
        <v>#REF!</v>
      </c>
      <c r="G704" s="81"/>
      <c r="H704" s="166" t="e">
        <f t="shared" si="26"/>
        <v>#REF!</v>
      </c>
    </row>
    <row r="705" spans="1:8" ht="31.5" hidden="1">
      <c r="A705" s="79" t="s">
        <v>137</v>
      </c>
      <c r="B705" s="80" t="s">
        <v>120</v>
      </c>
      <c r="C705" s="80" t="s">
        <v>105</v>
      </c>
      <c r="D705" s="80" t="s">
        <v>625</v>
      </c>
      <c r="E705" s="80" t="s">
        <v>112</v>
      </c>
      <c r="F705" s="81" t="e">
        <f>#REF!+#REF!</f>
        <v>#REF!</v>
      </c>
      <c r="G705" s="81"/>
      <c r="H705" s="166" t="e">
        <f t="shared" si="26"/>
        <v>#REF!</v>
      </c>
    </row>
    <row r="706" spans="1:8" ht="47.25" hidden="1">
      <c r="A706" s="93" t="s">
        <v>138</v>
      </c>
      <c r="B706" s="80" t="s">
        <v>120</v>
      </c>
      <c r="C706" s="80" t="s">
        <v>105</v>
      </c>
      <c r="D706" s="80" t="s">
        <v>625</v>
      </c>
      <c r="E706" s="80" t="s">
        <v>139</v>
      </c>
      <c r="F706" s="81" t="e">
        <f>#REF!+#REF!</f>
        <v>#REF!</v>
      </c>
      <c r="G706" s="81"/>
      <c r="H706" s="166" t="e">
        <f t="shared" si="26"/>
        <v>#REF!</v>
      </c>
    </row>
    <row r="707" spans="1:8" ht="78.75" hidden="1">
      <c r="A707" s="95" t="s">
        <v>619</v>
      </c>
      <c r="B707" s="83" t="s">
        <v>120</v>
      </c>
      <c r="C707" s="83" t="s">
        <v>105</v>
      </c>
      <c r="D707" s="83" t="s">
        <v>750</v>
      </c>
      <c r="E707" s="83" t="s">
        <v>315</v>
      </c>
      <c r="F707" s="84">
        <f>F708</f>
        <v>0</v>
      </c>
      <c r="G707" s="81"/>
      <c r="H707" s="166" t="e">
        <f t="shared" si="26"/>
        <v>#DIV/0!</v>
      </c>
    </row>
    <row r="708" spans="1:8" ht="31.5" hidden="1">
      <c r="A708" s="79" t="s">
        <v>137</v>
      </c>
      <c r="B708" s="80" t="s">
        <v>120</v>
      </c>
      <c r="C708" s="80" t="s">
        <v>105</v>
      </c>
      <c r="D708" s="80" t="s">
        <v>750</v>
      </c>
      <c r="E708" s="80" t="s">
        <v>112</v>
      </c>
      <c r="F708" s="81">
        <f>F709</f>
        <v>0</v>
      </c>
      <c r="G708" s="81"/>
      <c r="H708" s="166" t="e">
        <f t="shared" si="26"/>
        <v>#DIV/0!</v>
      </c>
    </row>
    <row r="709" spans="1:8" ht="47.25" hidden="1">
      <c r="A709" s="93" t="s">
        <v>138</v>
      </c>
      <c r="B709" s="80" t="s">
        <v>120</v>
      </c>
      <c r="C709" s="80" t="s">
        <v>105</v>
      </c>
      <c r="D709" s="80" t="s">
        <v>750</v>
      </c>
      <c r="E709" s="80" t="s">
        <v>139</v>
      </c>
      <c r="F709" s="22">
        <f>74-74</f>
        <v>0</v>
      </c>
      <c r="G709" s="81"/>
      <c r="H709" s="166" t="e">
        <f t="shared" si="26"/>
        <v>#DIV/0!</v>
      </c>
    </row>
    <row r="710" spans="1:8" ht="47.25" hidden="1">
      <c r="A710" s="103" t="s">
        <v>494</v>
      </c>
      <c r="B710" s="97" t="s">
        <v>120</v>
      </c>
      <c r="C710" s="97" t="s">
        <v>105</v>
      </c>
      <c r="D710" s="97" t="s">
        <v>81</v>
      </c>
      <c r="E710" s="97" t="s">
        <v>315</v>
      </c>
      <c r="F710" s="98">
        <f>F711+F714</f>
        <v>0</v>
      </c>
      <c r="G710" s="81"/>
      <c r="H710" s="166" t="e">
        <f t="shared" si="26"/>
        <v>#DIV/0!</v>
      </c>
    </row>
    <row r="711" spans="1:8" ht="78.75" hidden="1">
      <c r="A711" s="95" t="s">
        <v>498</v>
      </c>
      <c r="B711" s="80" t="s">
        <v>120</v>
      </c>
      <c r="C711" s="80" t="s">
        <v>105</v>
      </c>
      <c r="D711" s="80" t="s">
        <v>495</v>
      </c>
      <c r="E711" s="80" t="s">
        <v>315</v>
      </c>
      <c r="F711" s="81">
        <f>F712</f>
        <v>0</v>
      </c>
      <c r="G711" s="81"/>
      <c r="H711" s="166" t="e">
        <f t="shared" si="26"/>
        <v>#DIV/0!</v>
      </c>
    </row>
    <row r="712" spans="1:8" ht="47.25" hidden="1">
      <c r="A712" s="79" t="s">
        <v>445</v>
      </c>
      <c r="B712" s="80" t="s">
        <v>120</v>
      </c>
      <c r="C712" s="80" t="s">
        <v>105</v>
      </c>
      <c r="D712" s="80" t="s">
        <v>495</v>
      </c>
      <c r="E712" s="80" t="s">
        <v>161</v>
      </c>
      <c r="F712" s="81">
        <f>F713</f>
        <v>0</v>
      </c>
      <c r="G712" s="81"/>
      <c r="H712" s="166" t="e">
        <f t="shared" si="26"/>
        <v>#DIV/0!</v>
      </c>
    </row>
    <row r="713" spans="1:8" ht="15.75" hidden="1">
      <c r="A713" s="79" t="s">
        <v>127</v>
      </c>
      <c r="B713" s="80" t="s">
        <v>120</v>
      </c>
      <c r="C713" s="80" t="s">
        <v>105</v>
      </c>
      <c r="D713" s="80" t="s">
        <v>495</v>
      </c>
      <c r="E713" s="80" t="s">
        <v>220</v>
      </c>
      <c r="F713" s="81"/>
      <c r="G713" s="81"/>
      <c r="H713" s="166" t="e">
        <f t="shared" si="26"/>
        <v>#DIV/0!</v>
      </c>
    </row>
    <row r="714" spans="1:8" ht="94.5" hidden="1">
      <c r="A714" s="95" t="s">
        <v>499</v>
      </c>
      <c r="B714" s="80" t="s">
        <v>120</v>
      </c>
      <c r="C714" s="80" t="s">
        <v>105</v>
      </c>
      <c r="D714" s="80" t="s">
        <v>496</v>
      </c>
      <c r="E714" s="80" t="s">
        <v>315</v>
      </c>
      <c r="F714" s="81">
        <f>F715</f>
        <v>0</v>
      </c>
      <c r="G714" s="81"/>
      <c r="H714" s="166" t="e">
        <f t="shared" si="26"/>
        <v>#DIV/0!</v>
      </c>
    </row>
    <row r="715" spans="1:8" ht="47.25" hidden="1">
      <c r="A715" s="79" t="s">
        <v>445</v>
      </c>
      <c r="B715" s="80" t="s">
        <v>120</v>
      </c>
      <c r="C715" s="80" t="s">
        <v>105</v>
      </c>
      <c r="D715" s="80" t="s">
        <v>496</v>
      </c>
      <c r="E715" s="80" t="s">
        <v>161</v>
      </c>
      <c r="F715" s="81">
        <f>F716</f>
        <v>0</v>
      </c>
      <c r="G715" s="81"/>
      <c r="H715" s="166" t="e">
        <f t="shared" si="26"/>
        <v>#DIV/0!</v>
      </c>
    </row>
    <row r="716" spans="1:8" ht="15.75" hidden="1">
      <c r="A716" s="79" t="s">
        <v>127</v>
      </c>
      <c r="B716" s="80" t="s">
        <v>120</v>
      </c>
      <c r="C716" s="80" t="s">
        <v>105</v>
      </c>
      <c r="D716" s="80" t="s">
        <v>496</v>
      </c>
      <c r="E716" s="80" t="s">
        <v>220</v>
      </c>
      <c r="F716" s="81"/>
      <c r="G716" s="81"/>
      <c r="H716" s="166" t="e">
        <f t="shared" si="26"/>
        <v>#DIV/0!</v>
      </c>
    </row>
    <row r="717" spans="1:8" ht="63" hidden="1">
      <c r="A717" s="103" t="s">
        <v>511</v>
      </c>
      <c r="B717" s="97" t="s">
        <v>120</v>
      </c>
      <c r="C717" s="97" t="s">
        <v>105</v>
      </c>
      <c r="D717" s="97" t="s">
        <v>81</v>
      </c>
      <c r="E717" s="97" t="s">
        <v>315</v>
      </c>
      <c r="F717" s="98">
        <f>F718+F721</f>
        <v>0</v>
      </c>
      <c r="G717" s="81"/>
      <c r="H717" s="166" t="e">
        <f t="shared" si="26"/>
        <v>#DIV/0!</v>
      </c>
    </row>
    <row r="718" spans="1:8" ht="94.5" hidden="1">
      <c r="A718" s="95" t="s">
        <v>513</v>
      </c>
      <c r="B718" s="83" t="s">
        <v>120</v>
      </c>
      <c r="C718" s="83" t="s">
        <v>105</v>
      </c>
      <c r="D718" s="83" t="s">
        <v>512</v>
      </c>
      <c r="E718" s="83" t="s">
        <v>315</v>
      </c>
      <c r="F718" s="84">
        <f>F719</f>
        <v>0</v>
      </c>
      <c r="G718" s="81"/>
      <c r="H718" s="166" t="e">
        <f t="shared" si="26"/>
        <v>#DIV/0!</v>
      </c>
    </row>
    <row r="719" spans="1:8" ht="31.5" hidden="1">
      <c r="A719" s="79" t="s">
        <v>137</v>
      </c>
      <c r="B719" s="80" t="s">
        <v>120</v>
      </c>
      <c r="C719" s="80" t="s">
        <v>105</v>
      </c>
      <c r="D719" s="80" t="s">
        <v>512</v>
      </c>
      <c r="E719" s="80" t="s">
        <v>112</v>
      </c>
      <c r="F719" s="81">
        <f>F720</f>
        <v>0</v>
      </c>
      <c r="G719" s="81"/>
      <c r="H719" s="166" t="e">
        <f t="shared" si="26"/>
        <v>#DIV/0!</v>
      </c>
    </row>
    <row r="720" spans="1:8" ht="47.25" hidden="1">
      <c r="A720" s="93" t="s">
        <v>138</v>
      </c>
      <c r="B720" s="80" t="s">
        <v>120</v>
      </c>
      <c r="C720" s="80" t="s">
        <v>105</v>
      </c>
      <c r="D720" s="80" t="s">
        <v>512</v>
      </c>
      <c r="E720" s="80" t="s">
        <v>139</v>
      </c>
      <c r="F720" s="81"/>
      <c r="G720" s="81"/>
      <c r="H720" s="166" t="e">
        <f t="shared" si="26"/>
        <v>#DIV/0!</v>
      </c>
    </row>
    <row r="721" spans="1:8" ht="126" hidden="1">
      <c r="A721" s="82" t="s">
        <v>514</v>
      </c>
      <c r="B721" s="83" t="s">
        <v>120</v>
      </c>
      <c r="C721" s="83" t="s">
        <v>105</v>
      </c>
      <c r="D721" s="83" t="s">
        <v>515</v>
      </c>
      <c r="E721" s="83" t="s">
        <v>315</v>
      </c>
      <c r="F721" s="84">
        <f>F722</f>
        <v>0</v>
      </c>
      <c r="G721" s="81"/>
      <c r="H721" s="166" t="e">
        <f aca="true" t="shared" si="28" ref="H721:H763">G721/F721</f>
        <v>#DIV/0!</v>
      </c>
    </row>
    <row r="722" spans="1:8" ht="31.5" hidden="1">
      <c r="A722" s="79" t="s">
        <v>137</v>
      </c>
      <c r="B722" s="80" t="s">
        <v>120</v>
      </c>
      <c r="C722" s="80" t="s">
        <v>105</v>
      </c>
      <c r="D722" s="80" t="s">
        <v>515</v>
      </c>
      <c r="E722" s="80" t="s">
        <v>112</v>
      </c>
      <c r="F722" s="81">
        <f>F723</f>
        <v>0</v>
      </c>
      <c r="G722" s="81"/>
      <c r="H722" s="166" t="e">
        <f t="shared" si="28"/>
        <v>#DIV/0!</v>
      </c>
    </row>
    <row r="723" spans="1:8" ht="47.25" hidden="1">
      <c r="A723" s="93" t="s">
        <v>138</v>
      </c>
      <c r="B723" s="80" t="s">
        <v>120</v>
      </c>
      <c r="C723" s="80" t="s">
        <v>105</v>
      </c>
      <c r="D723" s="80" t="s">
        <v>515</v>
      </c>
      <c r="E723" s="80" t="s">
        <v>139</v>
      </c>
      <c r="F723" s="81"/>
      <c r="G723" s="81"/>
      <c r="H723" s="166" t="e">
        <f t="shared" si="28"/>
        <v>#DIV/0!</v>
      </c>
    </row>
    <row r="724" spans="1:8" s="143" customFormat="1" ht="47.25">
      <c r="A724" s="73" t="s">
        <v>172</v>
      </c>
      <c r="B724" s="74" t="s">
        <v>121</v>
      </c>
      <c r="C724" s="74" t="s">
        <v>104</v>
      </c>
      <c r="D724" s="74" t="s">
        <v>243</v>
      </c>
      <c r="E724" s="74" t="s">
        <v>315</v>
      </c>
      <c r="F724" s="75">
        <f aca="true" t="shared" si="29" ref="F724:G734">F725</f>
        <v>7.954610000000002</v>
      </c>
      <c r="G724" s="75">
        <f t="shared" si="29"/>
        <v>6.8033</v>
      </c>
      <c r="H724" s="265">
        <f t="shared" si="28"/>
        <v>0.8552650601349404</v>
      </c>
    </row>
    <row r="725" spans="1:8" ht="31.5">
      <c r="A725" s="79" t="s">
        <v>321</v>
      </c>
      <c r="B725" s="80" t="s">
        <v>121</v>
      </c>
      <c r="C725" s="80" t="s">
        <v>103</v>
      </c>
      <c r="D725" s="80" t="s">
        <v>243</v>
      </c>
      <c r="E725" s="80" t="s">
        <v>315</v>
      </c>
      <c r="F725" s="81">
        <f>F726+F731</f>
        <v>7.954610000000002</v>
      </c>
      <c r="G725" s="81">
        <f>G726+G731</f>
        <v>6.8033</v>
      </c>
      <c r="H725" s="166">
        <f t="shared" si="28"/>
        <v>0.8552650601349404</v>
      </c>
    </row>
    <row r="726" spans="1:8" ht="78.75">
      <c r="A726" s="82" t="s">
        <v>582</v>
      </c>
      <c r="B726" s="83" t="s">
        <v>121</v>
      </c>
      <c r="C726" s="83" t="s">
        <v>103</v>
      </c>
      <c r="D726" s="83" t="s">
        <v>386</v>
      </c>
      <c r="E726" s="83" t="s">
        <v>315</v>
      </c>
      <c r="F726" s="84">
        <f>F727</f>
        <v>7.954610000000002</v>
      </c>
      <c r="G726" s="84">
        <f>G727</f>
        <v>6.8033</v>
      </c>
      <c r="H726" s="166">
        <f t="shared" si="28"/>
        <v>0.8552650601349404</v>
      </c>
    </row>
    <row r="727" spans="1:8" ht="31.5">
      <c r="A727" s="79" t="s">
        <v>270</v>
      </c>
      <c r="B727" s="80" t="s">
        <v>121</v>
      </c>
      <c r="C727" s="80" t="s">
        <v>103</v>
      </c>
      <c r="D727" s="80" t="s">
        <v>383</v>
      </c>
      <c r="E727" s="80" t="s">
        <v>315</v>
      </c>
      <c r="F727" s="81">
        <f t="shared" si="29"/>
        <v>7.954610000000002</v>
      </c>
      <c r="G727" s="81">
        <f t="shared" si="29"/>
        <v>6.8033</v>
      </c>
      <c r="H727" s="166">
        <f t="shared" si="28"/>
        <v>0.8552650601349404</v>
      </c>
    </row>
    <row r="728" spans="1:8" ht="31.5">
      <c r="A728" s="79" t="s">
        <v>389</v>
      </c>
      <c r="B728" s="80" t="s">
        <v>121</v>
      </c>
      <c r="C728" s="80" t="s">
        <v>103</v>
      </c>
      <c r="D728" s="80" t="s">
        <v>383</v>
      </c>
      <c r="E728" s="80" t="s">
        <v>315</v>
      </c>
      <c r="F728" s="81">
        <f t="shared" si="29"/>
        <v>7.954610000000002</v>
      </c>
      <c r="G728" s="81">
        <f t="shared" si="29"/>
        <v>6.8033</v>
      </c>
      <c r="H728" s="166">
        <f t="shared" si="28"/>
        <v>0.8552650601349404</v>
      </c>
    </row>
    <row r="729" spans="1:8" ht="31.5">
      <c r="A729" s="79" t="s">
        <v>156</v>
      </c>
      <c r="B729" s="80" t="s">
        <v>121</v>
      </c>
      <c r="C729" s="80" t="s">
        <v>103</v>
      </c>
      <c r="D729" s="80" t="s">
        <v>383</v>
      </c>
      <c r="E729" s="80" t="s">
        <v>157</v>
      </c>
      <c r="F729" s="81">
        <f t="shared" si="29"/>
        <v>7.954610000000002</v>
      </c>
      <c r="G729" s="81">
        <f t="shared" si="29"/>
        <v>6.8033</v>
      </c>
      <c r="H729" s="166">
        <f t="shared" si="28"/>
        <v>0.8552650601349404</v>
      </c>
    </row>
    <row r="730" spans="1:8" ht="15.75">
      <c r="A730" s="79" t="s">
        <v>174</v>
      </c>
      <c r="B730" s="80" t="s">
        <v>121</v>
      </c>
      <c r="C730" s="80" t="s">
        <v>103</v>
      </c>
      <c r="D730" s="80" t="s">
        <v>383</v>
      </c>
      <c r="E730" s="80" t="s">
        <v>250</v>
      </c>
      <c r="F730" s="22">
        <f>'[1]4'!G580</f>
        <v>7.954610000000002</v>
      </c>
      <c r="G730" s="81">
        <v>6.8033</v>
      </c>
      <c r="H730" s="166">
        <f t="shared" si="28"/>
        <v>0.8552650601349404</v>
      </c>
    </row>
    <row r="731" spans="1:8" ht="31.5" hidden="1">
      <c r="A731" s="110" t="s">
        <v>423</v>
      </c>
      <c r="B731" s="88" t="s">
        <v>121</v>
      </c>
      <c r="C731" s="88" t="s">
        <v>103</v>
      </c>
      <c r="D731" s="88" t="s">
        <v>8</v>
      </c>
      <c r="E731" s="88" t="s">
        <v>315</v>
      </c>
      <c r="F731" s="89">
        <f t="shared" si="29"/>
        <v>0</v>
      </c>
      <c r="G731" s="81"/>
      <c r="H731" s="166" t="e">
        <f t="shared" si="28"/>
        <v>#DIV/0!</v>
      </c>
    </row>
    <row r="732" spans="1:8" ht="31.5" hidden="1">
      <c r="A732" s="79" t="s">
        <v>270</v>
      </c>
      <c r="B732" s="80" t="s">
        <v>121</v>
      </c>
      <c r="C732" s="80" t="s">
        <v>103</v>
      </c>
      <c r="D732" s="80" t="s">
        <v>751</v>
      </c>
      <c r="E732" s="80" t="s">
        <v>315</v>
      </c>
      <c r="F732" s="81">
        <f t="shared" si="29"/>
        <v>0</v>
      </c>
      <c r="G732" s="81"/>
      <c r="H732" s="166" t="e">
        <f t="shared" si="28"/>
        <v>#DIV/0!</v>
      </c>
    </row>
    <row r="733" spans="1:8" ht="31.5" hidden="1">
      <c r="A733" s="79" t="s">
        <v>389</v>
      </c>
      <c r="B733" s="80" t="s">
        <v>121</v>
      </c>
      <c r="C733" s="80" t="s">
        <v>103</v>
      </c>
      <c r="D733" s="80" t="s">
        <v>751</v>
      </c>
      <c r="E733" s="80" t="s">
        <v>315</v>
      </c>
      <c r="F733" s="81">
        <f t="shared" si="29"/>
        <v>0</v>
      </c>
      <c r="G733" s="81"/>
      <c r="H733" s="166" t="e">
        <f t="shared" si="28"/>
        <v>#DIV/0!</v>
      </c>
    </row>
    <row r="734" spans="1:8" ht="31.5" hidden="1">
      <c r="A734" s="79" t="s">
        <v>156</v>
      </c>
      <c r="B734" s="80" t="s">
        <v>121</v>
      </c>
      <c r="C734" s="80" t="s">
        <v>103</v>
      </c>
      <c r="D734" s="80" t="s">
        <v>751</v>
      </c>
      <c r="E734" s="80" t="s">
        <v>157</v>
      </c>
      <c r="F734" s="81">
        <f t="shared" si="29"/>
        <v>0</v>
      </c>
      <c r="G734" s="81"/>
      <c r="H734" s="166" t="e">
        <f t="shared" si="28"/>
        <v>#DIV/0!</v>
      </c>
    </row>
    <row r="735" spans="1:8" ht="15.75" hidden="1">
      <c r="A735" s="79" t="s">
        <v>174</v>
      </c>
      <c r="B735" s="80" t="s">
        <v>121</v>
      </c>
      <c r="C735" s="80" t="s">
        <v>103</v>
      </c>
      <c r="D735" s="80" t="s">
        <v>751</v>
      </c>
      <c r="E735" s="80" t="s">
        <v>250</v>
      </c>
      <c r="F735" s="81">
        <v>0</v>
      </c>
      <c r="G735" s="81"/>
      <c r="H735" s="166" t="e">
        <f t="shared" si="28"/>
        <v>#DIV/0!</v>
      </c>
    </row>
    <row r="736" spans="1:8" s="143" customFormat="1" ht="78.75">
      <c r="A736" s="73" t="s">
        <v>175</v>
      </c>
      <c r="B736" s="74" t="s">
        <v>176</v>
      </c>
      <c r="C736" s="74" t="s">
        <v>104</v>
      </c>
      <c r="D736" s="74" t="s">
        <v>243</v>
      </c>
      <c r="E736" s="74" t="s">
        <v>315</v>
      </c>
      <c r="F736" s="75">
        <f>F737+F755</f>
        <v>21833.111350000003</v>
      </c>
      <c r="G736" s="75">
        <f>G737+G755</f>
        <v>21833.111350000003</v>
      </c>
      <c r="H736" s="265">
        <f t="shared" si="28"/>
        <v>1</v>
      </c>
    </row>
    <row r="737" spans="1:8" s="143" customFormat="1" ht="78.75">
      <c r="A737" s="110" t="s">
        <v>582</v>
      </c>
      <c r="B737" s="88" t="s">
        <v>176</v>
      </c>
      <c r="C737" s="88" t="s">
        <v>104</v>
      </c>
      <c r="D737" s="88" t="s">
        <v>386</v>
      </c>
      <c r="E737" s="88" t="s">
        <v>315</v>
      </c>
      <c r="F737" s="89">
        <f>F738+F744+F750+F753+F754</f>
        <v>21833.111350000003</v>
      </c>
      <c r="G737" s="89">
        <f>G738+G744+G750+G753+G754</f>
        <v>21833.111350000003</v>
      </c>
      <c r="H737" s="166">
        <f t="shared" si="28"/>
        <v>1</v>
      </c>
    </row>
    <row r="738" spans="1:8" ht="63">
      <c r="A738" s="76" t="s">
        <v>177</v>
      </c>
      <c r="B738" s="77" t="s">
        <v>176</v>
      </c>
      <c r="C738" s="77" t="s">
        <v>103</v>
      </c>
      <c r="D738" s="77" t="s">
        <v>386</v>
      </c>
      <c r="E738" s="77" t="s">
        <v>315</v>
      </c>
      <c r="F738" s="78">
        <f aca="true" t="shared" si="30" ref="F738:G741">F739</f>
        <v>10728.88</v>
      </c>
      <c r="G738" s="78">
        <f t="shared" si="30"/>
        <v>10728.88</v>
      </c>
      <c r="H738" s="165">
        <f t="shared" si="28"/>
        <v>1</v>
      </c>
    </row>
    <row r="739" spans="1:8" ht="47.25">
      <c r="A739" s="82" t="s">
        <v>178</v>
      </c>
      <c r="B739" s="83" t="s">
        <v>176</v>
      </c>
      <c r="C739" s="83" t="s">
        <v>103</v>
      </c>
      <c r="D739" s="83" t="s">
        <v>380</v>
      </c>
      <c r="E739" s="83" t="s">
        <v>315</v>
      </c>
      <c r="F739" s="84">
        <f t="shared" si="30"/>
        <v>10728.88</v>
      </c>
      <c r="G739" s="84">
        <f t="shared" si="30"/>
        <v>10728.88</v>
      </c>
      <c r="H739" s="166">
        <f t="shared" si="28"/>
        <v>1</v>
      </c>
    </row>
    <row r="740" spans="1:8" ht="15.75">
      <c r="A740" s="79" t="s">
        <v>148</v>
      </c>
      <c r="B740" s="80" t="s">
        <v>176</v>
      </c>
      <c r="C740" s="80" t="s">
        <v>103</v>
      </c>
      <c r="D740" s="80" t="s">
        <v>380</v>
      </c>
      <c r="E740" s="80" t="s">
        <v>315</v>
      </c>
      <c r="F740" s="81">
        <f t="shared" si="30"/>
        <v>10728.88</v>
      </c>
      <c r="G740" s="81">
        <f t="shared" si="30"/>
        <v>10728.88</v>
      </c>
      <c r="H740" s="166">
        <f t="shared" si="28"/>
        <v>1</v>
      </c>
    </row>
    <row r="741" spans="1:8" s="138" customFormat="1" ht="110.25">
      <c r="A741" s="82" t="s">
        <v>252</v>
      </c>
      <c r="B741" s="83" t="s">
        <v>176</v>
      </c>
      <c r="C741" s="83" t="s">
        <v>103</v>
      </c>
      <c r="D741" s="83" t="s">
        <v>380</v>
      </c>
      <c r="E741" s="83" t="s">
        <v>315</v>
      </c>
      <c r="F741" s="84">
        <f t="shared" si="30"/>
        <v>10728.88</v>
      </c>
      <c r="G741" s="84">
        <f t="shared" si="30"/>
        <v>10728.88</v>
      </c>
      <c r="H741" s="166">
        <f t="shared" si="28"/>
        <v>1</v>
      </c>
    </row>
    <row r="742" spans="1:8" ht="15.75">
      <c r="A742" s="79" t="s">
        <v>158</v>
      </c>
      <c r="B742" s="80" t="s">
        <v>176</v>
      </c>
      <c r="C742" s="80" t="s">
        <v>103</v>
      </c>
      <c r="D742" s="80" t="s">
        <v>380</v>
      </c>
      <c r="E742" s="80" t="s">
        <v>159</v>
      </c>
      <c r="F742" s="81">
        <v>10728.88</v>
      </c>
      <c r="G742" s="81">
        <v>10728.88</v>
      </c>
      <c r="H742" s="166">
        <f t="shared" si="28"/>
        <v>1</v>
      </c>
    </row>
    <row r="743" spans="1:8" ht="47.25">
      <c r="A743" s="82" t="s">
        <v>237</v>
      </c>
      <c r="B743" s="83" t="s">
        <v>176</v>
      </c>
      <c r="C743" s="83" t="s">
        <v>103</v>
      </c>
      <c r="D743" s="83" t="s">
        <v>381</v>
      </c>
      <c r="E743" s="83" t="s">
        <v>315</v>
      </c>
      <c r="F743" s="84">
        <f>F744</f>
        <v>7872.032</v>
      </c>
      <c r="G743" s="84">
        <f>G744</f>
        <v>7872.032</v>
      </c>
      <c r="H743" s="166">
        <f t="shared" si="28"/>
        <v>1</v>
      </c>
    </row>
    <row r="744" spans="1:8" ht="15.75">
      <c r="A744" s="79" t="s">
        <v>158</v>
      </c>
      <c r="B744" s="80" t="s">
        <v>176</v>
      </c>
      <c r="C744" s="80" t="s">
        <v>103</v>
      </c>
      <c r="D744" s="80" t="s">
        <v>381</v>
      </c>
      <c r="E744" s="80" t="s">
        <v>159</v>
      </c>
      <c r="F744" s="81">
        <v>7872.032</v>
      </c>
      <c r="G744" s="81">
        <v>7872.032</v>
      </c>
      <c r="H744" s="166">
        <f t="shared" si="28"/>
        <v>1</v>
      </c>
    </row>
    <row r="745" spans="1:8" ht="47.25" hidden="1">
      <c r="A745" s="79" t="s">
        <v>237</v>
      </c>
      <c r="B745" s="80" t="s">
        <v>176</v>
      </c>
      <c r="C745" s="80" t="s">
        <v>103</v>
      </c>
      <c r="D745" s="80" t="s">
        <v>15</v>
      </c>
      <c r="E745" s="80" t="s">
        <v>315</v>
      </c>
      <c r="F745" s="81">
        <f>F746</f>
        <v>0</v>
      </c>
      <c r="G745" s="81"/>
      <c r="H745" s="166" t="e">
        <f t="shared" si="28"/>
        <v>#DIV/0!</v>
      </c>
    </row>
    <row r="746" spans="1:8" ht="15.75" hidden="1">
      <c r="A746" s="79" t="s">
        <v>146</v>
      </c>
      <c r="B746" s="80" t="s">
        <v>176</v>
      </c>
      <c r="C746" s="80" t="s">
        <v>103</v>
      </c>
      <c r="D746" s="80" t="s">
        <v>15</v>
      </c>
      <c r="E746" s="80" t="s">
        <v>159</v>
      </c>
      <c r="F746" s="81"/>
      <c r="G746" s="81"/>
      <c r="H746" s="166" t="e">
        <f t="shared" si="28"/>
        <v>#DIV/0!</v>
      </c>
    </row>
    <row r="747" spans="1:8" ht="31.5">
      <c r="A747" s="76" t="s">
        <v>261</v>
      </c>
      <c r="B747" s="77" t="s">
        <v>176</v>
      </c>
      <c r="C747" s="77" t="s">
        <v>110</v>
      </c>
      <c r="D747" s="77" t="s">
        <v>386</v>
      </c>
      <c r="E747" s="77" t="s">
        <v>315</v>
      </c>
      <c r="F747" s="78">
        <f>F748+F753</f>
        <v>3232.19935</v>
      </c>
      <c r="G747" s="78">
        <f>G748+G753</f>
        <v>3232.19935</v>
      </c>
      <c r="H747" s="165">
        <f t="shared" si="28"/>
        <v>1</v>
      </c>
    </row>
    <row r="748" spans="1:8" ht="31.5">
      <c r="A748" s="79" t="s">
        <v>348</v>
      </c>
      <c r="B748" s="80" t="s">
        <v>176</v>
      </c>
      <c r="C748" s="80" t="s">
        <v>110</v>
      </c>
      <c r="D748" s="80" t="s">
        <v>386</v>
      </c>
      <c r="E748" s="80" t="s">
        <v>315</v>
      </c>
      <c r="F748" s="81">
        <f>F749</f>
        <v>2830.63935</v>
      </c>
      <c r="G748" s="81">
        <f>G749</f>
        <v>2830.63935</v>
      </c>
      <c r="H748" s="166">
        <f t="shared" si="28"/>
        <v>1</v>
      </c>
    </row>
    <row r="749" spans="1:8" ht="15.75">
      <c r="A749" s="79" t="s">
        <v>148</v>
      </c>
      <c r="B749" s="80" t="s">
        <v>176</v>
      </c>
      <c r="C749" s="80" t="s">
        <v>110</v>
      </c>
      <c r="D749" s="80" t="s">
        <v>386</v>
      </c>
      <c r="E749" s="80" t="s">
        <v>149</v>
      </c>
      <c r="F749" s="81">
        <f>F750</f>
        <v>2830.63935</v>
      </c>
      <c r="G749" s="81">
        <f>G750</f>
        <v>2830.63935</v>
      </c>
      <c r="H749" s="166">
        <f t="shared" si="28"/>
        <v>1</v>
      </c>
    </row>
    <row r="750" spans="1:8" ht="15.75">
      <c r="A750" s="79" t="s">
        <v>226</v>
      </c>
      <c r="B750" s="80" t="s">
        <v>176</v>
      </c>
      <c r="C750" s="80" t="s">
        <v>110</v>
      </c>
      <c r="D750" s="80" t="s">
        <v>382</v>
      </c>
      <c r="E750" s="80" t="s">
        <v>347</v>
      </c>
      <c r="F750" s="22">
        <f>'[1]4'!G645</f>
        <v>2830.63935</v>
      </c>
      <c r="G750" s="22">
        <v>2830.63935</v>
      </c>
      <c r="H750" s="166">
        <f t="shared" si="28"/>
        <v>1</v>
      </c>
    </row>
    <row r="751" spans="1:8" ht="31.5" hidden="1">
      <c r="A751" s="79" t="s">
        <v>261</v>
      </c>
      <c r="B751" s="80" t="s">
        <v>176</v>
      </c>
      <c r="C751" s="80" t="s">
        <v>110</v>
      </c>
      <c r="D751" s="80" t="s">
        <v>382</v>
      </c>
      <c r="E751" s="80" t="s">
        <v>347</v>
      </c>
      <c r="F751" s="81">
        <f>F752</f>
        <v>0</v>
      </c>
      <c r="G751" s="81"/>
      <c r="H751" s="166" t="e">
        <f t="shared" si="28"/>
        <v>#DIV/0!</v>
      </c>
    </row>
    <row r="752" spans="1:8" ht="15.75" hidden="1">
      <c r="A752" s="79" t="s">
        <v>148</v>
      </c>
      <c r="B752" s="80" t="s">
        <v>176</v>
      </c>
      <c r="C752" s="80" t="s">
        <v>110</v>
      </c>
      <c r="D752" s="80" t="s">
        <v>382</v>
      </c>
      <c r="E752" s="80" t="s">
        <v>347</v>
      </c>
      <c r="F752" s="81"/>
      <c r="G752" s="81"/>
      <c r="H752" s="166" t="e">
        <f t="shared" si="28"/>
        <v>#DIV/0!</v>
      </c>
    </row>
    <row r="753" spans="1:8" ht="126">
      <c r="A753" s="79" t="s">
        <v>652</v>
      </c>
      <c r="B753" s="80" t="s">
        <v>176</v>
      </c>
      <c r="C753" s="80" t="s">
        <v>110</v>
      </c>
      <c r="D753" s="80" t="s">
        <v>651</v>
      </c>
      <c r="E753" s="80" t="s">
        <v>347</v>
      </c>
      <c r="F753" s="22">
        <f>'[1]4'!G647</f>
        <v>401.56</v>
      </c>
      <c r="G753" s="22">
        <v>401.56</v>
      </c>
      <c r="H753" s="166">
        <f t="shared" si="28"/>
        <v>1</v>
      </c>
    </row>
    <row r="754" spans="1:8" ht="78.75" hidden="1">
      <c r="A754" s="79" t="s">
        <v>483</v>
      </c>
      <c r="B754" s="80" t="s">
        <v>176</v>
      </c>
      <c r="C754" s="80" t="s">
        <v>110</v>
      </c>
      <c r="D754" s="80" t="s">
        <v>501</v>
      </c>
      <c r="E754" s="80" t="s">
        <v>347</v>
      </c>
      <c r="F754" s="81"/>
      <c r="G754" s="81"/>
      <c r="H754" s="166" t="e">
        <f t="shared" si="28"/>
        <v>#DIV/0!</v>
      </c>
    </row>
    <row r="755" spans="1:8" ht="31.5" hidden="1">
      <c r="A755" s="110" t="s">
        <v>423</v>
      </c>
      <c r="B755" s="88" t="s">
        <v>176</v>
      </c>
      <c r="C755" s="88" t="s">
        <v>104</v>
      </c>
      <c r="D755" s="88" t="s">
        <v>8</v>
      </c>
      <c r="E755" s="88" t="s">
        <v>315</v>
      </c>
      <c r="F755" s="89">
        <f>F756+F758+F760</f>
        <v>0</v>
      </c>
      <c r="G755" s="81"/>
      <c r="H755" s="166" t="e">
        <f t="shared" si="28"/>
        <v>#DIV/0!</v>
      </c>
    </row>
    <row r="756" spans="1:8" ht="110.25" hidden="1">
      <c r="A756" s="79" t="s">
        <v>252</v>
      </c>
      <c r="B756" s="80" t="s">
        <v>176</v>
      </c>
      <c r="C756" s="80" t="s">
        <v>103</v>
      </c>
      <c r="D756" s="80" t="s">
        <v>752</v>
      </c>
      <c r="E756" s="80" t="s">
        <v>149</v>
      </c>
      <c r="F756" s="81">
        <f>F757</f>
        <v>0</v>
      </c>
      <c r="G756" s="81"/>
      <c r="H756" s="166" t="e">
        <f t="shared" si="28"/>
        <v>#DIV/0!</v>
      </c>
    </row>
    <row r="757" spans="1:8" ht="15.75" hidden="1">
      <c r="A757" s="79" t="s">
        <v>158</v>
      </c>
      <c r="B757" s="80" t="s">
        <v>176</v>
      </c>
      <c r="C757" s="80" t="s">
        <v>103</v>
      </c>
      <c r="D757" s="80" t="s">
        <v>752</v>
      </c>
      <c r="E757" s="80" t="s">
        <v>159</v>
      </c>
      <c r="F757" s="81">
        <v>0</v>
      </c>
      <c r="G757" s="81"/>
      <c r="H757" s="166" t="e">
        <f t="shared" si="28"/>
        <v>#DIV/0!</v>
      </c>
    </row>
    <row r="758" spans="1:8" ht="47.25" hidden="1">
      <c r="A758" s="79" t="s">
        <v>237</v>
      </c>
      <c r="B758" s="80" t="s">
        <v>176</v>
      </c>
      <c r="C758" s="80" t="s">
        <v>103</v>
      </c>
      <c r="D758" s="80" t="s">
        <v>753</v>
      </c>
      <c r="E758" s="80" t="s">
        <v>149</v>
      </c>
      <c r="F758" s="81">
        <f>F759</f>
        <v>0</v>
      </c>
      <c r="G758" s="81"/>
      <c r="H758" s="166" t="e">
        <f t="shared" si="28"/>
        <v>#DIV/0!</v>
      </c>
    </row>
    <row r="759" spans="1:8" ht="15.75" hidden="1">
      <c r="A759" s="79" t="s">
        <v>158</v>
      </c>
      <c r="B759" s="80" t="s">
        <v>176</v>
      </c>
      <c r="C759" s="80" t="s">
        <v>103</v>
      </c>
      <c r="D759" s="80" t="s">
        <v>753</v>
      </c>
      <c r="E759" s="80" t="s">
        <v>159</v>
      </c>
      <c r="F759" s="81">
        <v>0</v>
      </c>
      <c r="G759" s="81"/>
      <c r="H759" s="166" t="e">
        <f t="shared" si="28"/>
        <v>#DIV/0!</v>
      </c>
    </row>
    <row r="760" spans="1:8" ht="31.5" hidden="1">
      <c r="A760" s="79" t="s">
        <v>261</v>
      </c>
      <c r="B760" s="80" t="s">
        <v>176</v>
      </c>
      <c r="C760" s="80" t="s">
        <v>110</v>
      </c>
      <c r="D760" s="80" t="s">
        <v>754</v>
      </c>
      <c r="E760" s="80" t="s">
        <v>149</v>
      </c>
      <c r="F760" s="81">
        <f>F761</f>
        <v>0</v>
      </c>
      <c r="G760" s="81"/>
      <c r="H760" s="166" t="e">
        <f t="shared" si="28"/>
        <v>#DIV/0!</v>
      </c>
    </row>
    <row r="761" spans="1:8" ht="15.75" hidden="1">
      <c r="A761" s="79" t="s">
        <v>226</v>
      </c>
      <c r="B761" s="80" t="s">
        <v>176</v>
      </c>
      <c r="C761" s="80" t="s">
        <v>110</v>
      </c>
      <c r="D761" s="80" t="s">
        <v>754</v>
      </c>
      <c r="E761" s="80" t="s">
        <v>347</v>
      </c>
      <c r="F761" s="81">
        <v>0</v>
      </c>
      <c r="G761" s="81"/>
      <c r="H761" s="166" t="e">
        <f t="shared" si="28"/>
        <v>#DIV/0!</v>
      </c>
    </row>
    <row r="762" spans="1:8" s="143" customFormat="1" ht="15.75" hidden="1">
      <c r="A762" s="90" t="s">
        <v>755</v>
      </c>
      <c r="B762" s="77"/>
      <c r="C762" s="77"/>
      <c r="D762" s="77"/>
      <c r="E762" s="77"/>
      <c r="F762" s="78">
        <v>0</v>
      </c>
      <c r="G762" s="78">
        <v>0</v>
      </c>
      <c r="H762" s="166" t="e">
        <f t="shared" si="28"/>
        <v>#DIV/0!</v>
      </c>
    </row>
    <row r="763" spans="1:8" ht="15.75">
      <c r="A763" s="103" t="s">
        <v>181</v>
      </c>
      <c r="B763" s="72"/>
      <c r="C763" s="72"/>
      <c r="D763" s="72"/>
      <c r="E763" s="72"/>
      <c r="F763" s="98">
        <f>F13+F174+F182+F282+F232+F292+F511+F670+F724+F736+F617+F612+F762</f>
        <v>744036.0681500001</v>
      </c>
      <c r="G763" s="172">
        <f>G13+G174+G182+G282+G232+G292+G511+G670+G724+G736+G617+G612+G762</f>
        <v>711792.38446</v>
      </c>
      <c r="H763" s="266">
        <f t="shared" si="28"/>
        <v>0.9566638163521131</v>
      </c>
    </row>
    <row r="764" spans="1:6" ht="15.75">
      <c r="A764" s="148"/>
      <c r="B764" s="148"/>
      <c r="C764" s="149"/>
      <c r="D764" s="150"/>
      <c r="E764" s="149"/>
      <c r="F764" s="151"/>
    </row>
    <row r="765" spans="4:6" ht="15.75">
      <c r="D765" s="37"/>
      <c r="E765" s="36"/>
      <c r="F765" s="151"/>
    </row>
    <row r="766" spans="4:6" ht="15.75">
      <c r="D766" s="38"/>
      <c r="E766" s="39"/>
      <c r="F766" s="152"/>
    </row>
    <row r="767" spans="1:7" ht="15.75">
      <c r="A767" s="153"/>
      <c r="B767" s="154"/>
      <c r="C767" s="154"/>
      <c r="D767" s="155"/>
      <c r="F767" s="152"/>
      <c r="G767" s="169"/>
    </row>
    <row r="768" spans="1:12" ht="15.75">
      <c r="A768" s="153"/>
      <c r="B768" s="154"/>
      <c r="C768" s="154"/>
      <c r="D768" s="156"/>
      <c r="E768" s="156"/>
      <c r="F768" s="157"/>
      <c r="G768" s="169"/>
      <c r="H768" s="154"/>
      <c r="I768" s="154"/>
      <c r="J768" s="158"/>
      <c r="K768" s="158"/>
      <c r="L768" s="158"/>
    </row>
    <row r="769" spans="1:12" ht="15">
      <c r="A769" s="153"/>
      <c r="B769" s="154"/>
      <c r="C769" s="154"/>
      <c r="D769" s="154"/>
      <c r="E769" s="154"/>
      <c r="F769" s="158"/>
      <c r="G769" s="169"/>
      <c r="H769" s="154"/>
      <c r="I769" s="154"/>
      <c r="J769" s="158"/>
      <c r="K769" s="158"/>
      <c r="L769" s="158"/>
    </row>
    <row r="770" spans="1:7" ht="15">
      <c r="A770" s="153"/>
      <c r="B770" s="154"/>
      <c r="C770" s="154"/>
      <c r="D770" s="154"/>
      <c r="E770" s="154"/>
      <c r="F770" s="154"/>
      <c r="G770" s="169"/>
    </row>
    <row r="771" spans="1:7" ht="15">
      <c r="A771" s="153"/>
      <c r="B771" s="154"/>
      <c r="C771" s="154"/>
      <c r="D771" s="154"/>
      <c r="E771" s="159"/>
      <c r="F771" s="154"/>
      <c r="G771" s="169"/>
    </row>
    <row r="772" ht="15.75">
      <c r="F772" s="139"/>
    </row>
  </sheetData>
  <sheetProtection/>
  <mergeCells count="13">
    <mergeCell ref="A6:F6"/>
    <mergeCell ref="A7:G7"/>
    <mergeCell ref="A8:G8"/>
    <mergeCell ref="G10:G11"/>
    <mergeCell ref="H10:H11"/>
    <mergeCell ref="G2:H2"/>
    <mergeCell ref="F3:H3"/>
    <mergeCell ref="A10:A11"/>
    <mergeCell ref="B10:B11"/>
    <mergeCell ref="C10:C11"/>
    <mergeCell ref="D10:D11"/>
    <mergeCell ref="E10:E11"/>
    <mergeCell ref="F10:F11"/>
  </mergeCells>
  <printOptions/>
  <pageMargins left="0.6299212598425197" right="0.6299212598425197" top="0.5511811023622047" bottom="0.5511811023622047" header="0.31496062992125984" footer="0.31496062992125984"/>
  <pageSetup fitToHeight="0" horizontalDpi="600" verticalDpi="600" orientation="portrait" paperSize="9" scale="63" r:id="rId1"/>
  <rowBreaks count="16" manualBreakCount="16">
    <brk id="35" max="7" man="1"/>
    <brk id="66" max="7" man="1"/>
    <brk id="92" max="7" man="1"/>
    <brk id="125" max="7" man="1"/>
    <brk id="165" max="7" man="1"/>
    <brk id="196" max="7" man="1"/>
    <brk id="254" max="7" man="1"/>
    <brk id="297" max="7" man="1"/>
    <brk id="363" max="7" man="1"/>
    <brk id="391" max="7" man="1"/>
    <brk id="412" max="7" man="1"/>
    <brk id="473" max="7" man="1"/>
    <brk id="514" max="7" man="1"/>
    <brk id="561" max="7" man="1"/>
    <brk id="625" max="7" man="1"/>
    <brk id="649" max="7" man="1"/>
  </rowBreaks>
</worksheet>
</file>

<file path=xl/worksheets/sheet4.xml><?xml version="1.0" encoding="utf-8"?>
<worksheet xmlns="http://schemas.openxmlformats.org/spreadsheetml/2006/main" xmlns:r="http://schemas.openxmlformats.org/officeDocument/2006/relationships">
  <sheetPr>
    <tabColor rgb="FF00B050"/>
  </sheetPr>
  <dimension ref="A1:S733"/>
  <sheetViews>
    <sheetView tabSelected="1" view="pageBreakPreview" zoomScale="70" zoomScaleSheetLayoutView="70" zoomScalePageLayoutView="0" workbookViewId="0" topLeftCell="A577">
      <selection activeCell="E568" sqref="E568"/>
    </sheetView>
  </sheetViews>
  <sheetFormatPr defaultColWidth="8.75390625" defaultRowHeight="12.75"/>
  <cols>
    <col min="1" max="1" width="45.125" style="179" customWidth="1"/>
    <col min="2" max="2" width="5.375" style="35" customWidth="1"/>
    <col min="3" max="3" width="4.75390625" style="35" customWidth="1"/>
    <col min="4" max="4" width="5.25390625" style="35" customWidth="1"/>
    <col min="5" max="5" width="13.75390625" style="35" customWidth="1"/>
    <col min="6" max="6" width="5.25390625" style="35" customWidth="1"/>
    <col min="7" max="7" width="17.625" style="35" customWidth="1"/>
    <col min="8" max="8" width="18.25390625" style="35" hidden="1" customWidth="1"/>
    <col min="9" max="9" width="16.75390625" style="35" hidden="1" customWidth="1"/>
    <col min="10" max="10" width="17.125" style="50" customWidth="1"/>
    <col min="11" max="11" width="13.75390625" style="53" hidden="1" customWidth="1"/>
    <col min="12" max="12" width="13.625" style="53" hidden="1" customWidth="1"/>
    <col min="13" max="13" width="10.375" style="182" customWidth="1"/>
    <col min="14" max="14" width="21.125" style="35" customWidth="1"/>
    <col min="15" max="15" width="14.875" style="35" bestFit="1" customWidth="1"/>
    <col min="16" max="16" width="17.00390625" style="35" customWidth="1"/>
    <col min="17" max="17" width="18.375" style="35" customWidth="1"/>
    <col min="18" max="18" width="17.125" style="35" customWidth="1"/>
    <col min="19" max="16384" width="8.75390625" style="35" customWidth="1"/>
  </cols>
  <sheetData>
    <row r="1" spans="2:13" ht="15.75">
      <c r="B1" s="180"/>
      <c r="C1" s="180"/>
      <c r="D1" s="180"/>
      <c r="E1" s="181"/>
      <c r="F1" s="180"/>
      <c r="G1" s="315" t="s">
        <v>614</v>
      </c>
      <c r="H1" s="315"/>
      <c r="I1" s="315"/>
      <c r="J1" s="315"/>
      <c r="K1" s="315"/>
      <c r="L1" s="315"/>
      <c r="M1" s="315"/>
    </row>
    <row r="2" spans="2:13" ht="15.75">
      <c r="B2" s="180"/>
      <c r="C2" s="180"/>
      <c r="D2" s="180"/>
      <c r="E2" s="180"/>
      <c r="F2" s="315" t="s">
        <v>312</v>
      </c>
      <c r="G2" s="315"/>
      <c r="H2" s="315"/>
      <c r="I2" s="315"/>
      <c r="J2" s="315"/>
      <c r="K2" s="315"/>
      <c r="L2" s="315"/>
      <c r="M2" s="315"/>
    </row>
    <row r="3" spans="2:13" ht="15.75">
      <c r="B3" s="315"/>
      <c r="C3" s="315"/>
      <c r="D3" s="315"/>
      <c r="E3" s="315"/>
      <c r="F3" s="315"/>
      <c r="G3" s="315" t="s">
        <v>313</v>
      </c>
      <c r="H3" s="315"/>
      <c r="I3" s="315"/>
      <c r="J3" s="315"/>
      <c r="K3" s="315"/>
      <c r="L3" s="315"/>
      <c r="M3" s="315"/>
    </row>
    <row r="4" spans="2:13" ht="15.75">
      <c r="B4" s="298"/>
      <c r="C4" s="298"/>
      <c r="D4" s="298"/>
      <c r="E4" s="298"/>
      <c r="F4" s="298"/>
      <c r="G4" s="298" t="s">
        <v>759</v>
      </c>
      <c r="H4" s="298"/>
      <c r="I4" s="298"/>
      <c r="J4" s="298"/>
      <c r="K4" s="298"/>
      <c r="L4" s="298"/>
      <c r="M4" s="298"/>
    </row>
    <row r="6" spans="1:9" ht="15.75">
      <c r="A6" s="319" t="s">
        <v>314</v>
      </c>
      <c r="B6" s="319"/>
      <c r="C6" s="319"/>
      <c r="D6" s="319"/>
      <c r="E6" s="319"/>
      <c r="F6" s="319"/>
      <c r="G6" s="319"/>
      <c r="H6" s="319"/>
      <c r="I6" s="319"/>
    </row>
    <row r="7" spans="1:9" ht="35.25" customHeight="1">
      <c r="A7" s="320" t="s">
        <v>760</v>
      </c>
      <c r="B7" s="320"/>
      <c r="C7" s="320"/>
      <c r="D7" s="320"/>
      <c r="E7" s="320"/>
      <c r="F7" s="320"/>
      <c r="G7" s="320"/>
      <c r="H7" s="320"/>
      <c r="I7" s="320"/>
    </row>
    <row r="9" spans="9:11" ht="15.75">
      <c r="I9" s="34"/>
      <c r="K9" s="53" t="s">
        <v>93</v>
      </c>
    </row>
    <row r="10" spans="1:13" ht="15.75" customHeight="1">
      <c r="A10" s="301" t="s">
        <v>262</v>
      </c>
      <c r="B10" s="301" t="s">
        <v>263</v>
      </c>
      <c r="C10" s="317" t="s">
        <v>99</v>
      </c>
      <c r="D10" s="317" t="s">
        <v>100</v>
      </c>
      <c r="E10" s="301" t="s">
        <v>264</v>
      </c>
      <c r="F10" s="301" t="s">
        <v>265</v>
      </c>
      <c r="G10" s="301" t="s">
        <v>772</v>
      </c>
      <c r="H10" s="301" t="s">
        <v>266</v>
      </c>
      <c r="I10" s="301"/>
      <c r="J10" s="318" t="s">
        <v>773</v>
      </c>
      <c r="K10" s="317" t="s">
        <v>266</v>
      </c>
      <c r="L10" s="317"/>
      <c r="M10" s="316" t="s">
        <v>663</v>
      </c>
    </row>
    <row r="11" spans="1:13" ht="63">
      <c r="A11" s="301"/>
      <c r="B11" s="301"/>
      <c r="C11" s="317"/>
      <c r="D11" s="317"/>
      <c r="E11" s="301"/>
      <c r="F11" s="301"/>
      <c r="G11" s="301"/>
      <c r="H11" s="57" t="s">
        <v>267</v>
      </c>
      <c r="I11" s="57" t="s">
        <v>221</v>
      </c>
      <c r="J11" s="318"/>
      <c r="K11" s="7" t="s">
        <v>91</v>
      </c>
      <c r="L11" s="7" t="s">
        <v>182</v>
      </c>
      <c r="M11" s="316"/>
    </row>
    <row r="12" spans="1:13" ht="30.75" customHeight="1">
      <c r="A12" s="183" t="s">
        <v>268</v>
      </c>
      <c r="B12" s="184">
        <v>951</v>
      </c>
      <c r="C12" s="184" t="s">
        <v>104</v>
      </c>
      <c r="D12" s="184" t="s">
        <v>104</v>
      </c>
      <c r="E12" s="184" t="s">
        <v>243</v>
      </c>
      <c r="F12" s="184" t="s">
        <v>315</v>
      </c>
      <c r="G12" s="75">
        <f>G13+G129+G137+G195+G245+G255+G291+G369+G419+G435+G363</f>
        <v>166714.19548</v>
      </c>
      <c r="H12" s="75" t="e">
        <f>H13+H129+H137+H195+H245+H255+H291+H369+H419+H435+H363</f>
        <v>#REF!</v>
      </c>
      <c r="I12" s="75" t="e">
        <f>I13+I129+I137+I195+I245+I255+I291+I369+I419+I435+I363</f>
        <v>#REF!</v>
      </c>
      <c r="J12" s="75">
        <f>J13+J129+J137+J195+J245+J255+J291+J369+J419+J435+J363</f>
        <v>149342.86804</v>
      </c>
      <c r="K12" s="185"/>
      <c r="L12" s="185"/>
      <c r="M12" s="321">
        <f>J12/G12*100</f>
        <v>89.58017498750792</v>
      </c>
    </row>
    <row r="13" spans="1:15" ht="18" customHeight="1">
      <c r="A13" s="186" t="s">
        <v>102</v>
      </c>
      <c r="B13" s="187">
        <v>951</v>
      </c>
      <c r="C13" s="187" t="s">
        <v>103</v>
      </c>
      <c r="D13" s="187" t="s">
        <v>104</v>
      </c>
      <c r="E13" s="187" t="s">
        <v>243</v>
      </c>
      <c r="F13" s="187" t="s">
        <v>315</v>
      </c>
      <c r="G13" s="78">
        <f>G14+G20+G33+G39+G30</f>
        <v>59734.58271000001</v>
      </c>
      <c r="H13" s="78" t="e">
        <f>H14+H20+H33+H39+H30</f>
        <v>#REF!</v>
      </c>
      <c r="I13" s="78" t="e">
        <f>I14+I20+I33+I39+I30</f>
        <v>#REF!</v>
      </c>
      <c r="J13" s="78">
        <f>J14+J20+J33+J39+J30</f>
        <v>53742.45595999999</v>
      </c>
      <c r="K13" s="188"/>
      <c r="L13" s="51"/>
      <c r="M13" s="322">
        <f>J13/G13*100</f>
        <v>89.96874761963159</v>
      </c>
      <c r="O13" s="189"/>
    </row>
    <row r="14" spans="1:13" ht="63">
      <c r="A14" s="190" t="s">
        <v>269</v>
      </c>
      <c r="B14" s="94">
        <v>951</v>
      </c>
      <c r="C14" s="80" t="s">
        <v>103</v>
      </c>
      <c r="D14" s="80" t="s">
        <v>105</v>
      </c>
      <c r="E14" s="80" t="s">
        <v>243</v>
      </c>
      <c r="F14" s="80" t="s">
        <v>315</v>
      </c>
      <c r="G14" s="81">
        <f>G15</f>
        <v>2618.2859999999996</v>
      </c>
      <c r="H14" s="22">
        <f aca="true" t="shared" si="0" ref="H14:J18">H15</f>
        <v>2678.9199999999996</v>
      </c>
      <c r="I14" s="22">
        <f t="shared" si="0"/>
        <v>0</v>
      </c>
      <c r="J14" s="29">
        <f>J15</f>
        <v>2611.88484</v>
      </c>
      <c r="K14" s="29"/>
      <c r="L14" s="191"/>
      <c r="M14" s="192">
        <f>J14/G14*100</f>
        <v>99.75552097822776</v>
      </c>
    </row>
    <row r="15" spans="1:13" ht="47.25">
      <c r="A15" s="190" t="s">
        <v>106</v>
      </c>
      <c r="B15" s="94">
        <v>951</v>
      </c>
      <c r="C15" s="80" t="s">
        <v>103</v>
      </c>
      <c r="D15" s="80" t="s">
        <v>105</v>
      </c>
      <c r="E15" s="80" t="s">
        <v>7</v>
      </c>
      <c r="F15" s="80" t="s">
        <v>315</v>
      </c>
      <c r="G15" s="81">
        <f>G16</f>
        <v>2618.2859999999996</v>
      </c>
      <c r="H15" s="22">
        <f t="shared" si="0"/>
        <v>2678.9199999999996</v>
      </c>
      <c r="I15" s="22">
        <f t="shared" si="0"/>
        <v>0</v>
      </c>
      <c r="J15" s="29">
        <f>J16</f>
        <v>2611.88484</v>
      </c>
      <c r="K15" s="191"/>
      <c r="L15" s="191"/>
      <c r="M15" s="192">
        <f aca="true" t="shared" si="1" ref="M15:M64">J15/G15*100</f>
        <v>99.75552097822776</v>
      </c>
    </row>
    <row r="16" spans="1:13" ht="47.25">
      <c r="A16" s="190" t="s">
        <v>107</v>
      </c>
      <c r="B16" s="94">
        <v>951</v>
      </c>
      <c r="C16" s="80" t="s">
        <v>103</v>
      </c>
      <c r="D16" s="80" t="s">
        <v>105</v>
      </c>
      <c r="E16" s="80" t="s">
        <v>8</v>
      </c>
      <c r="F16" s="80" t="s">
        <v>315</v>
      </c>
      <c r="G16" s="81">
        <f>G17</f>
        <v>2618.2859999999996</v>
      </c>
      <c r="H16" s="22">
        <f t="shared" si="0"/>
        <v>2678.9199999999996</v>
      </c>
      <c r="I16" s="22">
        <f t="shared" si="0"/>
        <v>0</v>
      </c>
      <c r="J16" s="29">
        <f>J17</f>
        <v>2611.88484</v>
      </c>
      <c r="K16" s="191"/>
      <c r="L16" s="191"/>
      <c r="M16" s="192">
        <f t="shared" si="1"/>
        <v>99.75552097822776</v>
      </c>
    </row>
    <row r="17" spans="1:13" ht="15.75">
      <c r="A17" s="190" t="s">
        <v>320</v>
      </c>
      <c r="B17" s="94">
        <v>951</v>
      </c>
      <c r="C17" s="80" t="s">
        <v>103</v>
      </c>
      <c r="D17" s="80" t="s">
        <v>105</v>
      </c>
      <c r="E17" s="80" t="s">
        <v>9</v>
      </c>
      <c r="F17" s="80" t="s">
        <v>315</v>
      </c>
      <c r="G17" s="81">
        <f>G18</f>
        <v>2618.2859999999996</v>
      </c>
      <c r="H17" s="81">
        <f t="shared" si="0"/>
        <v>2678.9199999999996</v>
      </c>
      <c r="I17" s="81">
        <f t="shared" si="0"/>
        <v>0</v>
      </c>
      <c r="J17" s="81">
        <f t="shared" si="0"/>
        <v>2611.88484</v>
      </c>
      <c r="K17" s="191"/>
      <c r="L17" s="191"/>
      <c r="M17" s="192">
        <f t="shared" si="1"/>
        <v>99.75552097822776</v>
      </c>
    </row>
    <row r="18" spans="1:13" ht="81" customHeight="1">
      <c r="A18" s="79" t="s">
        <v>134</v>
      </c>
      <c r="B18" s="94">
        <v>951</v>
      </c>
      <c r="C18" s="80" t="s">
        <v>103</v>
      </c>
      <c r="D18" s="80" t="s">
        <v>105</v>
      </c>
      <c r="E18" s="80" t="s">
        <v>9</v>
      </c>
      <c r="F18" s="80" t="s">
        <v>108</v>
      </c>
      <c r="G18" s="81">
        <f>G19</f>
        <v>2618.2859999999996</v>
      </c>
      <c r="H18" s="22">
        <f t="shared" si="0"/>
        <v>2678.9199999999996</v>
      </c>
      <c r="I18" s="22">
        <f t="shared" si="0"/>
        <v>0</v>
      </c>
      <c r="J18" s="29">
        <f>J19</f>
        <v>2611.88484</v>
      </c>
      <c r="K18" s="191"/>
      <c r="L18" s="191"/>
      <c r="M18" s="192">
        <f t="shared" si="1"/>
        <v>99.75552097822776</v>
      </c>
    </row>
    <row r="19" spans="1:13" ht="30" customHeight="1">
      <c r="A19" s="79" t="s">
        <v>136</v>
      </c>
      <c r="B19" s="94">
        <v>951</v>
      </c>
      <c r="C19" s="80" t="s">
        <v>103</v>
      </c>
      <c r="D19" s="80" t="s">
        <v>105</v>
      </c>
      <c r="E19" s="80" t="s">
        <v>9</v>
      </c>
      <c r="F19" s="80" t="s">
        <v>135</v>
      </c>
      <c r="G19" s="22">
        <f>'[1]3'!F19</f>
        <v>2618.2859999999996</v>
      </c>
      <c r="H19" s="29">
        <f>1926.07+560+122.6+56.5+13.75</f>
        <v>2678.9199999999996</v>
      </c>
      <c r="I19" s="22"/>
      <c r="J19" s="29">
        <f>3!G19</f>
        <v>2611.88484</v>
      </c>
      <c r="K19" s="191"/>
      <c r="L19" s="191"/>
      <c r="M19" s="192">
        <f t="shared" si="1"/>
        <v>99.75552097822776</v>
      </c>
    </row>
    <row r="20" spans="1:13" s="195" customFormat="1" ht="94.5">
      <c r="A20" s="178" t="s">
        <v>253</v>
      </c>
      <c r="B20" s="193">
        <v>951</v>
      </c>
      <c r="C20" s="194" t="s">
        <v>103</v>
      </c>
      <c r="D20" s="194" t="s">
        <v>114</v>
      </c>
      <c r="E20" s="194" t="s">
        <v>243</v>
      </c>
      <c r="F20" s="194" t="s">
        <v>315</v>
      </c>
      <c r="G20" s="173">
        <f>G21</f>
        <v>37182.78654000001</v>
      </c>
      <c r="H20" s="173">
        <f>H21</f>
        <v>26851.1591</v>
      </c>
      <c r="I20" s="173">
        <f>I21</f>
        <v>0</v>
      </c>
      <c r="J20" s="173">
        <f>J21</f>
        <v>35249.317769999994</v>
      </c>
      <c r="K20" s="51"/>
      <c r="L20" s="185"/>
      <c r="M20" s="263">
        <f t="shared" si="1"/>
        <v>94.80009716883362</v>
      </c>
    </row>
    <row r="21" spans="1:13" ht="47.25">
      <c r="A21" s="79" t="s">
        <v>106</v>
      </c>
      <c r="B21" s="94">
        <v>951</v>
      </c>
      <c r="C21" s="80" t="s">
        <v>103</v>
      </c>
      <c r="D21" s="80" t="s">
        <v>114</v>
      </c>
      <c r="E21" s="80" t="s">
        <v>7</v>
      </c>
      <c r="F21" s="80" t="s">
        <v>315</v>
      </c>
      <c r="G21" s="81">
        <f>G22</f>
        <v>37182.78654000001</v>
      </c>
      <c r="H21" s="81">
        <f aca="true" t="shared" si="2" ref="H21:J22">H22</f>
        <v>26851.1591</v>
      </c>
      <c r="I21" s="81">
        <f t="shared" si="2"/>
        <v>0</v>
      </c>
      <c r="J21" s="81">
        <f t="shared" si="2"/>
        <v>35249.317769999994</v>
      </c>
      <c r="K21" s="191"/>
      <c r="L21" s="191"/>
      <c r="M21" s="192">
        <f t="shared" si="1"/>
        <v>94.80009716883362</v>
      </c>
    </row>
    <row r="22" spans="1:13" ht="45" customHeight="1">
      <c r="A22" s="79" t="s">
        <v>107</v>
      </c>
      <c r="B22" s="94">
        <v>951</v>
      </c>
      <c r="C22" s="80" t="s">
        <v>103</v>
      </c>
      <c r="D22" s="80" t="s">
        <v>114</v>
      </c>
      <c r="E22" s="80" t="s">
        <v>8</v>
      </c>
      <c r="F22" s="80" t="s">
        <v>315</v>
      </c>
      <c r="G22" s="81">
        <f>G23</f>
        <v>37182.78654000001</v>
      </c>
      <c r="H22" s="81">
        <f t="shared" si="2"/>
        <v>26851.1591</v>
      </c>
      <c r="I22" s="81">
        <f t="shared" si="2"/>
        <v>0</v>
      </c>
      <c r="J22" s="81">
        <f t="shared" si="2"/>
        <v>35249.317769999994</v>
      </c>
      <c r="K22" s="191"/>
      <c r="L22" s="191"/>
      <c r="M22" s="192">
        <f t="shared" si="1"/>
        <v>94.80009716883362</v>
      </c>
    </row>
    <row r="23" spans="1:13" ht="45" customHeight="1">
      <c r="A23" s="79" t="s">
        <v>111</v>
      </c>
      <c r="B23" s="94">
        <v>951</v>
      </c>
      <c r="C23" s="80" t="s">
        <v>103</v>
      </c>
      <c r="D23" s="80" t="s">
        <v>114</v>
      </c>
      <c r="E23" s="80" t="s">
        <v>11</v>
      </c>
      <c r="F23" s="80" t="s">
        <v>315</v>
      </c>
      <c r="G23" s="81">
        <f>G24+G26+G28</f>
        <v>37182.78654000001</v>
      </c>
      <c r="H23" s="81">
        <f>H24+H26+H28</f>
        <v>26851.1591</v>
      </c>
      <c r="I23" s="81">
        <f>I24+I26+I28</f>
        <v>0</v>
      </c>
      <c r="J23" s="81">
        <f>J24+J26+J28</f>
        <v>35249.317769999994</v>
      </c>
      <c r="K23" s="29"/>
      <c r="L23" s="191"/>
      <c r="M23" s="192">
        <f t="shared" si="1"/>
        <v>94.80009716883362</v>
      </c>
    </row>
    <row r="24" spans="1:13" ht="90.75" customHeight="1">
      <c r="A24" s="79" t="s">
        <v>134</v>
      </c>
      <c r="B24" s="94">
        <v>951</v>
      </c>
      <c r="C24" s="80" t="s">
        <v>103</v>
      </c>
      <c r="D24" s="80" t="s">
        <v>114</v>
      </c>
      <c r="E24" s="3" t="s">
        <v>11</v>
      </c>
      <c r="F24" s="3" t="s">
        <v>108</v>
      </c>
      <c r="G24" s="22">
        <f>G25</f>
        <v>24835.011000000006</v>
      </c>
      <c r="H24" s="22">
        <f>H25</f>
        <v>13618.5</v>
      </c>
      <c r="I24" s="22">
        <f>I25</f>
        <v>0</v>
      </c>
      <c r="J24" s="22">
        <f>J25</f>
        <v>24232.23649</v>
      </c>
      <c r="K24" s="29"/>
      <c r="L24" s="191"/>
      <c r="M24" s="192">
        <f t="shared" si="1"/>
        <v>97.5728840627451</v>
      </c>
    </row>
    <row r="25" spans="1:13" ht="30.75" customHeight="1">
      <c r="A25" s="79" t="s">
        <v>136</v>
      </c>
      <c r="B25" s="94">
        <v>951</v>
      </c>
      <c r="C25" s="80" t="s">
        <v>103</v>
      </c>
      <c r="D25" s="80" t="s">
        <v>114</v>
      </c>
      <c r="E25" s="3" t="s">
        <v>11</v>
      </c>
      <c r="F25" s="3" t="s">
        <v>135</v>
      </c>
      <c r="G25" s="22">
        <f>'[1]3'!F40</f>
        <v>24835.011000000006</v>
      </c>
      <c r="H25" s="22">
        <f>9994.7+180+3018.4+392.05+118.35-20-50-15</f>
        <v>13618.5</v>
      </c>
      <c r="I25" s="22"/>
      <c r="J25" s="29">
        <v>24232.23649</v>
      </c>
      <c r="K25" s="191"/>
      <c r="L25" s="191"/>
      <c r="M25" s="192">
        <f t="shared" si="1"/>
        <v>97.5728840627451</v>
      </c>
    </row>
    <row r="26" spans="1:13" ht="31.5">
      <c r="A26" s="79" t="s">
        <v>137</v>
      </c>
      <c r="B26" s="94">
        <v>951</v>
      </c>
      <c r="C26" s="80" t="s">
        <v>103</v>
      </c>
      <c r="D26" s="80" t="s">
        <v>114</v>
      </c>
      <c r="E26" s="3" t="s">
        <v>11</v>
      </c>
      <c r="F26" s="3" t="s">
        <v>112</v>
      </c>
      <c r="G26" s="22">
        <f>G27</f>
        <v>11833.45554</v>
      </c>
      <c r="H26" s="22">
        <f>H27</f>
        <v>12690.6591</v>
      </c>
      <c r="I26" s="22">
        <f>I27</f>
        <v>0</v>
      </c>
      <c r="J26" s="22">
        <f>J27</f>
        <v>10652.65071</v>
      </c>
      <c r="K26" s="29"/>
      <c r="L26" s="191"/>
      <c r="M26" s="192">
        <f t="shared" si="1"/>
        <v>90.02147068530752</v>
      </c>
    </row>
    <row r="27" spans="1:13" ht="47.25">
      <c r="A27" s="79" t="s">
        <v>138</v>
      </c>
      <c r="B27" s="94">
        <v>951</v>
      </c>
      <c r="C27" s="80" t="s">
        <v>103</v>
      </c>
      <c r="D27" s="80" t="s">
        <v>114</v>
      </c>
      <c r="E27" s="3" t="s">
        <v>11</v>
      </c>
      <c r="F27" s="3" t="s">
        <v>139</v>
      </c>
      <c r="G27" s="22">
        <f>6774.6+253+223.7+2187.20789+1000-(75.45639)+(100+800+40.40404+280+250)</f>
        <v>11833.45554</v>
      </c>
      <c r="H27" s="22">
        <f>9616.943-2000-81.15661-200+2574-300+3125.67271-17.8-2-25</f>
        <v>12690.6591</v>
      </c>
      <c r="I27" s="22"/>
      <c r="J27" s="29">
        <v>10652.65071</v>
      </c>
      <c r="K27" s="191"/>
      <c r="L27" s="191"/>
      <c r="M27" s="192">
        <f t="shared" si="1"/>
        <v>90.02147068530752</v>
      </c>
    </row>
    <row r="28" spans="1:13" ht="15.75">
      <c r="A28" s="79" t="s">
        <v>142</v>
      </c>
      <c r="B28" s="94">
        <v>951</v>
      </c>
      <c r="C28" s="80" t="s">
        <v>103</v>
      </c>
      <c r="D28" s="80" t="s">
        <v>114</v>
      </c>
      <c r="E28" s="80" t="s">
        <v>11</v>
      </c>
      <c r="F28" s="80" t="s">
        <v>143</v>
      </c>
      <c r="G28" s="81">
        <f>G29</f>
        <v>514.32</v>
      </c>
      <c r="H28" s="81">
        <f>H29</f>
        <v>542</v>
      </c>
      <c r="I28" s="81">
        <f>I29</f>
        <v>0</v>
      </c>
      <c r="J28" s="81">
        <f>J29</f>
        <v>364.43057</v>
      </c>
      <c r="K28" s="191"/>
      <c r="L28" s="191"/>
      <c r="M28" s="192">
        <f t="shared" si="1"/>
        <v>70.85677593715974</v>
      </c>
    </row>
    <row r="29" spans="1:13" ht="15.75">
      <c r="A29" s="85" t="s">
        <v>140</v>
      </c>
      <c r="B29" s="94">
        <v>951</v>
      </c>
      <c r="C29" s="80" t="s">
        <v>103</v>
      </c>
      <c r="D29" s="80" t="s">
        <v>114</v>
      </c>
      <c r="E29" s="80" t="s">
        <v>11</v>
      </c>
      <c r="F29" s="80" t="s">
        <v>141</v>
      </c>
      <c r="G29" s="22">
        <f>'[1]3'!F44</f>
        <v>514.32</v>
      </c>
      <c r="H29" s="22">
        <f>492+50</f>
        <v>542</v>
      </c>
      <c r="I29" s="22"/>
      <c r="J29" s="29">
        <v>364.43057</v>
      </c>
      <c r="K29" s="191"/>
      <c r="L29" s="191"/>
      <c r="M29" s="192">
        <f t="shared" si="1"/>
        <v>70.85677593715974</v>
      </c>
    </row>
    <row r="30" spans="1:13" ht="47.25">
      <c r="A30" s="196" t="s">
        <v>502</v>
      </c>
      <c r="B30" s="193" t="s">
        <v>128</v>
      </c>
      <c r="C30" s="194" t="s">
        <v>103</v>
      </c>
      <c r="D30" s="194" t="s">
        <v>296</v>
      </c>
      <c r="E30" s="194" t="s">
        <v>349</v>
      </c>
      <c r="F30" s="194" t="s">
        <v>315</v>
      </c>
      <c r="G30" s="173">
        <f aca="true" t="shared" si="3" ref="G30:L31">G31</f>
        <v>3.1229999999999993</v>
      </c>
      <c r="H30" s="173">
        <f t="shared" si="3"/>
        <v>0</v>
      </c>
      <c r="I30" s="173">
        <f t="shared" si="3"/>
        <v>173.891</v>
      </c>
      <c r="J30" s="173">
        <f t="shared" si="3"/>
        <v>3.123</v>
      </c>
      <c r="K30" s="191"/>
      <c r="L30" s="191"/>
      <c r="M30" s="263">
        <f t="shared" si="1"/>
        <v>100.00000000000003</v>
      </c>
    </row>
    <row r="31" spans="1:13" ht="31.5">
      <c r="A31" s="79" t="s">
        <v>137</v>
      </c>
      <c r="B31" s="94" t="s">
        <v>128</v>
      </c>
      <c r="C31" s="80" t="s">
        <v>103</v>
      </c>
      <c r="D31" s="80" t="s">
        <v>296</v>
      </c>
      <c r="E31" s="80" t="s">
        <v>349</v>
      </c>
      <c r="F31" s="80" t="s">
        <v>112</v>
      </c>
      <c r="G31" s="81">
        <f t="shared" si="3"/>
        <v>3.1229999999999993</v>
      </c>
      <c r="H31" s="81">
        <f t="shared" si="3"/>
        <v>0</v>
      </c>
      <c r="I31" s="81">
        <f t="shared" si="3"/>
        <v>173.891</v>
      </c>
      <c r="J31" s="81">
        <f t="shared" si="3"/>
        <v>3.123</v>
      </c>
      <c r="K31" s="81">
        <f t="shared" si="3"/>
        <v>0</v>
      </c>
      <c r="L31" s="81">
        <f t="shared" si="3"/>
        <v>0</v>
      </c>
      <c r="M31" s="192">
        <f t="shared" si="1"/>
        <v>100.00000000000003</v>
      </c>
    </row>
    <row r="32" spans="1:13" ht="47.25">
      <c r="A32" s="79" t="s">
        <v>138</v>
      </c>
      <c r="B32" s="94" t="s">
        <v>128</v>
      </c>
      <c r="C32" s="80" t="s">
        <v>103</v>
      </c>
      <c r="D32" s="80" t="s">
        <v>296</v>
      </c>
      <c r="E32" s="80" t="s">
        <v>349</v>
      </c>
      <c r="F32" s="80" t="s">
        <v>139</v>
      </c>
      <c r="G32" s="22">
        <f>9.594-6.471</f>
        <v>3.1229999999999993</v>
      </c>
      <c r="H32" s="22"/>
      <c r="I32" s="22">
        <v>173.891</v>
      </c>
      <c r="J32" s="29">
        <v>3.123</v>
      </c>
      <c r="K32" s="191"/>
      <c r="L32" s="191"/>
      <c r="M32" s="192">
        <f t="shared" si="1"/>
        <v>100.00000000000003</v>
      </c>
    </row>
    <row r="33" spans="1:13" ht="15.75">
      <c r="A33" s="197" t="s">
        <v>119</v>
      </c>
      <c r="B33" s="193" t="s">
        <v>128</v>
      </c>
      <c r="C33" s="194" t="s">
        <v>103</v>
      </c>
      <c r="D33" s="194" t="s">
        <v>120</v>
      </c>
      <c r="E33" s="194" t="s">
        <v>243</v>
      </c>
      <c r="F33" s="194" t="s">
        <v>315</v>
      </c>
      <c r="G33" s="173">
        <f aca="true" t="shared" si="4" ref="G33:J37">G34</f>
        <v>3055.2267</v>
      </c>
      <c r="H33" s="173">
        <f t="shared" si="4"/>
        <v>2877.0869199999997</v>
      </c>
      <c r="I33" s="173">
        <f t="shared" si="4"/>
        <v>0</v>
      </c>
      <c r="J33" s="173">
        <f t="shared" si="4"/>
        <v>0</v>
      </c>
      <c r="K33" s="191"/>
      <c r="L33" s="191"/>
      <c r="M33" s="263">
        <f t="shared" si="1"/>
        <v>0</v>
      </c>
    </row>
    <row r="34" spans="1:13" ht="47.25">
      <c r="A34" s="91" t="s">
        <v>106</v>
      </c>
      <c r="B34" s="94" t="s">
        <v>128</v>
      </c>
      <c r="C34" s="80" t="s">
        <v>103</v>
      </c>
      <c r="D34" s="80" t="s">
        <v>120</v>
      </c>
      <c r="E34" s="92" t="s">
        <v>7</v>
      </c>
      <c r="F34" s="92" t="s">
        <v>315</v>
      </c>
      <c r="G34" s="81">
        <f t="shared" si="4"/>
        <v>3055.2267</v>
      </c>
      <c r="H34" s="81">
        <f t="shared" si="4"/>
        <v>2877.0869199999997</v>
      </c>
      <c r="I34" s="81">
        <f t="shared" si="4"/>
        <v>0</v>
      </c>
      <c r="J34" s="81">
        <f t="shared" si="4"/>
        <v>0</v>
      </c>
      <c r="K34" s="191"/>
      <c r="L34" s="191"/>
      <c r="M34" s="192">
        <f t="shared" si="1"/>
        <v>0</v>
      </c>
    </row>
    <row r="35" spans="1:13" ht="33" customHeight="1">
      <c r="A35" s="91" t="s">
        <v>107</v>
      </c>
      <c r="B35" s="94" t="s">
        <v>128</v>
      </c>
      <c r="C35" s="80" t="s">
        <v>103</v>
      </c>
      <c r="D35" s="80" t="s">
        <v>120</v>
      </c>
      <c r="E35" s="92" t="s">
        <v>8</v>
      </c>
      <c r="F35" s="92" t="s">
        <v>315</v>
      </c>
      <c r="G35" s="81">
        <f t="shared" si="4"/>
        <v>3055.2267</v>
      </c>
      <c r="H35" s="81">
        <f t="shared" si="4"/>
        <v>2877.0869199999997</v>
      </c>
      <c r="I35" s="81">
        <f t="shared" si="4"/>
        <v>0</v>
      </c>
      <c r="J35" s="81">
        <f t="shared" si="4"/>
        <v>0</v>
      </c>
      <c r="K35" s="191"/>
      <c r="L35" s="191"/>
      <c r="M35" s="192">
        <f t="shared" si="1"/>
        <v>0</v>
      </c>
    </row>
    <row r="36" spans="1:13" ht="31.5">
      <c r="A36" s="91" t="s">
        <v>402</v>
      </c>
      <c r="B36" s="94" t="s">
        <v>128</v>
      </c>
      <c r="C36" s="80" t="s">
        <v>103</v>
      </c>
      <c r="D36" s="80" t="s">
        <v>120</v>
      </c>
      <c r="E36" s="80" t="s">
        <v>403</v>
      </c>
      <c r="F36" s="92" t="s">
        <v>315</v>
      </c>
      <c r="G36" s="81">
        <f t="shared" si="4"/>
        <v>3055.2267</v>
      </c>
      <c r="H36" s="81">
        <f t="shared" si="4"/>
        <v>2877.0869199999997</v>
      </c>
      <c r="I36" s="81">
        <f t="shared" si="4"/>
        <v>0</v>
      </c>
      <c r="J36" s="81">
        <f t="shared" si="4"/>
        <v>0</v>
      </c>
      <c r="K36" s="191"/>
      <c r="L36" s="191"/>
      <c r="M36" s="192">
        <f t="shared" si="1"/>
        <v>0</v>
      </c>
    </row>
    <row r="37" spans="1:13" ht="15.75">
      <c r="A37" s="91" t="s">
        <v>142</v>
      </c>
      <c r="B37" s="94" t="s">
        <v>128</v>
      </c>
      <c r="C37" s="80" t="s">
        <v>103</v>
      </c>
      <c r="D37" s="80" t="s">
        <v>120</v>
      </c>
      <c r="E37" s="80" t="s">
        <v>403</v>
      </c>
      <c r="F37" s="92" t="s">
        <v>143</v>
      </c>
      <c r="G37" s="81">
        <f t="shared" si="4"/>
        <v>3055.2267</v>
      </c>
      <c r="H37" s="81">
        <f t="shared" si="4"/>
        <v>2877.0869199999997</v>
      </c>
      <c r="I37" s="81">
        <f t="shared" si="4"/>
        <v>0</v>
      </c>
      <c r="J37" s="81">
        <f t="shared" si="4"/>
        <v>0</v>
      </c>
      <c r="K37" s="191"/>
      <c r="L37" s="191"/>
      <c r="M37" s="192">
        <f t="shared" si="1"/>
        <v>0</v>
      </c>
    </row>
    <row r="38" spans="1:13" ht="15.75">
      <c r="A38" s="91" t="s">
        <v>144</v>
      </c>
      <c r="B38" s="94" t="s">
        <v>128</v>
      </c>
      <c r="C38" s="80" t="s">
        <v>103</v>
      </c>
      <c r="D38" s="80" t="s">
        <v>120</v>
      </c>
      <c r="E38" s="80" t="s">
        <v>403</v>
      </c>
      <c r="F38" s="92" t="s">
        <v>145</v>
      </c>
      <c r="G38" s="22">
        <v>3055.2267</v>
      </c>
      <c r="H38" s="22">
        <f>500-14.84-120+8000-20-5274.073-122-20-70+17.99992</f>
        <v>2877.0869199999997</v>
      </c>
      <c r="I38" s="22"/>
      <c r="J38" s="29">
        <v>0</v>
      </c>
      <c r="K38" s="191"/>
      <c r="L38" s="191"/>
      <c r="M38" s="192">
        <f t="shared" si="1"/>
        <v>0</v>
      </c>
    </row>
    <row r="39" spans="1:13" ht="16.5" customHeight="1">
      <c r="A39" s="178" t="s">
        <v>271</v>
      </c>
      <c r="B39" s="193">
        <v>951</v>
      </c>
      <c r="C39" s="194" t="s">
        <v>103</v>
      </c>
      <c r="D39" s="194" t="s">
        <v>121</v>
      </c>
      <c r="E39" s="194" t="s">
        <v>243</v>
      </c>
      <c r="F39" s="194" t="s">
        <v>315</v>
      </c>
      <c r="G39" s="173">
        <f>G40+G64+G102+G120+G74+G77+G123+G80+G126</f>
        <v>16875.160470000003</v>
      </c>
      <c r="H39" s="173" t="e">
        <f>H40+H64+H102+H120+H74+H77+H123+H80+H126</f>
        <v>#REF!</v>
      </c>
      <c r="I39" s="173" t="e">
        <f>I40+I64+I102+I120+I74+I77+I123+I80+I126</f>
        <v>#REF!</v>
      </c>
      <c r="J39" s="173">
        <f>J40+J64+J102+J120+J74+J77+J123+J80+J126</f>
        <v>15878.13035</v>
      </c>
      <c r="K39" s="173" t="e">
        <f>K40+K64+K102+K120+K74+K77+K123+K80+#REF!+K126</f>
        <v>#REF!</v>
      </c>
      <c r="L39" s="173" t="e">
        <f>L40+L64+L102+L120+L74+L77+L123+L80+#REF!+L126</f>
        <v>#REF!</v>
      </c>
      <c r="M39" s="263">
        <f t="shared" si="1"/>
        <v>94.0917295466761</v>
      </c>
    </row>
    <row r="40" spans="1:15" ht="16.5" customHeight="1">
      <c r="A40" s="79" t="s">
        <v>122</v>
      </c>
      <c r="B40" s="94">
        <v>951</v>
      </c>
      <c r="C40" s="80" t="s">
        <v>103</v>
      </c>
      <c r="D40" s="80" t="s">
        <v>121</v>
      </c>
      <c r="E40" s="80" t="s">
        <v>243</v>
      </c>
      <c r="F40" s="80" t="s">
        <v>315</v>
      </c>
      <c r="G40" s="81">
        <f>G41+G46+G51+G56+G59+G86</f>
        <v>6288.3417</v>
      </c>
      <c r="H40" s="81" t="e">
        <f>H41+H46+H51+H56+H59+H86</f>
        <v>#REF!</v>
      </c>
      <c r="I40" s="81">
        <f>I41+I46+I51+I56+I59+I86</f>
        <v>5187.45923</v>
      </c>
      <c r="J40" s="81">
        <f>J41+J46+J51+J56+J59+J86</f>
        <v>6288.3417</v>
      </c>
      <c r="K40" s="191"/>
      <c r="L40" s="191"/>
      <c r="M40" s="192">
        <f t="shared" si="1"/>
        <v>100</v>
      </c>
      <c r="N40" s="189"/>
      <c r="O40" s="189"/>
    </row>
    <row r="41" spans="1:13" ht="78.75">
      <c r="A41" s="82" t="s">
        <v>123</v>
      </c>
      <c r="B41" s="112">
        <v>951</v>
      </c>
      <c r="C41" s="83" t="s">
        <v>103</v>
      </c>
      <c r="D41" s="83" t="s">
        <v>121</v>
      </c>
      <c r="E41" s="83" t="s">
        <v>13</v>
      </c>
      <c r="F41" s="83" t="s">
        <v>315</v>
      </c>
      <c r="G41" s="84">
        <f>G42+G44</f>
        <v>888.6279999999999</v>
      </c>
      <c r="H41" s="84">
        <f>H42+H44</f>
        <v>0</v>
      </c>
      <c r="I41" s="84">
        <f>I42+I44</f>
        <v>830.909</v>
      </c>
      <c r="J41" s="84">
        <f>J42+J44</f>
        <v>888.6279999999999</v>
      </c>
      <c r="K41" s="29"/>
      <c r="L41" s="191"/>
      <c r="M41" s="192">
        <f t="shared" si="1"/>
        <v>100</v>
      </c>
    </row>
    <row r="42" spans="1:13" ht="84" customHeight="1">
      <c r="A42" s="79" t="s">
        <v>134</v>
      </c>
      <c r="B42" s="94">
        <v>951</v>
      </c>
      <c r="C42" s="80" t="s">
        <v>103</v>
      </c>
      <c r="D42" s="80" t="s">
        <v>121</v>
      </c>
      <c r="E42" s="80" t="s">
        <v>13</v>
      </c>
      <c r="F42" s="80" t="s">
        <v>108</v>
      </c>
      <c r="G42" s="22">
        <f>G43</f>
        <v>832.7225</v>
      </c>
      <c r="H42" s="22">
        <f>H43</f>
        <v>0</v>
      </c>
      <c r="I42" s="22">
        <f>I43</f>
        <v>579.34028</v>
      </c>
      <c r="J42" s="22">
        <f>J43</f>
        <v>832.7225</v>
      </c>
      <c r="K42" s="191"/>
      <c r="L42" s="191"/>
      <c r="M42" s="192">
        <f t="shared" si="1"/>
        <v>100</v>
      </c>
    </row>
    <row r="43" spans="1:13" ht="47.25">
      <c r="A43" s="93" t="s">
        <v>136</v>
      </c>
      <c r="B43" s="94">
        <v>951</v>
      </c>
      <c r="C43" s="80" t="s">
        <v>103</v>
      </c>
      <c r="D43" s="80" t="s">
        <v>121</v>
      </c>
      <c r="E43" s="80" t="s">
        <v>13</v>
      </c>
      <c r="F43" s="80" t="s">
        <v>135</v>
      </c>
      <c r="G43" s="22">
        <f>726.497+59.7+10.646+25.25127+10.62823</f>
        <v>832.7225</v>
      </c>
      <c r="H43" s="22"/>
      <c r="I43" s="22">
        <f>565.374+14-0.03372</f>
        <v>579.34028</v>
      </c>
      <c r="J43" s="29">
        <v>832.7225</v>
      </c>
      <c r="K43" s="29"/>
      <c r="L43" s="191"/>
      <c r="M43" s="192">
        <f t="shared" si="1"/>
        <v>100</v>
      </c>
    </row>
    <row r="44" spans="1:13" ht="31.5" customHeight="1">
      <c r="A44" s="79" t="s">
        <v>137</v>
      </c>
      <c r="B44" s="94">
        <v>951</v>
      </c>
      <c r="C44" s="80" t="s">
        <v>103</v>
      </c>
      <c r="D44" s="80" t="s">
        <v>121</v>
      </c>
      <c r="E44" s="80" t="s">
        <v>13</v>
      </c>
      <c r="F44" s="80" t="s">
        <v>112</v>
      </c>
      <c r="G44" s="22">
        <f>G45</f>
        <v>55.90549999999999</v>
      </c>
      <c r="H44" s="22">
        <f>H45</f>
        <v>0</v>
      </c>
      <c r="I44" s="22">
        <f>I45</f>
        <v>251.56872</v>
      </c>
      <c r="J44" s="22">
        <f>J45</f>
        <v>55.9055</v>
      </c>
      <c r="K44" s="191"/>
      <c r="L44" s="191"/>
      <c r="M44" s="192">
        <f t="shared" si="1"/>
        <v>100.00000000000003</v>
      </c>
    </row>
    <row r="45" spans="1:13" ht="47.25">
      <c r="A45" s="93" t="s">
        <v>138</v>
      </c>
      <c r="B45" s="94">
        <v>951</v>
      </c>
      <c r="C45" s="80" t="s">
        <v>103</v>
      </c>
      <c r="D45" s="80" t="s">
        <v>121</v>
      </c>
      <c r="E45" s="80" t="s">
        <v>13</v>
      </c>
      <c r="F45" s="80" t="s">
        <v>139</v>
      </c>
      <c r="G45" s="22">
        <f>138.036-59.7-11.80227-10.62823</f>
        <v>55.90549999999999</v>
      </c>
      <c r="H45" s="22"/>
      <c r="I45" s="22">
        <f>265.535-14+0.03372</f>
        <v>251.56872</v>
      </c>
      <c r="J45" s="29">
        <v>55.9055</v>
      </c>
      <c r="K45" s="191"/>
      <c r="L45" s="191"/>
      <c r="M45" s="192">
        <f t="shared" si="1"/>
        <v>100.00000000000003</v>
      </c>
    </row>
    <row r="46" spans="1:13" ht="47.25" customHeight="1">
      <c r="A46" s="82" t="s">
        <v>325</v>
      </c>
      <c r="B46" s="112">
        <v>951</v>
      </c>
      <c r="C46" s="83" t="s">
        <v>103</v>
      </c>
      <c r="D46" s="83" t="s">
        <v>121</v>
      </c>
      <c r="E46" s="83" t="s">
        <v>532</v>
      </c>
      <c r="F46" s="83" t="s">
        <v>315</v>
      </c>
      <c r="G46" s="23">
        <f>G47+G49</f>
        <v>1349.873</v>
      </c>
      <c r="H46" s="23">
        <f>H47+H49</f>
        <v>1349.873</v>
      </c>
      <c r="I46" s="23">
        <f>I47+I49</f>
        <v>1349.873</v>
      </c>
      <c r="J46" s="23">
        <f>J47+J49</f>
        <v>1349.873</v>
      </c>
      <c r="K46" s="29"/>
      <c r="L46" s="191"/>
      <c r="M46" s="192">
        <f t="shared" si="1"/>
        <v>100</v>
      </c>
    </row>
    <row r="47" spans="1:13" ht="94.5">
      <c r="A47" s="79" t="s">
        <v>134</v>
      </c>
      <c r="B47" s="94" t="s">
        <v>128</v>
      </c>
      <c r="C47" s="80" t="s">
        <v>103</v>
      </c>
      <c r="D47" s="80" t="s">
        <v>121</v>
      </c>
      <c r="E47" s="80" t="s">
        <v>532</v>
      </c>
      <c r="F47" s="80" t="s">
        <v>108</v>
      </c>
      <c r="G47" s="22">
        <f>G48</f>
        <v>1338.1853700000001</v>
      </c>
      <c r="H47" s="22">
        <f>H48</f>
        <v>1338.1853700000001</v>
      </c>
      <c r="I47" s="22">
        <f>I48</f>
        <v>1338.1853700000001</v>
      </c>
      <c r="J47" s="22">
        <f>J48</f>
        <v>1338.1853700000001</v>
      </c>
      <c r="K47" s="191"/>
      <c r="L47" s="191"/>
      <c r="M47" s="192">
        <f t="shared" si="1"/>
        <v>100</v>
      </c>
    </row>
    <row r="48" spans="1:13" ht="32.25" customHeight="1">
      <c r="A48" s="93" t="s">
        <v>136</v>
      </c>
      <c r="B48" s="94" t="s">
        <v>128</v>
      </c>
      <c r="C48" s="80" t="s">
        <v>103</v>
      </c>
      <c r="D48" s="80" t="s">
        <v>121</v>
      </c>
      <c r="E48" s="80" t="s">
        <v>532</v>
      </c>
      <c r="F48" s="80" t="s">
        <v>135</v>
      </c>
      <c r="G48" s="22">
        <f>1279.166+30.4+3.141+16.421+20.745-11.68763</f>
        <v>1338.1853700000001</v>
      </c>
      <c r="H48" s="22">
        <f>1279.166+30.4+3.141+16.421+20.745-11.68763</f>
        <v>1338.1853700000001</v>
      </c>
      <c r="I48" s="22">
        <f>1279.166+30.4+3.141+16.421+20.745-11.68763</f>
        <v>1338.1853700000001</v>
      </c>
      <c r="J48" s="22">
        <f>1279.166+30.4+3.141+16.421+20.745-11.68763</f>
        <v>1338.1853700000001</v>
      </c>
      <c r="K48" s="191"/>
      <c r="L48" s="191"/>
      <c r="M48" s="192">
        <f t="shared" si="1"/>
        <v>100</v>
      </c>
    </row>
    <row r="49" spans="1:13" ht="31.5" customHeight="1">
      <c r="A49" s="79" t="s">
        <v>137</v>
      </c>
      <c r="B49" s="94">
        <v>951</v>
      </c>
      <c r="C49" s="80" t="s">
        <v>103</v>
      </c>
      <c r="D49" s="80" t="s">
        <v>121</v>
      </c>
      <c r="E49" s="80" t="s">
        <v>532</v>
      </c>
      <c r="F49" s="80" t="s">
        <v>112</v>
      </c>
      <c r="G49" s="22">
        <f>G50</f>
        <v>11.68763</v>
      </c>
      <c r="H49" s="22">
        <f>H50</f>
        <v>11.68763</v>
      </c>
      <c r="I49" s="22">
        <f>I50</f>
        <v>11.68763</v>
      </c>
      <c r="J49" s="22">
        <f>J50</f>
        <v>11.68763</v>
      </c>
      <c r="K49" s="191"/>
      <c r="L49" s="191"/>
      <c r="M49" s="192">
        <f t="shared" si="1"/>
        <v>100</v>
      </c>
    </row>
    <row r="50" spans="1:13" ht="44.25" customHeight="1">
      <c r="A50" s="93" t="s">
        <v>138</v>
      </c>
      <c r="B50" s="94">
        <v>951</v>
      </c>
      <c r="C50" s="80" t="s">
        <v>103</v>
      </c>
      <c r="D50" s="80" t="s">
        <v>121</v>
      </c>
      <c r="E50" s="80" t="s">
        <v>532</v>
      </c>
      <c r="F50" s="80" t="s">
        <v>139</v>
      </c>
      <c r="G50" s="22">
        <f>85.212-85.212+11.68763</f>
        <v>11.68763</v>
      </c>
      <c r="H50" s="22">
        <f>85.212-85.212+11.68763</f>
        <v>11.68763</v>
      </c>
      <c r="I50" s="22">
        <f>85.212-85.212+11.68763</f>
        <v>11.68763</v>
      </c>
      <c r="J50" s="22">
        <f>85.212-85.212+11.68763</f>
        <v>11.68763</v>
      </c>
      <c r="K50" s="191"/>
      <c r="L50" s="191"/>
      <c r="M50" s="192">
        <f t="shared" si="1"/>
        <v>100</v>
      </c>
    </row>
    <row r="51" spans="1:13" ht="47.25">
      <c r="A51" s="82" t="s">
        <v>124</v>
      </c>
      <c r="B51" s="112" t="s">
        <v>128</v>
      </c>
      <c r="C51" s="83" t="s">
        <v>103</v>
      </c>
      <c r="D51" s="83" t="s">
        <v>121</v>
      </c>
      <c r="E51" s="83" t="s">
        <v>532</v>
      </c>
      <c r="F51" s="83" t="s">
        <v>315</v>
      </c>
      <c r="G51" s="23">
        <f>G52+G54</f>
        <v>950.0169999999999</v>
      </c>
      <c r="H51" s="23">
        <f>H52+H54</f>
        <v>950.0169999999999</v>
      </c>
      <c r="I51" s="23">
        <f>I52+I54</f>
        <v>950.0169999999999</v>
      </c>
      <c r="J51" s="23">
        <f>J52+J54</f>
        <v>950.0169999999999</v>
      </c>
      <c r="K51" s="29"/>
      <c r="L51" s="191"/>
      <c r="M51" s="192">
        <f t="shared" si="1"/>
        <v>100</v>
      </c>
    </row>
    <row r="52" spans="1:13" ht="81" customHeight="1">
      <c r="A52" s="79" t="s">
        <v>134</v>
      </c>
      <c r="B52" s="94" t="s">
        <v>128</v>
      </c>
      <c r="C52" s="80" t="s">
        <v>103</v>
      </c>
      <c r="D52" s="80" t="s">
        <v>121</v>
      </c>
      <c r="E52" s="80" t="s">
        <v>532</v>
      </c>
      <c r="F52" s="80" t="s">
        <v>108</v>
      </c>
      <c r="G52" s="22">
        <f>G53</f>
        <v>945.7202</v>
      </c>
      <c r="H52" s="22">
        <f>H53</f>
        <v>945.7202</v>
      </c>
      <c r="I52" s="22">
        <f>I53</f>
        <v>945.7202</v>
      </c>
      <c r="J52" s="22">
        <f>J53</f>
        <v>945.7202</v>
      </c>
      <c r="K52" s="191"/>
      <c r="L52" s="191"/>
      <c r="M52" s="192">
        <f t="shared" si="1"/>
        <v>100</v>
      </c>
    </row>
    <row r="53" spans="1:13" ht="30" customHeight="1">
      <c r="A53" s="93" t="s">
        <v>136</v>
      </c>
      <c r="B53" s="94">
        <v>951</v>
      </c>
      <c r="C53" s="80" t="s">
        <v>103</v>
      </c>
      <c r="D53" s="80" t="s">
        <v>121</v>
      </c>
      <c r="E53" s="80" t="s">
        <v>532</v>
      </c>
      <c r="F53" s="80" t="s">
        <v>135</v>
      </c>
      <c r="G53" s="22">
        <f>765.9+50+87.649+20.43+11.505+14.533-4.2968</f>
        <v>945.7202</v>
      </c>
      <c r="H53" s="22">
        <f>765.9+50+87.649+20.43+11.505+14.533-4.2968</f>
        <v>945.7202</v>
      </c>
      <c r="I53" s="22">
        <f>765.9+50+87.649+20.43+11.505+14.533-4.2968</f>
        <v>945.7202</v>
      </c>
      <c r="J53" s="22">
        <f>765.9+50+87.649+20.43+11.505+14.533-4.2968</f>
        <v>945.7202</v>
      </c>
      <c r="K53" s="191"/>
      <c r="L53" s="191"/>
      <c r="M53" s="192">
        <f t="shared" si="1"/>
        <v>100</v>
      </c>
    </row>
    <row r="54" spans="1:13" ht="30.75" customHeight="1">
      <c r="A54" s="79" t="s">
        <v>137</v>
      </c>
      <c r="B54" s="94">
        <v>951</v>
      </c>
      <c r="C54" s="80" t="s">
        <v>103</v>
      </c>
      <c r="D54" s="80" t="s">
        <v>121</v>
      </c>
      <c r="E54" s="80" t="s">
        <v>532</v>
      </c>
      <c r="F54" s="80" t="s">
        <v>112</v>
      </c>
      <c r="G54" s="22">
        <f>G55</f>
        <v>4.2968</v>
      </c>
      <c r="H54" s="22">
        <f>H55</f>
        <v>4.2968</v>
      </c>
      <c r="I54" s="22">
        <f>I55</f>
        <v>4.2968</v>
      </c>
      <c r="J54" s="22">
        <f>J55</f>
        <v>4.2968</v>
      </c>
      <c r="K54" s="191"/>
      <c r="L54" s="191"/>
      <c r="M54" s="192">
        <f t="shared" si="1"/>
        <v>100</v>
      </c>
    </row>
    <row r="55" spans="1:13" ht="47.25">
      <c r="A55" s="93" t="s">
        <v>138</v>
      </c>
      <c r="B55" s="94">
        <v>951</v>
      </c>
      <c r="C55" s="80" t="s">
        <v>103</v>
      </c>
      <c r="D55" s="80" t="s">
        <v>121</v>
      </c>
      <c r="E55" s="80" t="s">
        <v>532</v>
      </c>
      <c r="F55" s="80" t="s">
        <v>139</v>
      </c>
      <c r="G55" s="22">
        <f>56.408-56.408+4.2968</f>
        <v>4.2968</v>
      </c>
      <c r="H55" s="22">
        <f>56.408-56.408+4.2968</f>
        <v>4.2968</v>
      </c>
      <c r="I55" s="22">
        <f>56.408-56.408+4.2968</f>
        <v>4.2968</v>
      </c>
      <c r="J55" s="22">
        <f>56.408-56.408+4.2968</f>
        <v>4.2968</v>
      </c>
      <c r="K55" s="191"/>
      <c r="L55" s="191"/>
      <c r="M55" s="192">
        <f t="shared" si="1"/>
        <v>100</v>
      </c>
    </row>
    <row r="56" spans="1:13" ht="110.25">
      <c r="A56" s="82" t="s">
        <v>14</v>
      </c>
      <c r="B56" s="112">
        <v>951</v>
      </c>
      <c r="C56" s="83" t="s">
        <v>103</v>
      </c>
      <c r="D56" s="83" t="s">
        <v>121</v>
      </c>
      <c r="E56" s="83" t="s">
        <v>244</v>
      </c>
      <c r="F56" s="83" t="s">
        <v>315</v>
      </c>
      <c r="G56" s="84">
        <f aca="true" t="shared" si="5" ref="G56:J57">G57</f>
        <v>1490.622</v>
      </c>
      <c r="H56" s="84">
        <f t="shared" si="5"/>
        <v>0</v>
      </c>
      <c r="I56" s="84">
        <f t="shared" si="5"/>
        <v>1386.40203</v>
      </c>
      <c r="J56" s="84">
        <f t="shared" si="5"/>
        <v>1490.622</v>
      </c>
      <c r="K56" s="29"/>
      <c r="L56" s="191"/>
      <c r="M56" s="192">
        <f t="shared" si="1"/>
        <v>100</v>
      </c>
    </row>
    <row r="57" spans="1:13" ht="94.5">
      <c r="A57" s="79" t="s">
        <v>134</v>
      </c>
      <c r="B57" s="94">
        <v>951</v>
      </c>
      <c r="C57" s="80" t="s">
        <v>103</v>
      </c>
      <c r="D57" s="80" t="s">
        <v>121</v>
      </c>
      <c r="E57" s="80" t="s">
        <v>244</v>
      </c>
      <c r="F57" s="80" t="s">
        <v>108</v>
      </c>
      <c r="G57" s="81">
        <f t="shared" si="5"/>
        <v>1490.622</v>
      </c>
      <c r="H57" s="81">
        <f t="shared" si="5"/>
        <v>0</v>
      </c>
      <c r="I57" s="81">
        <f t="shared" si="5"/>
        <v>1386.40203</v>
      </c>
      <c r="J57" s="81">
        <f t="shared" si="5"/>
        <v>1490.622</v>
      </c>
      <c r="K57" s="191"/>
      <c r="L57" s="191"/>
      <c r="M57" s="192">
        <f t="shared" si="1"/>
        <v>100</v>
      </c>
    </row>
    <row r="58" spans="1:13" ht="47.25">
      <c r="A58" s="93" t="s">
        <v>136</v>
      </c>
      <c r="B58" s="94">
        <v>951</v>
      </c>
      <c r="C58" s="80" t="s">
        <v>103</v>
      </c>
      <c r="D58" s="80" t="s">
        <v>121</v>
      </c>
      <c r="E58" s="80" t="s">
        <v>244</v>
      </c>
      <c r="F58" s="80" t="s">
        <v>135</v>
      </c>
      <c r="G58" s="22">
        <f>1286.738+203.884</f>
        <v>1490.622</v>
      </c>
      <c r="H58" s="22"/>
      <c r="I58" s="22">
        <f>1332.423+61.365-8.83597+1.45</f>
        <v>1386.40203</v>
      </c>
      <c r="J58" s="29">
        <v>1490.622</v>
      </c>
      <c r="K58" s="191"/>
      <c r="L58" s="191"/>
      <c r="M58" s="192">
        <f t="shared" si="1"/>
        <v>100</v>
      </c>
    </row>
    <row r="59" spans="1:13" ht="94.5">
      <c r="A59" s="95" t="s">
        <v>564</v>
      </c>
      <c r="B59" s="112">
        <v>951</v>
      </c>
      <c r="C59" s="83" t="s">
        <v>103</v>
      </c>
      <c r="D59" s="83" t="s">
        <v>121</v>
      </c>
      <c r="E59" s="83" t="s">
        <v>565</v>
      </c>
      <c r="F59" s="83" t="s">
        <v>315</v>
      </c>
      <c r="G59" s="84">
        <f>G62+G60</f>
        <v>362.90900000000005</v>
      </c>
      <c r="H59" s="84">
        <f>H62+H60</f>
        <v>316.67920000000004</v>
      </c>
      <c r="I59" s="84">
        <f>I62+I60</f>
        <v>670.2582</v>
      </c>
      <c r="J59" s="84">
        <f>J62+J60</f>
        <v>362.90900000000005</v>
      </c>
      <c r="K59" s="29"/>
      <c r="L59" s="191"/>
      <c r="M59" s="192">
        <f t="shared" si="1"/>
        <v>100</v>
      </c>
    </row>
    <row r="60" spans="1:13" ht="94.5">
      <c r="A60" s="79" t="s">
        <v>134</v>
      </c>
      <c r="B60" s="112">
        <v>951</v>
      </c>
      <c r="C60" s="83" t="s">
        <v>103</v>
      </c>
      <c r="D60" s="83" t="s">
        <v>121</v>
      </c>
      <c r="E60" s="83" t="s">
        <v>565</v>
      </c>
      <c r="F60" s="80" t="s">
        <v>108</v>
      </c>
      <c r="G60" s="84">
        <f aca="true" t="shared" si="6" ref="G60:L60">G61</f>
        <v>46.229800000000004</v>
      </c>
      <c r="H60" s="84">
        <f t="shared" si="6"/>
        <v>0</v>
      </c>
      <c r="I60" s="84">
        <f t="shared" si="6"/>
        <v>353.579</v>
      </c>
      <c r="J60" s="84">
        <f t="shared" si="6"/>
        <v>46.2298</v>
      </c>
      <c r="K60" s="84">
        <f t="shared" si="6"/>
        <v>0</v>
      </c>
      <c r="L60" s="84">
        <f t="shared" si="6"/>
        <v>0</v>
      </c>
      <c r="M60" s="192">
        <f t="shared" si="1"/>
        <v>99.99999999999999</v>
      </c>
    </row>
    <row r="61" spans="1:13" ht="47.25">
      <c r="A61" s="93" t="s">
        <v>136</v>
      </c>
      <c r="B61" s="112">
        <v>951</v>
      </c>
      <c r="C61" s="83" t="s">
        <v>103</v>
      </c>
      <c r="D61" s="83" t="s">
        <v>121</v>
      </c>
      <c r="E61" s="83" t="s">
        <v>565</v>
      </c>
      <c r="F61" s="80" t="s">
        <v>135</v>
      </c>
      <c r="G61" s="23">
        <f>36.58635+9.64345</f>
        <v>46.229800000000004</v>
      </c>
      <c r="H61" s="22"/>
      <c r="I61" s="22">
        <v>353.579</v>
      </c>
      <c r="J61" s="29">
        <v>46.2298</v>
      </c>
      <c r="K61" s="191"/>
      <c r="L61" s="191"/>
      <c r="M61" s="192">
        <f t="shared" si="1"/>
        <v>99.99999999999999</v>
      </c>
    </row>
    <row r="62" spans="1:13" s="199" customFormat="1" ht="20.25" customHeight="1">
      <c r="A62" s="79" t="s">
        <v>137</v>
      </c>
      <c r="B62" s="94">
        <v>951</v>
      </c>
      <c r="C62" s="80" t="s">
        <v>103</v>
      </c>
      <c r="D62" s="80" t="s">
        <v>121</v>
      </c>
      <c r="E62" s="80" t="s">
        <v>565</v>
      </c>
      <c r="F62" s="80" t="s">
        <v>112</v>
      </c>
      <c r="G62" s="22">
        <f>G63</f>
        <v>316.67920000000004</v>
      </c>
      <c r="H62" s="22">
        <f>H63</f>
        <v>316.67920000000004</v>
      </c>
      <c r="I62" s="22">
        <f>I63</f>
        <v>316.67920000000004</v>
      </c>
      <c r="J62" s="22">
        <f>J63</f>
        <v>316.67920000000004</v>
      </c>
      <c r="K62" s="198"/>
      <c r="L62" s="198"/>
      <c r="M62" s="192">
        <f t="shared" si="1"/>
        <v>100</v>
      </c>
    </row>
    <row r="63" spans="1:13" ht="47.25">
      <c r="A63" s="93" t="s">
        <v>138</v>
      </c>
      <c r="B63" s="94">
        <v>951</v>
      </c>
      <c r="C63" s="80" t="s">
        <v>103</v>
      </c>
      <c r="D63" s="80" t="s">
        <v>121</v>
      </c>
      <c r="E63" s="80" t="s">
        <v>565</v>
      </c>
      <c r="F63" s="80" t="s">
        <v>139</v>
      </c>
      <c r="G63" s="22">
        <f>353.579+4.122-41.0218</f>
        <v>316.67920000000004</v>
      </c>
      <c r="H63" s="22">
        <f>353.579+4.122-41.0218</f>
        <v>316.67920000000004</v>
      </c>
      <c r="I63" s="22">
        <f>353.579+4.122-41.0218</f>
        <v>316.67920000000004</v>
      </c>
      <c r="J63" s="22">
        <f>353.579+4.122-41.0218</f>
        <v>316.67920000000004</v>
      </c>
      <c r="K63" s="191"/>
      <c r="L63" s="191"/>
      <c r="M63" s="192">
        <f t="shared" si="1"/>
        <v>100</v>
      </c>
    </row>
    <row r="64" spans="1:13" ht="45" customHeight="1">
      <c r="A64" s="110" t="s">
        <v>106</v>
      </c>
      <c r="B64" s="203">
        <v>951</v>
      </c>
      <c r="C64" s="97" t="s">
        <v>103</v>
      </c>
      <c r="D64" s="97" t="s">
        <v>121</v>
      </c>
      <c r="E64" s="97" t="s">
        <v>7</v>
      </c>
      <c r="F64" s="97" t="s">
        <v>315</v>
      </c>
      <c r="G64" s="172">
        <f>G65</f>
        <v>6944.7441</v>
      </c>
      <c r="H64" s="176" t="e">
        <f>H65</f>
        <v>#REF!</v>
      </c>
      <c r="I64" s="176" t="e">
        <f>I65</f>
        <v>#REF!</v>
      </c>
      <c r="J64" s="176">
        <f>J65</f>
        <v>6756.384400000001</v>
      </c>
      <c r="K64" s="29"/>
      <c r="L64" s="191"/>
      <c r="M64" s="264">
        <f t="shared" si="1"/>
        <v>97.28773735521804</v>
      </c>
    </row>
    <row r="65" spans="1:16" ht="47.25">
      <c r="A65" s="79" t="s">
        <v>107</v>
      </c>
      <c r="B65" s="94">
        <v>951</v>
      </c>
      <c r="C65" s="80" t="s">
        <v>103</v>
      </c>
      <c r="D65" s="80" t="s">
        <v>121</v>
      </c>
      <c r="E65" s="80" t="s">
        <v>8</v>
      </c>
      <c r="F65" s="80" t="s">
        <v>315</v>
      </c>
      <c r="G65" s="81">
        <f>G66+G71+G93+G96+G99+G83</f>
        <v>6944.7441</v>
      </c>
      <c r="H65" s="81" t="e">
        <f>H66+H71+H93+H96+H99+H83</f>
        <v>#REF!</v>
      </c>
      <c r="I65" s="81" t="e">
        <f>I66+I71+I93+I96+I99+I83</f>
        <v>#REF!</v>
      </c>
      <c r="J65" s="81">
        <f>J66+J71+J93+J96+J99+J83</f>
        <v>6756.384400000001</v>
      </c>
      <c r="K65" s="191"/>
      <c r="L65" s="191"/>
      <c r="M65" s="192">
        <f aca="true" t="shared" si="7" ref="M65:M114">J65/G65*100</f>
        <v>97.28773735521804</v>
      </c>
      <c r="P65" s="189" t="e">
        <f>G64+G69+#REF!+G92</f>
        <v>#REF!</v>
      </c>
    </row>
    <row r="66" spans="1:16" ht="47.25">
      <c r="A66" s="79" t="s">
        <v>404</v>
      </c>
      <c r="B66" s="94">
        <v>951</v>
      </c>
      <c r="C66" s="80" t="s">
        <v>103</v>
      </c>
      <c r="D66" s="80" t="s">
        <v>121</v>
      </c>
      <c r="E66" s="80" t="s">
        <v>11</v>
      </c>
      <c r="F66" s="80" t="s">
        <v>315</v>
      </c>
      <c r="G66" s="81">
        <f aca="true" t="shared" si="8" ref="G66:L66">G67+G69</f>
        <v>5919.285</v>
      </c>
      <c r="H66" s="81">
        <f t="shared" si="8"/>
        <v>110.539</v>
      </c>
      <c r="I66" s="81">
        <f t="shared" si="8"/>
        <v>0</v>
      </c>
      <c r="J66" s="81">
        <f t="shared" si="8"/>
        <v>5761.72813</v>
      </c>
      <c r="K66" s="81">
        <f t="shared" si="8"/>
        <v>0</v>
      </c>
      <c r="L66" s="81">
        <f t="shared" si="8"/>
        <v>0</v>
      </c>
      <c r="M66" s="192">
        <f t="shared" si="7"/>
        <v>97.33824490626824</v>
      </c>
      <c r="P66" s="189" t="e">
        <f>P65-#REF!</f>
        <v>#REF!</v>
      </c>
    </row>
    <row r="67" spans="1:13" ht="94.5">
      <c r="A67" s="79" t="s">
        <v>134</v>
      </c>
      <c r="B67" s="94">
        <v>951</v>
      </c>
      <c r="C67" s="80" t="s">
        <v>103</v>
      </c>
      <c r="D67" s="80" t="s">
        <v>121</v>
      </c>
      <c r="E67" s="80" t="s">
        <v>11</v>
      </c>
      <c r="F67" s="80" t="s">
        <v>108</v>
      </c>
      <c r="G67" s="81">
        <f aca="true" t="shared" si="9" ref="G67:L67">G68</f>
        <v>5719.785</v>
      </c>
      <c r="H67" s="81">
        <f t="shared" si="9"/>
        <v>110.539</v>
      </c>
      <c r="I67" s="81">
        <f t="shared" si="9"/>
        <v>0</v>
      </c>
      <c r="J67" s="81">
        <f t="shared" si="9"/>
        <v>5662.90455</v>
      </c>
      <c r="K67" s="81">
        <f t="shared" si="9"/>
        <v>0</v>
      </c>
      <c r="L67" s="81">
        <f t="shared" si="9"/>
        <v>0</v>
      </c>
      <c r="M67" s="192">
        <f t="shared" si="7"/>
        <v>99.00554915962752</v>
      </c>
    </row>
    <row r="68" spans="1:13" ht="47.25">
      <c r="A68" s="93" t="s">
        <v>136</v>
      </c>
      <c r="B68" s="94">
        <v>951</v>
      </c>
      <c r="C68" s="80" t="s">
        <v>103</v>
      </c>
      <c r="D68" s="80" t="s">
        <v>121</v>
      </c>
      <c r="E68" s="80" t="s">
        <v>11</v>
      </c>
      <c r="F68" s="80" t="s">
        <v>135</v>
      </c>
      <c r="G68" s="22">
        <f>4147.454+59+1252.531+(50.3+15.2)+150+45.3</f>
        <v>5719.785</v>
      </c>
      <c r="H68" s="22">
        <v>110.539</v>
      </c>
      <c r="I68" s="22"/>
      <c r="J68" s="29">
        <v>5662.90455</v>
      </c>
      <c r="K68" s="191"/>
      <c r="L68" s="191"/>
      <c r="M68" s="192">
        <f t="shared" si="7"/>
        <v>99.00554915962752</v>
      </c>
    </row>
    <row r="69" spans="1:13" ht="31.5">
      <c r="A69" s="79" t="s">
        <v>137</v>
      </c>
      <c r="B69" s="94">
        <v>951</v>
      </c>
      <c r="C69" s="80" t="s">
        <v>103</v>
      </c>
      <c r="D69" s="80" t="s">
        <v>121</v>
      </c>
      <c r="E69" s="80" t="s">
        <v>11</v>
      </c>
      <c r="F69" s="80" t="s">
        <v>112</v>
      </c>
      <c r="G69" s="22">
        <f>G70</f>
        <v>199.5</v>
      </c>
      <c r="H69" s="22">
        <f>H70</f>
        <v>0</v>
      </c>
      <c r="I69" s="22">
        <f>I70</f>
        <v>0</v>
      </c>
      <c r="J69" s="22">
        <f>J70</f>
        <v>98.82358</v>
      </c>
      <c r="K69" s="191"/>
      <c r="L69" s="191"/>
      <c r="M69" s="192">
        <f t="shared" si="7"/>
        <v>49.53562907268171</v>
      </c>
    </row>
    <row r="70" spans="1:13" ht="47.25">
      <c r="A70" s="93" t="s">
        <v>138</v>
      </c>
      <c r="B70" s="94">
        <v>951</v>
      </c>
      <c r="C70" s="80" t="s">
        <v>103</v>
      </c>
      <c r="D70" s="80" t="s">
        <v>121</v>
      </c>
      <c r="E70" s="80" t="s">
        <v>11</v>
      </c>
      <c r="F70" s="80" t="s">
        <v>139</v>
      </c>
      <c r="G70" s="22">
        <v>199.5</v>
      </c>
      <c r="H70" s="22">
        <f>H71</f>
        <v>0</v>
      </c>
      <c r="I70" s="22"/>
      <c r="J70" s="29">
        <v>98.82358</v>
      </c>
      <c r="K70" s="191"/>
      <c r="L70" s="191"/>
      <c r="M70" s="192">
        <f t="shared" si="7"/>
        <v>49.53562907268171</v>
      </c>
    </row>
    <row r="71" spans="1:13" ht="15.75">
      <c r="A71" s="82" t="s">
        <v>146</v>
      </c>
      <c r="B71" s="112">
        <v>951</v>
      </c>
      <c r="C71" s="83" t="s">
        <v>103</v>
      </c>
      <c r="D71" s="83" t="s">
        <v>121</v>
      </c>
      <c r="E71" s="83" t="s">
        <v>15</v>
      </c>
      <c r="F71" s="83" t="s">
        <v>315</v>
      </c>
      <c r="G71" s="23">
        <f aca="true" t="shared" si="10" ref="G71:J72">G72</f>
        <v>5.511099999999999</v>
      </c>
      <c r="H71" s="23">
        <f t="shared" si="10"/>
        <v>0</v>
      </c>
      <c r="I71" s="23">
        <f t="shared" si="10"/>
        <v>0</v>
      </c>
      <c r="J71" s="23">
        <f t="shared" si="10"/>
        <v>0</v>
      </c>
      <c r="K71" s="191"/>
      <c r="L71" s="191"/>
      <c r="M71" s="192">
        <f t="shared" si="7"/>
        <v>0</v>
      </c>
    </row>
    <row r="72" spans="1:13" ht="15.75">
      <c r="A72" s="79" t="s">
        <v>142</v>
      </c>
      <c r="B72" s="94">
        <v>951</v>
      </c>
      <c r="C72" s="80" t="s">
        <v>103</v>
      </c>
      <c r="D72" s="80" t="s">
        <v>121</v>
      </c>
      <c r="E72" s="80" t="s">
        <v>15</v>
      </c>
      <c r="F72" s="80" t="s">
        <v>143</v>
      </c>
      <c r="G72" s="22">
        <f t="shared" si="10"/>
        <v>5.511099999999999</v>
      </c>
      <c r="H72" s="22">
        <f t="shared" si="10"/>
        <v>0</v>
      </c>
      <c r="I72" s="22">
        <f t="shared" si="10"/>
        <v>0</v>
      </c>
      <c r="J72" s="22">
        <f t="shared" si="10"/>
        <v>0</v>
      </c>
      <c r="K72" s="191"/>
      <c r="L72" s="191"/>
      <c r="M72" s="192">
        <f t="shared" si="7"/>
        <v>0</v>
      </c>
    </row>
    <row r="73" spans="1:13" ht="15.75">
      <c r="A73" s="79" t="s">
        <v>146</v>
      </c>
      <c r="B73" s="94">
        <v>951</v>
      </c>
      <c r="C73" s="80" t="s">
        <v>103</v>
      </c>
      <c r="D73" s="80" t="s">
        <v>121</v>
      </c>
      <c r="E73" s="80" t="s">
        <v>15</v>
      </c>
      <c r="F73" s="80" t="s">
        <v>147</v>
      </c>
      <c r="G73" s="22">
        <f>26.88514+5.5111+109-135.88514</f>
        <v>5.511099999999999</v>
      </c>
      <c r="H73" s="22">
        <f>H74</f>
        <v>0</v>
      </c>
      <c r="I73" s="22">
        <f>I74</f>
        <v>0</v>
      </c>
      <c r="J73" s="29">
        <v>0</v>
      </c>
      <c r="K73" s="191"/>
      <c r="L73" s="191"/>
      <c r="M73" s="192">
        <f t="shared" si="7"/>
        <v>0</v>
      </c>
    </row>
    <row r="74" spans="1:13" ht="63">
      <c r="A74" s="82" t="s">
        <v>281</v>
      </c>
      <c r="B74" s="112">
        <v>951</v>
      </c>
      <c r="C74" s="83" t="s">
        <v>103</v>
      </c>
      <c r="D74" s="83" t="s">
        <v>121</v>
      </c>
      <c r="E74" s="83" t="s">
        <v>16</v>
      </c>
      <c r="F74" s="83" t="s">
        <v>315</v>
      </c>
      <c r="G74" s="23">
        <f aca="true" t="shared" si="11" ref="G74:J75">G75</f>
        <v>1060.86313</v>
      </c>
      <c r="H74" s="23">
        <f t="shared" si="11"/>
        <v>0</v>
      </c>
      <c r="I74" s="23">
        <f t="shared" si="11"/>
        <v>0</v>
      </c>
      <c r="J74" s="23">
        <f t="shared" si="11"/>
        <v>821.77313</v>
      </c>
      <c r="K74" s="191"/>
      <c r="L74" s="191"/>
      <c r="M74" s="192">
        <f t="shared" si="7"/>
        <v>77.46269115790649</v>
      </c>
    </row>
    <row r="75" spans="1:13" ht="31.5">
      <c r="A75" s="79" t="s">
        <v>137</v>
      </c>
      <c r="B75" s="94">
        <v>951</v>
      </c>
      <c r="C75" s="80" t="s">
        <v>103</v>
      </c>
      <c r="D75" s="80" t="s">
        <v>121</v>
      </c>
      <c r="E75" s="80" t="s">
        <v>16</v>
      </c>
      <c r="F75" s="80" t="s">
        <v>112</v>
      </c>
      <c r="G75" s="22">
        <f t="shared" si="11"/>
        <v>1060.86313</v>
      </c>
      <c r="H75" s="22">
        <f t="shared" si="11"/>
        <v>0</v>
      </c>
      <c r="I75" s="22">
        <f t="shared" si="11"/>
        <v>0</v>
      </c>
      <c r="J75" s="22">
        <f t="shared" si="11"/>
        <v>821.77313</v>
      </c>
      <c r="K75" s="191"/>
      <c r="L75" s="191"/>
      <c r="M75" s="192">
        <f t="shared" si="7"/>
        <v>77.46269115790649</v>
      </c>
    </row>
    <row r="76" spans="1:13" ht="47.25">
      <c r="A76" s="93" t="s">
        <v>138</v>
      </c>
      <c r="B76" s="94">
        <v>951</v>
      </c>
      <c r="C76" s="80" t="s">
        <v>103</v>
      </c>
      <c r="D76" s="80" t="s">
        <v>121</v>
      </c>
      <c r="E76" s="80" t="s">
        <v>16</v>
      </c>
      <c r="F76" s="80" t="s">
        <v>139</v>
      </c>
      <c r="G76" s="22">
        <f>420.96+887-247.09687</f>
        <v>1060.86313</v>
      </c>
      <c r="H76" s="22">
        <f>H77</f>
        <v>0</v>
      </c>
      <c r="I76" s="22"/>
      <c r="J76" s="29">
        <v>821.77313</v>
      </c>
      <c r="K76" s="191"/>
      <c r="L76" s="191"/>
      <c r="M76" s="192">
        <f t="shared" si="7"/>
        <v>77.46269115790649</v>
      </c>
    </row>
    <row r="77" spans="1:13" ht="26.25" customHeight="1">
      <c r="A77" s="95" t="s">
        <v>376</v>
      </c>
      <c r="B77" s="112" t="s">
        <v>128</v>
      </c>
      <c r="C77" s="83" t="s">
        <v>103</v>
      </c>
      <c r="D77" s="83" t="s">
        <v>121</v>
      </c>
      <c r="E77" s="83" t="s">
        <v>377</v>
      </c>
      <c r="F77" s="83" t="s">
        <v>315</v>
      </c>
      <c r="G77" s="23">
        <f>G78</f>
        <v>2315.26154</v>
      </c>
      <c r="H77" s="23">
        <f>H78</f>
        <v>0</v>
      </c>
      <c r="I77" s="23">
        <f>I78</f>
        <v>0</v>
      </c>
      <c r="J77" s="23">
        <f>J78</f>
        <v>1774.27434</v>
      </c>
      <c r="K77" s="191"/>
      <c r="L77" s="191"/>
      <c r="M77" s="192">
        <f t="shared" si="7"/>
        <v>76.6338622806303</v>
      </c>
    </row>
    <row r="78" spans="1:13" ht="31.5">
      <c r="A78" s="79" t="s">
        <v>137</v>
      </c>
      <c r="B78" s="94" t="s">
        <v>128</v>
      </c>
      <c r="C78" s="80" t="s">
        <v>103</v>
      </c>
      <c r="D78" s="80" t="s">
        <v>121</v>
      </c>
      <c r="E78" s="80" t="s">
        <v>377</v>
      </c>
      <c r="F78" s="80" t="s">
        <v>112</v>
      </c>
      <c r="G78" s="22">
        <f>G79</f>
        <v>2315.26154</v>
      </c>
      <c r="H78" s="22">
        <f>H79</f>
        <v>0</v>
      </c>
      <c r="I78" s="22">
        <f>I79</f>
        <v>0</v>
      </c>
      <c r="J78" s="22">
        <f>J79</f>
        <v>1774.27434</v>
      </c>
      <c r="K78" s="191"/>
      <c r="L78" s="191"/>
      <c r="M78" s="192">
        <f t="shared" si="7"/>
        <v>76.6338622806303</v>
      </c>
    </row>
    <row r="79" spans="1:13" ht="47.25">
      <c r="A79" s="93" t="s">
        <v>138</v>
      </c>
      <c r="B79" s="94" t="s">
        <v>128</v>
      </c>
      <c r="C79" s="80" t="s">
        <v>103</v>
      </c>
      <c r="D79" s="80" t="s">
        <v>121</v>
      </c>
      <c r="E79" s="80" t="s">
        <v>377</v>
      </c>
      <c r="F79" s="80" t="s">
        <v>139</v>
      </c>
      <c r="G79" s="22">
        <f>767.4+366.9+873.15071+307.81083</f>
        <v>2315.26154</v>
      </c>
      <c r="H79" s="22"/>
      <c r="I79" s="22"/>
      <c r="J79" s="29">
        <v>1774.27434</v>
      </c>
      <c r="K79" s="191"/>
      <c r="L79" s="191"/>
      <c r="M79" s="192">
        <f t="shared" si="7"/>
        <v>76.6338622806303</v>
      </c>
    </row>
    <row r="80" spans="1:13" ht="94.5">
      <c r="A80" s="204" t="s">
        <v>650</v>
      </c>
      <c r="B80" s="112" t="s">
        <v>128</v>
      </c>
      <c r="C80" s="83" t="s">
        <v>103</v>
      </c>
      <c r="D80" s="83" t="s">
        <v>121</v>
      </c>
      <c r="E80" s="80" t="s">
        <v>649</v>
      </c>
      <c r="F80" s="83" t="s">
        <v>315</v>
      </c>
      <c r="G80" s="23">
        <f>G81</f>
        <v>124.94999999999999</v>
      </c>
      <c r="H80" s="23">
        <f>H81</f>
        <v>0</v>
      </c>
      <c r="I80" s="23">
        <f>I81</f>
        <v>0</v>
      </c>
      <c r="J80" s="23">
        <f>J81</f>
        <v>124.95</v>
      </c>
      <c r="K80" s="191"/>
      <c r="L80" s="191"/>
      <c r="M80" s="192">
        <f t="shared" si="7"/>
        <v>100.00000000000003</v>
      </c>
    </row>
    <row r="81" spans="1:13" ht="31.5">
      <c r="A81" s="79" t="s">
        <v>137</v>
      </c>
      <c r="B81" s="94" t="s">
        <v>128</v>
      </c>
      <c r="C81" s="80" t="s">
        <v>103</v>
      </c>
      <c r="D81" s="80" t="s">
        <v>121</v>
      </c>
      <c r="E81" s="80" t="s">
        <v>649</v>
      </c>
      <c r="F81" s="80" t="s">
        <v>112</v>
      </c>
      <c r="G81" s="22">
        <f aca="true" t="shared" si="12" ref="G81:L81">G82</f>
        <v>124.94999999999999</v>
      </c>
      <c r="H81" s="22">
        <f t="shared" si="12"/>
        <v>0</v>
      </c>
      <c r="I81" s="22">
        <f t="shared" si="12"/>
        <v>0</v>
      </c>
      <c r="J81" s="22">
        <f t="shared" si="12"/>
        <v>124.95</v>
      </c>
      <c r="K81" s="22">
        <f t="shared" si="12"/>
        <v>0</v>
      </c>
      <c r="L81" s="22">
        <f t="shared" si="12"/>
        <v>0</v>
      </c>
      <c r="M81" s="192">
        <f t="shared" si="7"/>
        <v>100.00000000000003</v>
      </c>
    </row>
    <row r="82" spans="1:13" ht="47.25">
      <c r="A82" s="93" t="s">
        <v>138</v>
      </c>
      <c r="B82" s="94" t="s">
        <v>128</v>
      </c>
      <c r="C82" s="80" t="s">
        <v>103</v>
      </c>
      <c r="D82" s="80" t="s">
        <v>121</v>
      </c>
      <c r="E82" s="80" t="s">
        <v>649</v>
      </c>
      <c r="F82" s="80" t="s">
        <v>139</v>
      </c>
      <c r="G82" s="22">
        <f>8.1+68.1+43.5+5.25</f>
        <v>124.94999999999999</v>
      </c>
      <c r="H82" s="22"/>
      <c r="I82" s="22"/>
      <c r="J82" s="29">
        <v>124.95</v>
      </c>
      <c r="K82" s="191"/>
      <c r="L82" s="191"/>
      <c r="M82" s="192">
        <f t="shared" si="7"/>
        <v>100.00000000000003</v>
      </c>
    </row>
    <row r="83" spans="1:13" ht="126">
      <c r="A83" s="95" t="s">
        <v>669</v>
      </c>
      <c r="B83" s="94" t="s">
        <v>128</v>
      </c>
      <c r="C83" s="80" t="s">
        <v>103</v>
      </c>
      <c r="D83" s="80" t="s">
        <v>121</v>
      </c>
      <c r="E83" s="80" t="s">
        <v>670</v>
      </c>
      <c r="F83" s="83" t="s">
        <v>315</v>
      </c>
      <c r="G83" s="23">
        <f>G84</f>
        <v>5</v>
      </c>
      <c r="H83" s="23">
        <f aca="true" t="shared" si="13" ref="H83:J84">H84</f>
        <v>0</v>
      </c>
      <c r="I83" s="23" t="e">
        <f t="shared" si="13"/>
        <v>#REF!</v>
      </c>
      <c r="J83" s="23">
        <f t="shared" si="13"/>
        <v>5</v>
      </c>
      <c r="K83" s="191"/>
      <c r="L83" s="191"/>
      <c r="M83" s="192">
        <f t="shared" si="7"/>
        <v>100</v>
      </c>
    </row>
    <row r="84" spans="1:13" ht="31.5">
      <c r="A84" s="79" t="s">
        <v>137</v>
      </c>
      <c r="B84" s="94" t="s">
        <v>128</v>
      </c>
      <c r="C84" s="80" t="s">
        <v>103</v>
      </c>
      <c r="D84" s="80" t="s">
        <v>121</v>
      </c>
      <c r="E84" s="80" t="s">
        <v>670</v>
      </c>
      <c r="F84" s="80" t="s">
        <v>112</v>
      </c>
      <c r="G84" s="22">
        <f>G85</f>
        <v>5</v>
      </c>
      <c r="H84" s="22">
        <f t="shared" si="13"/>
        <v>0</v>
      </c>
      <c r="I84" s="22" t="e">
        <f t="shared" si="13"/>
        <v>#REF!</v>
      </c>
      <c r="J84" s="22">
        <f t="shared" si="13"/>
        <v>5</v>
      </c>
      <c r="K84" s="191"/>
      <c r="L84" s="191"/>
      <c r="M84" s="192">
        <f t="shared" si="7"/>
        <v>100</v>
      </c>
    </row>
    <row r="85" spans="1:13" ht="47.25">
      <c r="A85" s="93" t="s">
        <v>138</v>
      </c>
      <c r="B85" s="94" t="s">
        <v>128</v>
      </c>
      <c r="C85" s="80" t="s">
        <v>103</v>
      </c>
      <c r="D85" s="80" t="s">
        <v>121</v>
      </c>
      <c r="E85" s="80" t="s">
        <v>670</v>
      </c>
      <c r="F85" s="80" t="s">
        <v>139</v>
      </c>
      <c r="G85" s="22">
        <v>5</v>
      </c>
      <c r="H85" s="22"/>
      <c r="I85" s="22" t="e">
        <f>#REF!+I86</f>
        <v>#REF!</v>
      </c>
      <c r="J85" s="29">
        <v>5</v>
      </c>
      <c r="K85" s="29"/>
      <c r="L85" s="191"/>
      <c r="M85" s="192">
        <f t="shared" si="7"/>
        <v>100</v>
      </c>
    </row>
    <row r="86" spans="1:13" ht="78.75">
      <c r="A86" s="87" t="s">
        <v>405</v>
      </c>
      <c r="B86" s="200" t="s">
        <v>128</v>
      </c>
      <c r="C86" s="88" t="s">
        <v>103</v>
      </c>
      <c r="D86" s="88" t="s">
        <v>121</v>
      </c>
      <c r="E86" s="88" t="s">
        <v>243</v>
      </c>
      <c r="F86" s="88" t="s">
        <v>315</v>
      </c>
      <c r="G86" s="28">
        <f aca="true" t="shared" si="14" ref="G86:L87">G87</f>
        <v>1246.2927</v>
      </c>
      <c r="H86" s="28" t="e">
        <f t="shared" si="14"/>
        <v>#REF!</v>
      </c>
      <c r="I86" s="28">
        <f t="shared" si="14"/>
        <v>0</v>
      </c>
      <c r="J86" s="28">
        <f t="shared" si="14"/>
        <v>1246.2927</v>
      </c>
      <c r="K86" s="191"/>
      <c r="L86" s="191"/>
      <c r="M86" s="264">
        <f t="shared" si="7"/>
        <v>100</v>
      </c>
    </row>
    <row r="87" spans="1:13" ht="42" customHeight="1">
      <c r="A87" s="79" t="s">
        <v>371</v>
      </c>
      <c r="B87" s="94" t="s">
        <v>128</v>
      </c>
      <c r="C87" s="80" t="s">
        <v>103</v>
      </c>
      <c r="D87" s="80" t="s">
        <v>121</v>
      </c>
      <c r="E87" s="80" t="s">
        <v>7</v>
      </c>
      <c r="F87" s="80" t="s">
        <v>315</v>
      </c>
      <c r="G87" s="22">
        <f t="shared" si="14"/>
        <v>1246.2927</v>
      </c>
      <c r="H87" s="22" t="e">
        <f t="shared" si="14"/>
        <v>#REF!</v>
      </c>
      <c r="I87" s="22">
        <f t="shared" si="14"/>
        <v>0</v>
      </c>
      <c r="J87" s="22">
        <f t="shared" si="14"/>
        <v>1246.2927</v>
      </c>
      <c r="K87" s="22">
        <f t="shared" si="14"/>
        <v>0</v>
      </c>
      <c r="L87" s="22">
        <f t="shared" si="14"/>
        <v>0</v>
      </c>
      <c r="M87" s="192">
        <f t="shared" si="7"/>
        <v>100</v>
      </c>
    </row>
    <row r="88" spans="1:13" ht="47.25">
      <c r="A88" s="79" t="s">
        <v>107</v>
      </c>
      <c r="B88" s="94" t="s">
        <v>128</v>
      </c>
      <c r="C88" s="80" t="s">
        <v>103</v>
      </c>
      <c r="D88" s="80" t="s">
        <v>121</v>
      </c>
      <c r="E88" s="80" t="s">
        <v>8</v>
      </c>
      <c r="F88" s="80" t="s">
        <v>315</v>
      </c>
      <c r="G88" s="81">
        <f>G89+G91</f>
        <v>1246.2927</v>
      </c>
      <c r="H88" s="81" t="e">
        <f>H89+H91</f>
        <v>#REF!</v>
      </c>
      <c r="I88" s="81">
        <f>I89+I91</f>
        <v>0</v>
      </c>
      <c r="J88" s="81">
        <f>J89+J91</f>
        <v>1246.2927</v>
      </c>
      <c r="K88" s="191"/>
      <c r="L88" s="191"/>
      <c r="M88" s="192">
        <f t="shared" si="7"/>
        <v>100</v>
      </c>
    </row>
    <row r="89" spans="1:13" ht="94.5">
      <c r="A89" s="79" t="s">
        <v>134</v>
      </c>
      <c r="B89" s="94" t="s">
        <v>128</v>
      </c>
      <c r="C89" s="80" t="s">
        <v>103</v>
      </c>
      <c r="D89" s="80" t="s">
        <v>121</v>
      </c>
      <c r="E89" s="80" t="s">
        <v>406</v>
      </c>
      <c r="F89" s="80" t="s">
        <v>108</v>
      </c>
      <c r="G89" s="22">
        <f>G90</f>
        <v>1056.58781</v>
      </c>
      <c r="H89" s="22">
        <f>H90</f>
        <v>0</v>
      </c>
      <c r="I89" s="22">
        <f>I90</f>
        <v>0</v>
      </c>
      <c r="J89" s="22">
        <f>J90</f>
        <v>1056.58781</v>
      </c>
      <c r="K89" s="191"/>
      <c r="L89" s="191"/>
      <c r="M89" s="192">
        <f t="shared" si="7"/>
        <v>100</v>
      </c>
    </row>
    <row r="90" spans="1:13" ht="47.25">
      <c r="A90" s="79" t="s">
        <v>136</v>
      </c>
      <c r="B90" s="94" t="s">
        <v>128</v>
      </c>
      <c r="C90" s="80" t="s">
        <v>103</v>
      </c>
      <c r="D90" s="80" t="s">
        <v>121</v>
      </c>
      <c r="E90" s="80" t="s">
        <v>406</v>
      </c>
      <c r="F90" s="80" t="s">
        <v>135</v>
      </c>
      <c r="G90" s="22">
        <f>1216.998-15.83711-166.29523+15.83711+5.88504</f>
        <v>1056.58781</v>
      </c>
      <c r="H90" s="22">
        <v>0</v>
      </c>
      <c r="I90" s="22">
        <f>I91</f>
        <v>0</v>
      </c>
      <c r="J90" s="29">
        <v>1056.58781</v>
      </c>
      <c r="K90" s="191"/>
      <c r="L90" s="191"/>
      <c r="M90" s="192">
        <f t="shared" si="7"/>
        <v>100</v>
      </c>
    </row>
    <row r="91" spans="1:13" ht="31.5">
      <c r="A91" s="79" t="s">
        <v>137</v>
      </c>
      <c r="B91" s="94" t="s">
        <v>128</v>
      </c>
      <c r="C91" s="80" t="s">
        <v>103</v>
      </c>
      <c r="D91" s="80" t="s">
        <v>121</v>
      </c>
      <c r="E91" s="80" t="s">
        <v>406</v>
      </c>
      <c r="F91" s="80" t="s">
        <v>112</v>
      </c>
      <c r="G91" s="22">
        <f>G92</f>
        <v>189.7048900000001</v>
      </c>
      <c r="H91" s="22" t="e">
        <f>H92</f>
        <v>#REF!</v>
      </c>
      <c r="I91" s="22">
        <f>I92</f>
        <v>0</v>
      </c>
      <c r="J91" s="22">
        <f>J92</f>
        <v>189.70489</v>
      </c>
      <c r="K91" s="191"/>
      <c r="L91" s="191"/>
      <c r="M91" s="192">
        <f t="shared" si="7"/>
        <v>99.99999999999996</v>
      </c>
    </row>
    <row r="92" spans="1:13" ht="47.25">
      <c r="A92" s="93" t="s">
        <v>138</v>
      </c>
      <c r="B92" s="94" t="s">
        <v>128</v>
      </c>
      <c r="C92" s="80" t="s">
        <v>103</v>
      </c>
      <c r="D92" s="80" t="s">
        <v>121</v>
      </c>
      <c r="E92" s="80" t="s">
        <v>406</v>
      </c>
      <c r="F92" s="80" t="s">
        <v>139</v>
      </c>
      <c r="G92" s="22">
        <f>852.08955-806.95774+166.29523-15.83711-5.88504</f>
        <v>189.7048900000001</v>
      </c>
      <c r="H92" s="23" t="e">
        <f>#REF!</f>
        <v>#REF!</v>
      </c>
      <c r="I92" s="22"/>
      <c r="J92" s="29">
        <v>189.70489</v>
      </c>
      <c r="K92" s="191"/>
      <c r="L92" s="191"/>
      <c r="M92" s="192">
        <f t="shared" si="7"/>
        <v>99.99999999999996</v>
      </c>
    </row>
    <row r="93" spans="1:13" ht="31.5">
      <c r="A93" s="87" t="s">
        <v>572</v>
      </c>
      <c r="B93" s="200" t="s">
        <v>128</v>
      </c>
      <c r="C93" s="88" t="s">
        <v>103</v>
      </c>
      <c r="D93" s="88" t="s">
        <v>121</v>
      </c>
      <c r="E93" s="88" t="s">
        <v>573</v>
      </c>
      <c r="F93" s="88" t="s">
        <v>315</v>
      </c>
      <c r="G93" s="89">
        <f aca="true" t="shared" si="15" ref="G93:J94">G94</f>
        <v>234.948</v>
      </c>
      <c r="H93" s="89" t="e">
        <f t="shared" si="15"/>
        <v>#REF!</v>
      </c>
      <c r="I93" s="89">
        <f t="shared" si="15"/>
        <v>0</v>
      </c>
      <c r="J93" s="89">
        <f t="shared" si="15"/>
        <v>214.549</v>
      </c>
      <c r="K93" s="191"/>
      <c r="L93" s="191"/>
      <c r="M93" s="264">
        <f t="shared" si="7"/>
        <v>91.31765326795717</v>
      </c>
    </row>
    <row r="94" spans="1:13" ht="31.5">
      <c r="A94" s="79" t="s">
        <v>137</v>
      </c>
      <c r="B94" s="94" t="s">
        <v>128</v>
      </c>
      <c r="C94" s="80" t="s">
        <v>103</v>
      </c>
      <c r="D94" s="80" t="s">
        <v>121</v>
      </c>
      <c r="E94" s="80" t="s">
        <v>573</v>
      </c>
      <c r="F94" s="80" t="s">
        <v>112</v>
      </c>
      <c r="G94" s="81">
        <f t="shared" si="15"/>
        <v>234.948</v>
      </c>
      <c r="H94" s="81" t="e">
        <f t="shared" si="15"/>
        <v>#REF!</v>
      </c>
      <c r="I94" s="81">
        <f t="shared" si="15"/>
        <v>0</v>
      </c>
      <c r="J94" s="81">
        <f t="shared" si="15"/>
        <v>214.549</v>
      </c>
      <c r="K94" s="191"/>
      <c r="L94" s="191"/>
      <c r="M94" s="192">
        <f t="shared" si="7"/>
        <v>91.31765326795717</v>
      </c>
    </row>
    <row r="95" spans="1:13" ht="47.25">
      <c r="A95" s="93" t="s">
        <v>138</v>
      </c>
      <c r="B95" s="94" t="s">
        <v>128</v>
      </c>
      <c r="C95" s="80" t="s">
        <v>103</v>
      </c>
      <c r="D95" s="80" t="s">
        <v>121</v>
      </c>
      <c r="E95" s="80" t="s">
        <v>573</v>
      </c>
      <c r="F95" s="80" t="s">
        <v>139</v>
      </c>
      <c r="G95" s="22">
        <f>110+80.84+19.5+20.899+9.101-5.392</f>
        <v>234.948</v>
      </c>
      <c r="H95" s="22" t="e">
        <f>#REF!</f>
        <v>#REF!</v>
      </c>
      <c r="I95" s="22"/>
      <c r="J95" s="29">
        <v>214.549</v>
      </c>
      <c r="K95" s="191"/>
      <c r="L95" s="191"/>
      <c r="M95" s="192">
        <f t="shared" si="7"/>
        <v>91.31765326795717</v>
      </c>
    </row>
    <row r="96" spans="1:13" ht="63">
      <c r="A96" s="95" t="s">
        <v>647</v>
      </c>
      <c r="B96" s="94" t="s">
        <v>128</v>
      </c>
      <c r="C96" s="83" t="s">
        <v>103</v>
      </c>
      <c r="D96" s="83" t="s">
        <v>121</v>
      </c>
      <c r="E96" s="83" t="s">
        <v>648</v>
      </c>
      <c r="F96" s="83" t="s">
        <v>315</v>
      </c>
      <c r="G96" s="23">
        <f>G97</f>
        <v>550</v>
      </c>
      <c r="H96" s="23">
        <f aca="true" t="shared" si="16" ref="H96:J97">H97</f>
        <v>0</v>
      </c>
      <c r="I96" s="23">
        <f t="shared" si="16"/>
        <v>0</v>
      </c>
      <c r="J96" s="23">
        <f t="shared" si="16"/>
        <v>545.10727</v>
      </c>
      <c r="K96" s="191"/>
      <c r="L96" s="191"/>
      <c r="M96" s="192">
        <f t="shared" si="7"/>
        <v>99.11041272727272</v>
      </c>
    </row>
    <row r="97" spans="1:13" ht="31.5">
      <c r="A97" s="79" t="s">
        <v>137</v>
      </c>
      <c r="B97" s="94" t="s">
        <v>128</v>
      </c>
      <c r="C97" s="80" t="s">
        <v>103</v>
      </c>
      <c r="D97" s="80" t="s">
        <v>121</v>
      </c>
      <c r="E97" s="80" t="s">
        <v>648</v>
      </c>
      <c r="F97" s="80" t="s">
        <v>112</v>
      </c>
      <c r="G97" s="22">
        <f>G98</f>
        <v>550</v>
      </c>
      <c r="H97" s="22">
        <f t="shared" si="16"/>
        <v>0</v>
      </c>
      <c r="I97" s="22">
        <f t="shared" si="16"/>
        <v>0</v>
      </c>
      <c r="J97" s="22">
        <f t="shared" si="16"/>
        <v>545.10727</v>
      </c>
      <c r="K97" s="191"/>
      <c r="L97" s="191"/>
      <c r="M97" s="192">
        <f t="shared" si="7"/>
        <v>99.11041272727272</v>
      </c>
    </row>
    <row r="98" spans="1:13" ht="47.25">
      <c r="A98" s="93" t="s">
        <v>138</v>
      </c>
      <c r="B98" s="94" t="s">
        <v>128</v>
      </c>
      <c r="C98" s="80" t="s">
        <v>103</v>
      </c>
      <c r="D98" s="80" t="s">
        <v>121</v>
      </c>
      <c r="E98" s="80" t="s">
        <v>648</v>
      </c>
      <c r="F98" s="80" t="s">
        <v>139</v>
      </c>
      <c r="G98" s="22">
        <f>150+300+100</f>
        <v>550</v>
      </c>
      <c r="H98" s="22">
        <f>H99</f>
        <v>0</v>
      </c>
      <c r="I98" s="22">
        <f>I99</f>
        <v>0</v>
      </c>
      <c r="J98" s="29">
        <v>545.10727</v>
      </c>
      <c r="K98" s="191"/>
      <c r="L98" s="191"/>
      <c r="M98" s="192">
        <f t="shared" si="7"/>
        <v>99.11041272727272</v>
      </c>
    </row>
    <row r="99" spans="1:13" ht="63">
      <c r="A99" s="16" t="s">
        <v>671</v>
      </c>
      <c r="B99" s="40" t="s">
        <v>128</v>
      </c>
      <c r="C99" s="9" t="s">
        <v>103</v>
      </c>
      <c r="D99" s="9" t="s">
        <v>121</v>
      </c>
      <c r="E99" s="9" t="s">
        <v>672</v>
      </c>
      <c r="F99" s="9" t="s">
        <v>315</v>
      </c>
      <c r="G99" s="23">
        <f>G100</f>
        <v>230</v>
      </c>
      <c r="H99" s="23">
        <f aca="true" t="shared" si="17" ref="H99:J100">H100</f>
        <v>0</v>
      </c>
      <c r="I99" s="23">
        <f t="shared" si="17"/>
        <v>0</v>
      </c>
      <c r="J99" s="23">
        <f t="shared" si="17"/>
        <v>230</v>
      </c>
      <c r="K99" s="191"/>
      <c r="L99" s="191"/>
      <c r="M99" s="192">
        <f t="shared" si="7"/>
        <v>100</v>
      </c>
    </row>
    <row r="100" spans="1:13" ht="31.5">
      <c r="A100" s="8" t="s">
        <v>137</v>
      </c>
      <c r="B100" s="2" t="s">
        <v>128</v>
      </c>
      <c r="C100" s="3" t="s">
        <v>103</v>
      </c>
      <c r="D100" s="3" t="s">
        <v>121</v>
      </c>
      <c r="E100" s="3" t="s">
        <v>672</v>
      </c>
      <c r="F100" s="3" t="s">
        <v>112</v>
      </c>
      <c r="G100" s="22">
        <f>G101</f>
        <v>230</v>
      </c>
      <c r="H100" s="22">
        <f t="shared" si="17"/>
        <v>0</v>
      </c>
      <c r="I100" s="22">
        <f t="shared" si="17"/>
        <v>0</v>
      </c>
      <c r="J100" s="22">
        <f t="shared" si="17"/>
        <v>230</v>
      </c>
      <c r="K100" s="191"/>
      <c r="L100" s="191"/>
      <c r="M100" s="192">
        <f t="shared" si="7"/>
        <v>100</v>
      </c>
    </row>
    <row r="101" spans="1:13" ht="47.25">
      <c r="A101" s="17" t="s">
        <v>138</v>
      </c>
      <c r="B101" s="2" t="s">
        <v>128</v>
      </c>
      <c r="C101" s="3" t="s">
        <v>103</v>
      </c>
      <c r="D101" s="3" t="s">
        <v>121</v>
      </c>
      <c r="E101" s="3" t="s">
        <v>672</v>
      </c>
      <c r="F101" s="3" t="s">
        <v>139</v>
      </c>
      <c r="G101" s="22">
        <v>230</v>
      </c>
      <c r="H101" s="22"/>
      <c r="I101" s="22">
        <f>I102</f>
        <v>0</v>
      </c>
      <c r="J101" s="29">
        <v>230</v>
      </c>
      <c r="K101" s="191"/>
      <c r="L101" s="191"/>
      <c r="M101" s="192">
        <f t="shared" si="7"/>
        <v>100</v>
      </c>
    </row>
    <row r="102" spans="1:13" ht="47.25">
      <c r="A102" s="82" t="s">
        <v>673</v>
      </c>
      <c r="B102" s="112">
        <v>951</v>
      </c>
      <c r="C102" s="83" t="s">
        <v>103</v>
      </c>
      <c r="D102" s="83" t="s">
        <v>121</v>
      </c>
      <c r="E102" s="83" t="s">
        <v>22</v>
      </c>
      <c r="F102" s="83" t="s">
        <v>315</v>
      </c>
      <c r="G102" s="84">
        <f aca="true" t="shared" si="18" ref="G102:L102">G106+G114+G103+G117</f>
        <v>83</v>
      </c>
      <c r="H102" s="84">
        <f t="shared" si="18"/>
        <v>0</v>
      </c>
      <c r="I102" s="84">
        <f t="shared" si="18"/>
        <v>0</v>
      </c>
      <c r="J102" s="84">
        <f t="shared" si="18"/>
        <v>82.40678</v>
      </c>
      <c r="K102" s="84">
        <f t="shared" si="18"/>
        <v>0</v>
      </c>
      <c r="L102" s="84">
        <f t="shared" si="18"/>
        <v>0</v>
      </c>
      <c r="M102" s="192">
        <f t="shared" si="7"/>
        <v>99.28527710843373</v>
      </c>
    </row>
    <row r="103" spans="1:13" ht="31.5" hidden="1">
      <c r="A103" s="101" t="s">
        <v>24</v>
      </c>
      <c r="B103" s="112">
        <v>951</v>
      </c>
      <c r="C103" s="83" t="s">
        <v>103</v>
      </c>
      <c r="D103" s="83" t="s">
        <v>121</v>
      </c>
      <c r="E103" s="94" t="s">
        <v>23</v>
      </c>
      <c r="F103" s="80" t="s">
        <v>315</v>
      </c>
      <c r="G103" s="81">
        <f>G104</f>
        <v>0</v>
      </c>
      <c r="H103" s="22">
        <f>H104</f>
        <v>0</v>
      </c>
      <c r="I103" s="22"/>
      <c r="J103" s="29"/>
      <c r="K103" s="191"/>
      <c r="L103" s="191"/>
      <c r="M103" s="192" t="e">
        <f t="shared" si="7"/>
        <v>#DIV/0!</v>
      </c>
    </row>
    <row r="104" spans="1:13" ht="31.5" hidden="1">
      <c r="A104" s="79" t="s">
        <v>137</v>
      </c>
      <c r="B104" s="112">
        <v>951</v>
      </c>
      <c r="C104" s="83" t="s">
        <v>103</v>
      </c>
      <c r="D104" s="83" t="s">
        <v>121</v>
      </c>
      <c r="E104" s="94" t="s">
        <v>23</v>
      </c>
      <c r="F104" s="80" t="s">
        <v>112</v>
      </c>
      <c r="G104" s="81">
        <f>G105</f>
        <v>0</v>
      </c>
      <c r="H104" s="22">
        <f>H105</f>
        <v>0</v>
      </c>
      <c r="I104" s="22"/>
      <c r="J104" s="29"/>
      <c r="K104" s="191"/>
      <c r="L104" s="191"/>
      <c r="M104" s="192" t="e">
        <f t="shared" si="7"/>
        <v>#DIV/0!</v>
      </c>
    </row>
    <row r="105" spans="1:13" ht="47.25" hidden="1">
      <c r="A105" s="93" t="s">
        <v>138</v>
      </c>
      <c r="B105" s="112">
        <v>951</v>
      </c>
      <c r="C105" s="83" t="s">
        <v>103</v>
      </c>
      <c r="D105" s="83" t="s">
        <v>121</v>
      </c>
      <c r="E105" s="94" t="s">
        <v>23</v>
      </c>
      <c r="F105" s="80" t="s">
        <v>139</v>
      </c>
      <c r="G105" s="81"/>
      <c r="H105" s="22"/>
      <c r="I105" s="22"/>
      <c r="J105" s="29"/>
      <c r="K105" s="191"/>
      <c r="L105" s="191"/>
      <c r="M105" s="192" t="e">
        <f t="shared" si="7"/>
        <v>#DIV/0!</v>
      </c>
    </row>
    <row r="106" spans="1:13" ht="47.25" hidden="1">
      <c r="A106" s="102" t="s">
        <v>225</v>
      </c>
      <c r="B106" s="112">
        <v>951</v>
      </c>
      <c r="C106" s="83" t="s">
        <v>103</v>
      </c>
      <c r="D106" s="83" t="s">
        <v>121</v>
      </c>
      <c r="E106" s="94" t="s">
        <v>39</v>
      </c>
      <c r="F106" s="80" t="s">
        <v>315</v>
      </c>
      <c r="G106" s="81">
        <f>G107</f>
        <v>0</v>
      </c>
      <c r="H106" s="23">
        <f>H107</f>
        <v>0</v>
      </c>
      <c r="I106" s="23"/>
      <c r="J106" s="29"/>
      <c r="K106" s="191"/>
      <c r="L106" s="191"/>
      <c r="M106" s="192" t="e">
        <f t="shared" si="7"/>
        <v>#DIV/0!</v>
      </c>
    </row>
    <row r="107" spans="1:13" ht="63" hidden="1">
      <c r="A107" s="82" t="s">
        <v>474</v>
      </c>
      <c r="B107" s="112">
        <v>951</v>
      </c>
      <c r="C107" s="83" t="s">
        <v>103</v>
      </c>
      <c r="D107" s="83" t="s">
        <v>121</v>
      </c>
      <c r="E107" s="83" t="s">
        <v>243</v>
      </c>
      <c r="F107" s="83" t="s">
        <v>315</v>
      </c>
      <c r="G107" s="84">
        <f>G108+G111</f>
        <v>0</v>
      </c>
      <c r="H107" s="22">
        <f>H108</f>
        <v>0</v>
      </c>
      <c r="I107" s="22"/>
      <c r="J107" s="29"/>
      <c r="K107" s="191"/>
      <c r="L107" s="191"/>
      <c r="M107" s="192" t="e">
        <f t="shared" si="7"/>
        <v>#DIV/0!</v>
      </c>
    </row>
    <row r="108" spans="1:13" ht="94.5" hidden="1">
      <c r="A108" s="79" t="s">
        <v>486</v>
      </c>
      <c r="B108" s="94">
        <v>951</v>
      </c>
      <c r="C108" s="80" t="s">
        <v>103</v>
      </c>
      <c r="D108" s="80" t="s">
        <v>121</v>
      </c>
      <c r="E108" s="80" t="s">
        <v>478</v>
      </c>
      <c r="F108" s="80" t="s">
        <v>315</v>
      </c>
      <c r="G108" s="81">
        <f>G109</f>
        <v>0</v>
      </c>
      <c r="H108" s="22">
        <v>0</v>
      </c>
      <c r="I108" s="22"/>
      <c r="J108" s="29"/>
      <c r="K108" s="191"/>
      <c r="L108" s="191"/>
      <c r="M108" s="192" t="e">
        <f t="shared" si="7"/>
        <v>#DIV/0!</v>
      </c>
    </row>
    <row r="109" spans="1:13" ht="47.25" hidden="1">
      <c r="A109" s="93" t="s">
        <v>440</v>
      </c>
      <c r="B109" s="94">
        <v>951</v>
      </c>
      <c r="C109" s="80" t="s">
        <v>103</v>
      </c>
      <c r="D109" s="80" t="s">
        <v>121</v>
      </c>
      <c r="E109" s="80" t="s">
        <v>478</v>
      </c>
      <c r="F109" s="80" t="s">
        <v>441</v>
      </c>
      <c r="G109" s="81">
        <f>G110</f>
        <v>0</v>
      </c>
      <c r="H109" s="22">
        <f>H110</f>
        <v>83</v>
      </c>
      <c r="I109" s="22">
        <f>I110</f>
        <v>0</v>
      </c>
      <c r="J109" s="29"/>
      <c r="K109" s="191"/>
      <c r="L109" s="191"/>
      <c r="M109" s="192" t="e">
        <f t="shared" si="7"/>
        <v>#DIV/0!</v>
      </c>
    </row>
    <row r="110" spans="1:13" ht="15.75" hidden="1">
      <c r="A110" s="93" t="s">
        <v>442</v>
      </c>
      <c r="B110" s="94">
        <v>951</v>
      </c>
      <c r="C110" s="80" t="s">
        <v>103</v>
      </c>
      <c r="D110" s="80" t="s">
        <v>121</v>
      </c>
      <c r="E110" s="80" t="s">
        <v>478</v>
      </c>
      <c r="F110" s="80" t="s">
        <v>443</v>
      </c>
      <c r="G110" s="81"/>
      <c r="H110" s="22">
        <f>H111</f>
        <v>83</v>
      </c>
      <c r="I110" s="22">
        <f>I111</f>
        <v>0</v>
      </c>
      <c r="J110" s="29"/>
      <c r="K110" s="191"/>
      <c r="L110" s="191"/>
      <c r="M110" s="192" t="e">
        <f t="shared" si="7"/>
        <v>#DIV/0!</v>
      </c>
    </row>
    <row r="111" spans="1:13" ht="110.25" hidden="1">
      <c r="A111" s="79" t="s">
        <v>487</v>
      </c>
      <c r="B111" s="94">
        <v>951</v>
      </c>
      <c r="C111" s="80" t="s">
        <v>103</v>
      </c>
      <c r="D111" s="80" t="s">
        <v>121</v>
      </c>
      <c r="E111" s="80" t="s">
        <v>674</v>
      </c>
      <c r="F111" s="80" t="s">
        <v>315</v>
      </c>
      <c r="G111" s="81">
        <f>G112</f>
        <v>0</v>
      </c>
      <c r="H111" s="22">
        <v>83</v>
      </c>
      <c r="I111" s="22"/>
      <c r="J111" s="29"/>
      <c r="K111" s="191"/>
      <c r="L111" s="191"/>
      <c r="M111" s="192" t="e">
        <f t="shared" si="7"/>
        <v>#DIV/0!</v>
      </c>
    </row>
    <row r="112" spans="1:13" ht="47.25" hidden="1">
      <c r="A112" s="93" t="s">
        <v>440</v>
      </c>
      <c r="B112" s="94">
        <v>951</v>
      </c>
      <c r="C112" s="80" t="s">
        <v>103</v>
      </c>
      <c r="D112" s="80" t="s">
        <v>121</v>
      </c>
      <c r="E112" s="80" t="s">
        <v>674</v>
      </c>
      <c r="F112" s="80" t="s">
        <v>441</v>
      </c>
      <c r="G112" s="81">
        <f>G113</f>
        <v>0</v>
      </c>
      <c r="H112" s="23">
        <f>H113</f>
        <v>0</v>
      </c>
      <c r="I112" s="23">
        <f>I113</f>
        <v>0</v>
      </c>
      <c r="J112" s="29"/>
      <c r="K112" s="191"/>
      <c r="L112" s="191"/>
      <c r="M112" s="192" t="e">
        <f t="shared" si="7"/>
        <v>#DIV/0!</v>
      </c>
    </row>
    <row r="113" spans="1:13" ht="15.75" hidden="1">
      <c r="A113" s="93" t="s">
        <v>442</v>
      </c>
      <c r="B113" s="94">
        <v>951</v>
      </c>
      <c r="C113" s="80" t="s">
        <v>103</v>
      </c>
      <c r="D113" s="80" t="s">
        <v>121</v>
      </c>
      <c r="E113" s="3" t="s">
        <v>674</v>
      </c>
      <c r="F113" s="3" t="s">
        <v>443</v>
      </c>
      <c r="G113" s="22">
        <f>63-63</f>
        <v>0</v>
      </c>
      <c r="H113" s="22">
        <f>H114</f>
        <v>0</v>
      </c>
      <c r="I113" s="22">
        <f>I114</f>
        <v>0</v>
      </c>
      <c r="J113" s="29"/>
      <c r="K113" s="191"/>
      <c r="L113" s="191"/>
      <c r="M113" s="192" t="e">
        <f t="shared" si="7"/>
        <v>#DIV/0!</v>
      </c>
    </row>
    <row r="114" spans="1:13" ht="94.5" hidden="1">
      <c r="A114" s="82" t="s">
        <v>485</v>
      </c>
      <c r="B114" s="112">
        <v>951</v>
      </c>
      <c r="C114" s="83" t="s">
        <v>103</v>
      </c>
      <c r="D114" s="83" t="s">
        <v>121</v>
      </c>
      <c r="E114" s="83" t="s">
        <v>479</v>
      </c>
      <c r="F114" s="83" t="s">
        <v>315</v>
      </c>
      <c r="G114" s="84">
        <f>G115</f>
        <v>0</v>
      </c>
      <c r="H114" s="22">
        <v>0</v>
      </c>
      <c r="I114" s="22"/>
      <c r="J114" s="29"/>
      <c r="K114" s="191"/>
      <c r="L114" s="191"/>
      <c r="M114" s="192" t="e">
        <f t="shared" si="7"/>
        <v>#DIV/0!</v>
      </c>
    </row>
    <row r="115" spans="1:13" ht="31.5" hidden="1">
      <c r="A115" s="79" t="s">
        <v>137</v>
      </c>
      <c r="B115" s="94">
        <v>951</v>
      </c>
      <c r="C115" s="80" t="s">
        <v>103</v>
      </c>
      <c r="D115" s="80" t="s">
        <v>121</v>
      </c>
      <c r="E115" s="80" t="s">
        <v>479</v>
      </c>
      <c r="F115" s="80" t="s">
        <v>112</v>
      </c>
      <c r="G115" s="81">
        <f>G116</f>
        <v>0</v>
      </c>
      <c r="H115" s="23">
        <f>H116</f>
        <v>0</v>
      </c>
      <c r="I115" s="23"/>
      <c r="J115" s="29"/>
      <c r="K115" s="191"/>
      <c r="L115" s="191"/>
      <c r="M115" s="192" t="e">
        <f aca="true" t="shared" si="19" ref="M115:M157">J115/G115*100</f>
        <v>#DIV/0!</v>
      </c>
    </row>
    <row r="116" spans="1:13" ht="47.25" hidden="1">
      <c r="A116" s="93" t="s">
        <v>138</v>
      </c>
      <c r="B116" s="94">
        <v>951</v>
      </c>
      <c r="C116" s="80" t="s">
        <v>103</v>
      </c>
      <c r="D116" s="80" t="s">
        <v>121</v>
      </c>
      <c r="E116" s="80" t="s">
        <v>479</v>
      </c>
      <c r="F116" s="80" t="s">
        <v>139</v>
      </c>
      <c r="G116" s="81"/>
      <c r="H116" s="22">
        <f>H117</f>
        <v>0</v>
      </c>
      <c r="I116" s="22"/>
      <c r="J116" s="29"/>
      <c r="K116" s="191"/>
      <c r="L116" s="191"/>
      <c r="M116" s="192" t="e">
        <f t="shared" si="19"/>
        <v>#DIV/0!</v>
      </c>
    </row>
    <row r="117" spans="1:13" ht="16.5" customHeight="1">
      <c r="A117" s="101" t="s">
        <v>27</v>
      </c>
      <c r="B117" s="94">
        <v>951</v>
      </c>
      <c r="C117" s="80" t="s">
        <v>103</v>
      </c>
      <c r="D117" s="80" t="s">
        <v>121</v>
      </c>
      <c r="E117" s="80" t="s">
        <v>28</v>
      </c>
      <c r="F117" s="80" t="s">
        <v>315</v>
      </c>
      <c r="G117" s="81">
        <f aca="true" t="shared" si="20" ref="G117:J118">G118</f>
        <v>83</v>
      </c>
      <c r="H117" s="81">
        <f t="shared" si="20"/>
        <v>0</v>
      </c>
      <c r="I117" s="81">
        <f t="shared" si="20"/>
        <v>0</v>
      </c>
      <c r="J117" s="81">
        <f t="shared" si="20"/>
        <v>82.40678</v>
      </c>
      <c r="K117" s="191"/>
      <c r="L117" s="191"/>
      <c r="M117" s="192">
        <f t="shared" si="19"/>
        <v>99.28527710843373</v>
      </c>
    </row>
    <row r="118" spans="1:13" ht="31.5">
      <c r="A118" s="79" t="s">
        <v>137</v>
      </c>
      <c r="B118" s="94">
        <v>951</v>
      </c>
      <c r="C118" s="80" t="s">
        <v>103</v>
      </c>
      <c r="D118" s="80" t="s">
        <v>121</v>
      </c>
      <c r="E118" s="80" t="s">
        <v>480</v>
      </c>
      <c r="F118" s="80" t="s">
        <v>112</v>
      </c>
      <c r="G118" s="81">
        <f t="shared" si="20"/>
        <v>83</v>
      </c>
      <c r="H118" s="81">
        <f t="shared" si="20"/>
        <v>0</v>
      </c>
      <c r="I118" s="81">
        <f t="shared" si="20"/>
        <v>0</v>
      </c>
      <c r="J118" s="81">
        <f t="shared" si="20"/>
        <v>82.40678</v>
      </c>
      <c r="K118" s="191"/>
      <c r="L118" s="191"/>
      <c r="M118" s="192">
        <f t="shared" si="19"/>
        <v>99.28527710843373</v>
      </c>
    </row>
    <row r="119" spans="1:13" ht="47.25">
      <c r="A119" s="93" t="s">
        <v>138</v>
      </c>
      <c r="B119" s="94">
        <v>951</v>
      </c>
      <c r="C119" s="80" t="s">
        <v>103</v>
      </c>
      <c r="D119" s="80" t="s">
        <v>121</v>
      </c>
      <c r="E119" s="80" t="s">
        <v>480</v>
      </c>
      <c r="F119" s="80" t="s">
        <v>139</v>
      </c>
      <c r="G119" s="81">
        <v>83</v>
      </c>
      <c r="H119" s="22">
        <f aca="true" t="shared" si="21" ref="H119:L121">H120</f>
        <v>0</v>
      </c>
      <c r="I119" s="22">
        <f t="shared" si="21"/>
        <v>0</v>
      </c>
      <c r="J119" s="29">
        <v>82.40678</v>
      </c>
      <c r="K119" s="191"/>
      <c r="L119" s="191"/>
      <c r="M119" s="192">
        <f t="shared" si="19"/>
        <v>99.28527710843373</v>
      </c>
    </row>
    <row r="120" spans="1:13" ht="78.75">
      <c r="A120" s="82" t="s">
        <v>675</v>
      </c>
      <c r="B120" s="112">
        <v>951</v>
      </c>
      <c r="C120" s="83" t="s">
        <v>103</v>
      </c>
      <c r="D120" s="83" t="s">
        <v>121</v>
      </c>
      <c r="E120" s="83" t="s">
        <v>29</v>
      </c>
      <c r="F120" s="83" t="s">
        <v>315</v>
      </c>
      <c r="G120" s="84">
        <f>G121</f>
        <v>28</v>
      </c>
      <c r="H120" s="84">
        <f t="shared" si="21"/>
        <v>0</v>
      </c>
      <c r="I120" s="84">
        <f t="shared" si="21"/>
        <v>0</v>
      </c>
      <c r="J120" s="84">
        <f t="shared" si="21"/>
        <v>0</v>
      </c>
      <c r="K120" s="191"/>
      <c r="L120" s="191"/>
      <c r="M120" s="192">
        <f t="shared" si="19"/>
        <v>0</v>
      </c>
    </row>
    <row r="121" spans="1:13" ht="31.5">
      <c r="A121" s="79" t="s">
        <v>137</v>
      </c>
      <c r="B121" s="94">
        <v>951</v>
      </c>
      <c r="C121" s="80" t="s">
        <v>103</v>
      </c>
      <c r="D121" s="80" t="s">
        <v>121</v>
      </c>
      <c r="E121" s="80" t="s">
        <v>31</v>
      </c>
      <c r="F121" s="80" t="s">
        <v>112</v>
      </c>
      <c r="G121" s="81">
        <f>G122</f>
        <v>28</v>
      </c>
      <c r="H121" s="81">
        <f t="shared" si="21"/>
        <v>0</v>
      </c>
      <c r="I121" s="81">
        <f t="shared" si="21"/>
        <v>0</v>
      </c>
      <c r="J121" s="81">
        <f t="shared" si="21"/>
        <v>0</v>
      </c>
      <c r="K121" s="81">
        <f t="shared" si="21"/>
        <v>0</v>
      </c>
      <c r="L121" s="81">
        <f t="shared" si="21"/>
        <v>0</v>
      </c>
      <c r="M121" s="192">
        <f t="shared" si="19"/>
        <v>0</v>
      </c>
    </row>
    <row r="122" spans="1:13" ht="47.25">
      <c r="A122" s="17" t="s">
        <v>138</v>
      </c>
      <c r="B122" s="2">
        <v>951</v>
      </c>
      <c r="C122" s="3" t="s">
        <v>103</v>
      </c>
      <c r="D122" s="3" t="s">
        <v>121</v>
      </c>
      <c r="E122" s="3" t="s">
        <v>31</v>
      </c>
      <c r="F122" s="3" t="s">
        <v>139</v>
      </c>
      <c r="G122" s="22">
        <v>28</v>
      </c>
      <c r="H122" s="22"/>
      <c r="I122" s="22">
        <v>0</v>
      </c>
      <c r="J122" s="29">
        <v>0</v>
      </c>
      <c r="K122" s="191"/>
      <c r="L122" s="191"/>
      <c r="M122" s="192">
        <f t="shared" si="19"/>
        <v>0</v>
      </c>
    </row>
    <row r="123" spans="1:13" ht="59.25" customHeight="1">
      <c r="A123" s="16" t="s">
        <v>676</v>
      </c>
      <c r="B123" s="40" t="s">
        <v>128</v>
      </c>
      <c r="C123" s="9" t="s">
        <v>103</v>
      </c>
      <c r="D123" s="9" t="s">
        <v>121</v>
      </c>
      <c r="E123" s="9" t="s">
        <v>407</v>
      </c>
      <c r="F123" s="9" t="s">
        <v>315</v>
      </c>
      <c r="G123" s="23">
        <f aca="true" t="shared" si="22" ref="G123:J124">G124</f>
        <v>20</v>
      </c>
      <c r="H123" s="23">
        <f t="shared" si="22"/>
        <v>5</v>
      </c>
      <c r="I123" s="23">
        <f t="shared" si="22"/>
        <v>0</v>
      </c>
      <c r="J123" s="23">
        <f t="shared" si="22"/>
        <v>20</v>
      </c>
      <c r="K123" s="191"/>
      <c r="L123" s="191"/>
      <c r="M123" s="192">
        <f t="shared" si="19"/>
        <v>100</v>
      </c>
    </row>
    <row r="124" spans="1:13" ht="34.5" customHeight="1">
      <c r="A124" s="17" t="s">
        <v>408</v>
      </c>
      <c r="B124" s="40" t="s">
        <v>128</v>
      </c>
      <c r="C124" s="3" t="s">
        <v>103</v>
      </c>
      <c r="D124" s="3" t="s">
        <v>121</v>
      </c>
      <c r="E124" s="3" t="s">
        <v>409</v>
      </c>
      <c r="F124" s="3" t="s">
        <v>112</v>
      </c>
      <c r="G124" s="22">
        <f t="shared" si="22"/>
        <v>20</v>
      </c>
      <c r="H124" s="22">
        <f t="shared" si="22"/>
        <v>5</v>
      </c>
      <c r="I124" s="22">
        <f t="shared" si="22"/>
        <v>0</v>
      </c>
      <c r="J124" s="22">
        <f t="shared" si="22"/>
        <v>20</v>
      </c>
      <c r="K124" s="191"/>
      <c r="L124" s="191"/>
      <c r="M124" s="192">
        <f t="shared" si="19"/>
        <v>100</v>
      </c>
    </row>
    <row r="125" spans="1:13" ht="31.5">
      <c r="A125" s="17" t="s">
        <v>452</v>
      </c>
      <c r="B125" s="40" t="s">
        <v>128</v>
      </c>
      <c r="C125" s="3" t="s">
        <v>103</v>
      </c>
      <c r="D125" s="3" t="s">
        <v>121</v>
      </c>
      <c r="E125" s="3" t="s">
        <v>411</v>
      </c>
      <c r="F125" s="3" t="s">
        <v>139</v>
      </c>
      <c r="G125" s="22">
        <v>20</v>
      </c>
      <c r="H125" s="22">
        <v>5</v>
      </c>
      <c r="I125" s="22"/>
      <c r="J125" s="29">
        <v>20</v>
      </c>
      <c r="K125" s="191"/>
      <c r="L125" s="191"/>
      <c r="M125" s="192">
        <f t="shared" si="19"/>
        <v>100</v>
      </c>
    </row>
    <row r="126" spans="1:13" s="195" customFormat="1" ht="78.75">
      <c r="A126" s="10" t="s">
        <v>655</v>
      </c>
      <c r="B126" s="40" t="s">
        <v>128</v>
      </c>
      <c r="C126" s="9" t="s">
        <v>103</v>
      </c>
      <c r="D126" s="9" t="s">
        <v>121</v>
      </c>
      <c r="E126" s="9" t="s">
        <v>656</v>
      </c>
      <c r="F126" s="9" t="s">
        <v>315</v>
      </c>
      <c r="G126" s="23">
        <f aca="true" t="shared" si="23" ref="G126:J127">G127</f>
        <v>10</v>
      </c>
      <c r="H126" s="23">
        <f t="shared" si="23"/>
        <v>0</v>
      </c>
      <c r="I126" s="23" t="e">
        <f t="shared" si="23"/>
        <v>#REF!</v>
      </c>
      <c r="J126" s="23">
        <f t="shared" si="23"/>
        <v>10</v>
      </c>
      <c r="K126" s="185"/>
      <c r="L126" s="185"/>
      <c r="M126" s="192">
        <f t="shared" si="19"/>
        <v>100</v>
      </c>
    </row>
    <row r="127" spans="1:13" ht="31.5">
      <c r="A127" s="8" t="s">
        <v>137</v>
      </c>
      <c r="B127" s="2" t="s">
        <v>128</v>
      </c>
      <c r="C127" s="3" t="s">
        <v>103</v>
      </c>
      <c r="D127" s="3" t="s">
        <v>121</v>
      </c>
      <c r="E127" s="3" t="s">
        <v>657</v>
      </c>
      <c r="F127" s="3" t="s">
        <v>112</v>
      </c>
      <c r="G127" s="22">
        <f t="shared" si="23"/>
        <v>10</v>
      </c>
      <c r="H127" s="22">
        <f t="shared" si="23"/>
        <v>0</v>
      </c>
      <c r="I127" s="22" t="e">
        <f t="shared" si="23"/>
        <v>#REF!</v>
      </c>
      <c r="J127" s="22">
        <f t="shared" si="23"/>
        <v>10</v>
      </c>
      <c r="K127" s="191"/>
      <c r="L127" s="191"/>
      <c r="M127" s="192">
        <f t="shared" si="19"/>
        <v>100</v>
      </c>
    </row>
    <row r="128" spans="1:13" ht="47.25">
      <c r="A128" s="17" t="s">
        <v>138</v>
      </c>
      <c r="B128" s="2" t="s">
        <v>128</v>
      </c>
      <c r="C128" s="3" t="s">
        <v>103</v>
      </c>
      <c r="D128" s="3" t="s">
        <v>121</v>
      </c>
      <c r="E128" s="3" t="s">
        <v>657</v>
      </c>
      <c r="F128" s="3" t="s">
        <v>139</v>
      </c>
      <c r="G128" s="22">
        <v>10</v>
      </c>
      <c r="H128" s="22"/>
      <c r="I128" s="22" t="e">
        <f>I129</f>
        <v>#REF!</v>
      </c>
      <c r="J128" s="29">
        <v>10</v>
      </c>
      <c r="K128" s="191"/>
      <c r="L128" s="191"/>
      <c r="M128" s="192">
        <f t="shared" si="19"/>
        <v>100</v>
      </c>
    </row>
    <row r="129" spans="1:13" ht="30" customHeight="1">
      <c r="A129" s="76" t="s">
        <v>283</v>
      </c>
      <c r="B129" s="187">
        <v>951</v>
      </c>
      <c r="C129" s="77" t="s">
        <v>110</v>
      </c>
      <c r="D129" s="77" t="s">
        <v>104</v>
      </c>
      <c r="E129" s="77" t="s">
        <v>243</v>
      </c>
      <c r="F129" s="77" t="s">
        <v>315</v>
      </c>
      <c r="G129" s="78">
        <f>G130+G134</f>
        <v>90.72330000000001</v>
      </c>
      <c r="H129" s="78" t="e">
        <f>H130+H134</f>
        <v>#REF!</v>
      </c>
      <c r="I129" s="78" t="e">
        <f>I130+I134</f>
        <v>#REF!</v>
      </c>
      <c r="J129" s="78">
        <f>J130+J134</f>
        <v>90.7233</v>
      </c>
      <c r="K129" s="191"/>
      <c r="L129" s="191"/>
      <c r="M129" s="322">
        <f t="shared" si="19"/>
        <v>99.99999999999999</v>
      </c>
    </row>
    <row r="130" spans="1:13" ht="45" customHeight="1" hidden="1">
      <c r="A130" s="79" t="s">
        <v>284</v>
      </c>
      <c r="B130" s="205">
        <v>951</v>
      </c>
      <c r="C130" s="80" t="s">
        <v>110</v>
      </c>
      <c r="D130" s="80" t="s">
        <v>285</v>
      </c>
      <c r="E130" s="80" t="s">
        <v>17</v>
      </c>
      <c r="F130" s="80" t="s">
        <v>315</v>
      </c>
      <c r="G130" s="111">
        <f aca="true" t="shared" si="24" ref="G130:J132">G131</f>
        <v>0</v>
      </c>
      <c r="H130" s="111">
        <f t="shared" si="24"/>
        <v>120</v>
      </c>
      <c r="I130" s="111">
        <f t="shared" si="24"/>
        <v>0</v>
      </c>
      <c r="J130" s="111">
        <f t="shared" si="24"/>
        <v>0</v>
      </c>
      <c r="K130" s="29"/>
      <c r="L130" s="191"/>
      <c r="M130" s="192" t="e">
        <f t="shared" si="19"/>
        <v>#DIV/0!</v>
      </c>
    </row>
    <row r="131" spans="1:13" ht="73.5" customHeight="1" hidden="1">
      <c r="A131" s="79" t="s">
        <v>286</v>
      </c>
      <c r="B131" s="205">
        <v>951</v>
      </c>
      <c r="C131" s="80" t="s">
        <v>110</v>
      </c>
      <c r="D131" s="80" t="s">
        <v>285</v>
      </c>
      <c r="E131" s="80" t="s">
        <v>17</v>
      </c>
      <c r="F131" s="80" t="s">
        <v>315</v>
      </c>
      <c r="G131" s="111">
        <f t="shared" si="24"/>
        <v>0</v>
      </c>
      <c r="H131" s="23">
        <f>H132</f>
        <v>120</v>
      </c>
      <c r="I131" s="23"/>
      <c r="J131" s="29">
        <f>J132</f>
        <v>0</v>
      </c>
      <c r="K131" s="29"/>
      <c r="L131" s="191"/>
      <c r="M131" s="192" t="e">
        <f t="shared" si="19"/>
        <v>#DIV/0!</v>
      </c>
    </row>
    <row r="132" spans="1:13" ht="34.5" customHeight="1" hidden="1">
      <c r="A132" s="8" t="s">
        <v>137</v>
      </c>
      <c r="B132" s="205">
        <v>951</v>
      </c>
      <c r="C132" s="80" t="s">
        <v>110</v>
      </c>
      <c r="D132" s="80" t="s">
        <v>285</v>
      </c>
      <c r="E132" s="80" t="s">
        <v>17</v>
      </c>
      <c r="F132" s="80" t="s">
        <v>112</v>
      </c>
      <c r="G132" s="111">
        <f t="shared" si="24"/>
        <v>0</v>
      </c>
      <c r="H132" s="22">
        <f>H133</f>
        <v>120</v>
      </c>
      <c r="I132" s="22"/>
      <c r="J132" s="29">
        <f>J133</f>
        <v>0</v>
      </c>
      <c r="K132" s="29"/>
      <c r="L132" s="191"/>
      <c r="M132" s="192" t="e">
        <f t="shared" si="19"/>
        <v>#DIV/0!</v>
      </c>
    </row>
    <row r="133" spans="1:13" ht="43.5" customHeight="1" hidden="1">
      <c r="A133" s="17" t="s">
        <v>138</v>
      </c>
      <c r="B133" s="205">
        <v>951</v>
      </c>
      <c r="C133" s="80" t="s">
        <v>110</v>
      </c>
      <c r="D133" s="80" t="s">
        <v>285</v>
      </c>
      <c r="E133" s="80" t="s">
        <v>17</v>
      </c>
      <c r="F133" s="80" t="s">
        <v>139</v>
      </c>
      <c r="G133" s="22">
        <f>100-100</f>
        <v>0</v>
      </c>
      <c r="H133" s="22">
        <v>120</v>
      </c>
      <c r="I133" s="22"/>
      <c r="J133" s="29"/>
      <c r="K133" s="29"/>
      <c r="L133" s="191"/>
      <c r="M133" s="192" t="e">
        <f t="shared" si="19"/>
        <v>#DIV/0!</v>
      </c>
    </row>
    <row r="134" spans="1:13" ht="91.5" customHeight="1">
      <c r="A134" s="206" t="s">
        <v>677</v>
      </c>
      <c r="B134" s="113">
        <v>951</v>
      </c>
      <c r="C134" s="5" t="s">
        <v>110</v>
      </c>
      <c r="D134" s="5" t="s">
        <v>285</v>
      </c>
      <c r="E134" s="5" t="s">
        <v>678</v>
      </c>
      <c r="F134" s="5" t="s">
        <v>315</v>
      </c>
      <c r="G134" s="30">
        <f aca="true" t="shared" si="25" ref="G134:J135">G135</f>
        <v>90.72330000000001</v>
      </c>
      <c r="H134" s="30" t="e">
        <f t="shared" si="25"/>
        <v>#REF!</v>
      </c>
      <c r="I134" s="30" t="e">
        <f t="shared" si="25"/>
        <v>#REF!</v>
      </c>
      <c r="J134" s="30">
        <f t="shared" si="25"/>
        <v>90.7233</v>
      </c>
      <c r="K134" s="191"/>
      <c r="L134" s="191"/>
      <c r="M134" s="192">
        <f t="shared" si="19"/>
        <v>99.99999999999999</v>
      </c>
    </row>
    <row r="135" spans="1:13" ht="31.5">
      <c r="A135" s="8" t="s">
        <v>137</v>
      </c>
      <c r="B135" s="205">
        <v>951</v>
      </c>
      <c r="C135" s="80" t="s">
        <v>110</v>
      </c>
      <c r="D135" s="80" t="s">
        <v>285</v>
      </c>
      <c r="E135" s="80" t="s">
        <v>678</v>
      </c>
      <c r="F135" s="80" t="s">
        <v>112</v>
      </c>
      <c r="G135" s="81">
        <f t="shared" si="25"/>
        <v>90.72330000000001</v>
      </c>
      <c r="H135" s="81" t="e">
        <f t="shared" si="25"/>
        <v>#REF!</v>
      </c>
      <c r="I135" s="81" t="e">
        <f t="shared" si="25"/>
        <v>#REF!</v>
      </c>
      <c r="J135" s="81">
        <f t="shared" si="25"/>
        <v>90.7233</v>
      </c>
      <c r="K135" s="191"/>
      <c r="L135" s="191"/>
      <c r="M135" s="192">
        <f t="shared" si="19"/>
        <v>99.99999999999999</v>
      </c>
    </row>
    <row r="136" spans="1:13" ht="47.25">
      <c r="A136" s="17" t="s">
        <v>138</v>
      </c>
      <c r="B136" s="205">
        <v>951</v>
      </c>
      <c r="C136" s="80" t="s">
        <v>110</v>
      </c>
      <c r="D136" s="80" t="s">
        <v>285</v>
      </c>
      <c r="E136" s="80" t="s">
        <v>678</v>
      </c>
      <c r="F136" s="80" t="s">
        <v>139</v>
      </c>
      <c r="G136" s="22">
        <f>55.31+26.5053+8.908</f>
        <v>90.72330000000001</v>
      </c>
      <c r="H136" s="22" t="e">
        <f>H137+H142</f>
        <v>#REF!</v>
      </c>
      <c r="I136" s="22" t="e">
        <f>I137</f>
        <v>#REF!</v>
      </c>
      <c r="J136" s="29">
        <v>90.7233</v>
      </c>
      <c r="K136" s="29"/>
      <c r="L136" s="191"/>
      <c r="M136" s="192">
        <f t="shared" si="19"/>
        <v>99.99999999999999</v>
      </c>
    </row>
    <row r="137" spans="1:13" ht="30.75" customHeight="1">
      <c r="A137" s="207" t="s">
        <v>287</v>
      </c>
      <c r="B137" s="187">
        <v>951</v>
      </c>
      <c r="C137" s="77" t="s">
        <v>114</v>
      </c>
      <c r="D137" s="77" t="s">
        <v>104</v>
      </c>
      <c r="E137" s="77" t="s">
        <v>243</v>
      </c>
      <c r="F137" s="77" t="s">
        <v>315</v>
      </c>
      <c r="G137" s="78">
        <f>G148+G165+G188+G138</f>
        <v>31834.43364</v>
      </c>
      <c r="H137" s="78" t="e">
        <f>H148+H165+H188+H138</f>
        <v>#REF!</v>
      </c>
      <c r="I137" s="78" t="e">
        <f>I148+I165+I188+I138</f>
        <v>#REF!</v>
      </c>
      <c r="J137" s="78">
        <f>J148+J165+J188+J138</f>
        <v>22702.714329999995</v>
      </c>
      <c r="K137" s="191"/>
      <c r="L137" s="191"/>
      <c r="M137" s="322">
        <f t="shared" si="19"/>
        <v>71.31496224099307</v>
      </c>
    </row>
    <row r="138" spans="1:13" ht="15.75">
      <c r="A138" s="178" t="s">
        <v>179</v>
      </c>
      <c r="B138" s="193" t="s">
        <v>128</v>
      </c>
      <c r="C138" s="194" t="s">
        <v>114</v>
      </c>
      <c r="D138" s="194" t="s">
        <v>296</v>
      </c>
      <c r="E138" s="194" t="s">
        <v>243</v>
      </c>
      <c r="F138" s="194" t="s">
        <v>315</v>
      </c>
      <c r="G138" s="173">
        <f>G139+G142+G145</f>
        <v>1054.53307</v>
      </c>
      <c r="H138" s="173" t="e">
        <f>H139+H142+H145</f>
        <v>#REF!</v>
      </c>
      <c r="I138" s="173">
        <f>I139+I142+I145</f>
        <v>0</v>
      </c>
      <c r="J138" s="173">
        <f>J139+J142+J145</f>
        <v>1000.77153</v>
      </c>
      <c r="K138" s="191"/>
      <c r="L138" s="191"/>
      <c r="M138" s="263">
        <f t="shared" si="19"/>
        <v>94.90186305869004</v>
      </c>
    </row>
    <row r="139" spans="1:13" ht="126">
      <c r="A139" s="79" t="s">
        <v>492</v>
      </c>
      <c r="B139" s="94" t="s">
        <v>128</v>
      </c>
      <c r="C139" s="80" t="s">
        <v>114</v>
      </c>
      <c r="D139" s="80" t="s">
        <v>296</v>
      </c>
      <c r="E139" s="80" t="s">
        <v>33</v>
      </c>
      <c r="F139" s="80" t="s">
        <v>315</v>
      </c>
      <c r="G139" s="81">
        <f aca="true" t="shared" si="26" ref="G139:J140">G140</f>
        <v>944.53307</v>
      </c>
      <c r="H139" s="81">
        <f t="shared" si="26"/>
        <v>0</v>
      </c>
      <c r="I139" s="81">
        <f t="shared" si="26"/>
        <v>0</v>
      </c>
      <c r="J139" s="81">
        <f t="shared" si="26"/>
        <v>890.77153</v>
      </c>
      <c r="K139" s="191"/>
      <c r="L139" s="191"/>
      <c r="M139" s="192">
        <f t="shared" si="19"/>
        <v>94.30813576490233</v>
      </c>
    </row>
    <row r="140" spans="1:13" ht="31.5">
      <c r="A140" s="79" t="s">
        <v>137</v>
      </c>
      <c r="B140" s="94" t="s">
        <v>128</v>
      </c>
      <c r="C140" s="80" t="s">
        <v>114</v>
      </c>
      <c r="D140" s="80" t="s">
        <v>296</v>
      </c>
      <c r="E140" s="80" t="s">
        <v>33</v>
      </c>
      <c r="F140" s="80" t="s">
        <v>112</v>
      </c>
      <c r="G140" s="81">
        <f t="shared" si="26"/>
        <v>944.53307</v>
      </c>
      <c r="H140" s="81">
        <f t="shared" si="26"/>
        <v>0</v>
      </c>
      <c r="I140" s="81">
        <f t="shared" si="26"/>
        <v>0</v>
      </c>
      <c r="J140" s="81">
        <f t="shared" si="26"/>
        <v>890.77153</v>
      </c>
      <c r="K140" s="191"/>
      <c r="L140" s="191"/>
      <c r="M140" s="192">
        <f t="shared" si="19"/>
        <v>94.30813576490233</v>
      </c>
    </row>
    <row r="141" spans="1:13" ht="47.25">
      <c r="A141" s="93" t="s">
        <v>138</v>
      </c>
      <c r="B141" s="94" t="s">
        <v>128</v>
      </c>
      <c r="C141" s="80" t="s">
        <v>114</v>
      </c>
      <c r="D141" s="80" t="s">
        <v>296</v>
      </c>
      <c r="E141" s="80" t="s">
        <v>33</v>
      </c>
      <c r="F141" s="80" t="s">
        <v>139</v>
      </c>
      <c r="G141" s="81">
        <v>944.53307</v>
      </c>
      <c r="H141" s="22">
        <v>0</v>
      </c>
      <c r="I141" s="22"/>
      <c r="J141" s="29">
        <v>890.77153</v>
      </c>
      <c r="K141" s="191"/>
      <c r="L141" s="191"/>
      <c r="M141" s="192">
        <f t="shared" si="19"/>
        <v>94.30813576490233</v>
      </c>
    </row>
    <row r="142" spans="1:13" ht="78.75" hidden="1">
      <c r="A142" s="95" t="s">
        <v>632</v>
      </c>
      <c r="B142" s="112" t="s">
        <v>128</v>
      </c>
      <c r="C142" s="83" t="s">
        <v>114</v>
      </c>
      <c r="D142" s="83" t="s">
        <v>296</v>
      </c>
      <c r="E142" s="83" t="s">
        <v>633</v>
      </c>
      <c r="F142" s="83" t="s">
        <v>315</v>
      </c>
      <c r="G142" s="84">
        <f>G143</f>
        <v>0</v>
      </c>
      <c r="H142" s="22">
        <f>H143</f>
        <v>5</v>
      </c>
      <c r="I142" s="22">
        <f>I143</f>
        <v>0</v>
      </c>
      <c r="J142" s="29">
        <f>J143</f>
        <v>0</v>
      </c>
      <c r="K142" s="191"/>
      <c r="L142" s="191"/>
      <c r="M142" s="192" t="e">
        <f t="shared" si="19"/>
        <v>#DIV/0!</v>
      </c>
    </row>
    <row r="143" spans="1:13" ht="31.5" hidden="1">
      <c r="A143" s="79" t="s">
        <v>137</v>
      </c>
      <c r="B143" s="94" t="s">
        <v>128</v>
      </c>
      <c r="C143" s="80" t="s">
        <v>114</v>
      </c>
      <c r="D143" s="80" t="s">
        <v>296</v>
      </c>
      <c r="E143" s="80" t="s">
        <v>633</v>
      </c>
      <c r="F143" s="80" t="s">
        <v>112</v>
      </c>
      <c r="G143" s="81">
        <f>G144</f>
        <v>0</v>
      </c>
      <c r="H143" s="22">
        <f>5</f>
        <v>5</v>
      </c>
      <c r="I143" s="22">
        <v>0</v>
      </c>
      <c r="J143" s="29"/>
      <c r="K143" s="191"/>
      <c r="L143" s="191"/>
      <c r="M143" s="192" t="e">
        <f t="shared" si="19"/>
        <v>#DIV/0!</v>
      </c>
    </row>
    <row r="144" spans="1:13" ht="47.25" hidden="1">
      <c r="A144" s="93" t="s">
        <v>138</v>
      </c>
      <c r="B144" s="94" t="s">
        <v>128</v>
      </c>
      <c r="C144" s="80" t="s">
        <v>114</v>
      </c>
      <c r="D144" s="80" t="s">
        <v>296</v>
      </c>
      <c r="E144" s="80" t="s">
        <v>633</v>
      </c>
      <c r="F144" s="80" t="s">
        <v>139</v>
      </c>
      <c r="G144" s="81"/>
      <c r="H144" s="23">
        <v>0</v>
      </c>
      <c r="I144" s="23">
        <f>I145</f>
        <v>0</v>
      </c>
      <c r="J144" s="29"/>
      <c r="K144" s="191"/>
      <c r="L144" s="191"/>
      <c r="M144" s="192" t="e">
        <f t="shared" si="19"/>
        <v>#DIV/0!</v>
      </c>
    </row>
    <row r="145" spans="1:13" ht="33" customHeight="1">
      <c r="A145" s="95" t="s">
        <v>679</v>
      </c>
      <c r="B145" s="94" t="s">
        <v>128</v>
      </c>
      <c r="C145" s="80" t="s">
        <v>114</v>
      </c>
      <c r="D145" s="80" t="s">
        <v>296</v>
      </c>
      <c r="E145" s="80" t="s">
        <v>680</v>
      </c>
      <c r="F145" s="83" t="s">
        <v>315</v>
      </c>
      <c r="G145" s="81">
        <f aca="true" t="shared" si="27" ref="G145:J146">G146</f>
        <v>110</v>
      </c>
      <c r="H145" s="81" t="e">
        <f t="shared" si="27"/>
        <v>#REF!</v>
      </c>
      <c r="I145" s="81">
        <f t="shared" si="27"/>
        <v>0</v>
      </c>
      <c r="J145" s="81">
        <f t="shared" si="27"/>
        <v>110</v>
      </c>
      <c r="K145" s="191"/>
      <c r="L145" s="191"/>
      <c r="M145" s="192">
        <f t="shared" si="19"/>
        <v>100</v>
      </c>
    </row>
    <row r="146" spans="1:13" ht="33" customHeight="1">
      <c r="A146" s="79" t="s">
        <v>137</v>
      </c>
      <c r="B146" s="94" t="s">
        <v>128</v>
      </c>
      <c r="C146" s="80" t="s">
        <v>114</v>
      </c>
      <c r="D146" s="80" t="s">
        <v>296</v>
      </c>
      <c r="E146" s="80" t="s">
        <v>680</v>
      </c>
      <c r="F146" s="80" t="s">
        <v>112</v>
      </c>
      <c r="G146" s="81">
        <f t="shared" si="27"/>
        <v>110</v>
      </c>
      <c r="H146" s="81" t="e">
        <f t="shared" si="27"/>
        <v>#REF!</v>
      </c>
      <c r="I146" s="81">
        <f t="shared" si="27"/>
        <v>0</v>
      </c>
      <c r="J146" s="81">
        <f t="shared" si="27"/>
        <v>110</v>
      </c>
      <c r="K146" s="191"/>
      <c r="L146" s="191"/>
      <c r="M146" s="192">
        <f t="shared" si="19"/>
        <v>100</v>
      </c>
    </row>
    <row r="147" spans="1:13" ht="17.25" customHeight="1">
      <c r="A147" s="93" t="s">
        <v>138</v>
      </c>
      <c r="B147" s="94" t="s">
        <v>128</v>
      </c>
      <c r="C147" s="80" t="s">
        <v>114</v>
      </c>
      <c r="D147" s="80" t="s">
        <v>296</v>
      </c>
      <c r="E147" s="80" t="s">
        <v>680</v>
      </c>
      <c r="F147" s="80" t="s">
        <v>139</v>
      </c>
      <c r="G147" s="22">
        <v>110</v>
      </c>
      <c r="H147" s="23" t="e">
        <f>H148+H161</f>
        <v>#REF!</v>
      </c>
      <c r="I147" s="23">
        <f>I148</f>
        <v>0</v>
      </c>
      <c r="J147" s="29">
        <v>110</v>
      </c>
      <c r="K147" s="191"/>
      <c r="L147" s="191"/>
      <c r="M147" s="192">
        <f t="shared" si="19"/>
        <v>100</v>
      </c>
    </row>
    <row r="148" spans="1:13" ht="15.75">
      <c r="A148" s="178" t="s">
        <v>322</v>
      </c>
      <c r="B148" s="193">
        <v>951</v>
      </c>
      <c r="C148" s="194" t="s">
        <v>114</v>
      </c>
      <c r="D148" s="194" t="s">
        <v>288</v>
      </c>
      <c r="E148" s="194" t="s">
        <v>243</v>
      </c>
      <c r="F148" s="194" t="s">
        <v>315</v>
      </c>
      <c r="G148" s="173">
        <f>G153+G154+G162+G149</f>
        <v>3003.38708</v>
      </c>
      <c r="H148" s="173" t="e">
        <f>H153+H154+H162+H149</f>
        <v>#REF!</v>
      </c>
      <c r="I148" s="173">
        <f>I153+I154+I162+I149</f>
        <v>0</v>
      </c>
      <c r="J148" s="173">
        <f>J153+J154+J162+J149</f>
        <v>1522.0356</v>
      </c>
      <c r="K148" s="191"/>
      <c r="L148" s="191"/>
      <c r="M148" s="263">
        <f t="shared" si="19"/>
        <v>50.67730397242036</v>
      </c>
    </row>
    <row r="149" spans="1:13" ht="33" customHeight="1">
      <c r="A149" s="79" t="s">
        <v>323</v>
      </c>
      <c r="B149" s="94">
        <v>951</v>
      </c>
      <c r="C149" s="80" t="s">
        <v>114</v>
      </c>
      <c r="D149" s="80" t="s">
        <v>288</v>
      </c>
      <c r="E149" s="80" t="s">
        <v>682</v>
      </c>
      <c r="F149" s="80" t="s">
        <v>315</v>
      </c>
      <c r="G149" s="81">
        <f aca="true" t="shared" si="28" ref="G149:L151">G150</f>
        <v>3000</v>
      </c>
      <c r="H149" s="81">
        <f t="shared" si="28"/>
        <v>13908.54319</v>
      </c>
      <c r="I149" s="81">
        <f t="shared" si="28"/>
        <v>0</v>
      </c>
      <c r="J149" s="81">
        <f t="shared" si="28"/>
        <v>1518.64852</v>
      </c>
      <c r="K149" s="81">
        <f t="shared" si="28"/>
        <v>0</v>
      </c>
      <c r="L149" s="81">
        <f t="shared" si="28"/>
        <v>0</v>
      </c>
      <c r="M149" s="192">
        <f t="shared" si="19"/>
        <v>50.62161733333333</v>
      </c>
    </row>
    <row r="150" spans="1:13" ht="33" customHeight="1">
      <c r="A150" s="8" t="s">
        <v>324</v>
      </c>
      <c r="B150" s="2">
        <v>951</v>
      </c>
      <c r="C150" s="3" t="s">
        <v>114</v>
      </c>
      <c r="D150" s="3" t="s">
        <v>288</v>
      </c>
      <c r="E150" s="3" t="s">
        <v>682</v>
      </c>
      <c r="F150" s="3" t="s">
        <v>315</v>
      </c>
      <c r="G150" s="22">
        <f t="shared" si="28"/>
        <v>3000</v>
      </c>
      <c r="H150" s="22">
        <f t="shared" si="28"/>
        <v>13908.54319</v>
      </c>
      <c r="I150" s="22">
        <f t="shared" si="28"/>
        <v>0</v>
      </c>
      <c r="J150" s="22">
        <f t="shared" si="28"/>
        <v>1518.64852</v>
      </c>
      <c r="K150" s="191"/>
      <c r="L150" s="191"/>
      <c r="M150" s="192">
        <f t="shared" si="19"/>
        <v>50.62161733333333</v>
      </c>
    </row>
    <row r="151" spans="1:13" ht="41.25" customHeight="1">
      <c r="A151" s="8" t="s">
        <v>142</v>
      </c>
      <c r="B151" s="2">
        <v>951</v>
      </c>
      <c r="C151" s="3" t="s">
        <v>114</v>
      </c>
      <c r="D151" s="3" t="s">
        <v>288</v>
      </c>
      <c r="E151" s="3" t="s">
        <v>682</v>
      </c>
      <c r="F151" s="3" t="s">
        <v>143</v>
      </c>
      <c r="G151" s="22">
        <f t="shared" si="28"/>
        <v>3000</v>
      </c>
      <c r="H151" s="22">
        <f t="shared" si="28"/>
        <v>13908.54319</v>
      </c>
      <c r="I151" s="22">
        <f t="shared" si="28"/>
        <v>0</v>
      </c>
      <c r="J151" s="22">
        <f t="shared" si="28"/>
        <v>1518.64852</v>
      </c>
      <c r="K151" s="191"/>
      <c r="L151" s="191"/>
      <c r="M151" s="192">
        <f t="shared" si="19"/>
        <v>50.62161733333333</v>
      </c>
    </row>
    <row r="152" spans="1:13" ht="47.25">
      <c r="A152" s="8" t="s">
        <v>489</v>
      </c>
      <c r="B152" s="2">
        <v>951</v>
      </c>
      <c r="C152" s="3" t="s">
        <v>114</v>
      </c>
      <c r="D152" s="3" t="s">
        <v>288</v>
      </c>
      <c r="E152" s="3" t="s">
        <v>682</v>
      </c>
      <c r="F152" s="3" t="s">
        <v>294</v>
      </c>
      <c r="G152" s="22">
        <v>3000</v>
      </c>
      <c r="H152" s="22">
        <f>H153+H154+H155</f>
        <v>13908.54319</v>
      </c>
      <c r="I152" s="22"/>
      <c r="J152" s="29">
        <v>1518.64852</v>
      </c>
      <c r="K152" s="191"/>
      <c r="L152" s="191"/>
      <c r="M152" s="192">
        <f t="shared" si="19"/>
        <v>50.62161733333333</v>
      </c>
    </row>
    <row r="153" spans="1:13" ht="16.5" customHeight="1" hidden="1">
      <c r="A153" s="82" t="s">
        <v>363</v>
      </c>
      <c r="B153" s="112" t="s">
        <v>128</v>
      </c>
      <c r="C153" s="83" t="s">
        <v>114</v>
      </c>
      <c r="D153" s="83" t="s">
        <v>288</v>
      </c>
      <c r="E153" s="83" t="s">
        <v>243</v>
      </c>
      <c r="F153" s="83" t="s">
        <v>315</v>
      </c>
      <c r="G153" s="84">
        <f>G154+G158</f>
        <v>0</v>
      </c>
      <c r="H153" s="22">
        <f>9614-391.0685</f>
        <v>9222.9315</v>
      </c>
      <c r="I153" s="22"/>
      <c r="J153" s="29"/>
      <c r="K153" s="191"/>
      <c r="L153" s="191"/>
      <c r="M153" s="192" t="e">
        <f t="shared" si="19"/>
        <v>#DIV/0!</v>
      </c>
    </row>
    <row r="154" spans="1:13" ht="15.75" hidden="1">
      <c r="A154" s="79" t="s">
        <v>323</v>
      </c>
      <c r="B154" s="94">
        <v>951</v>
      </c>
      <c r="C154" s="80" t="s">
        <v>114</v>
      </c>
      <c r="D154" s="80" t="s">
        <v>288</v>
      </c>
      <c r="E154" s="80" t="s">
        <v>364</v>
      </c>
      <c r="F154" s="80" t="s">
        <v>315</v>
      </c>
      <c r="G154" s="81">
        <f>G155+G160</f>
        <v>0</v>
      </c>
      <c r="H154" s="22">
        <f>4700-14.38831</f>
        <v>4685.61169</v>
      </c>
      <c r="I154" s="22"/>
      <c r="J154" s="29"/>
      <c r="K154" s="191"/>
      <c r="L154" s="191"/>
      <c r="M154" s="192" t="e">
        <f t="shared" si="19"/>
        <v>#DIV/0!</v>
      </c>
    </row>
    <row r="155" spans="1:13" ht="47.25" hidden="1">
      <c r="A155" s="79" t="s">
        <v>324</v>
      </c>
      <c r="B155" s="94">
        <v>951</v>
      </c>
      <c r="C155" s="80" t="s">
        <v>114</v>
      </c>
      <c r="D155" s="80" t="s">
        <v>288</v>
      </c>
      <c r="E155" s="80" t="s">
        <v>364</v>
      </c>
      <c r="F155" s="80" t="s">
        <v>315</v>
      </c>
      <c r="G155" s="81">
        <f>G156</f>
        <v>0</v>
      </c>
      <c r="H155" s="22"/>
      <c r="I155" s="22"/>
      <c r="J155" s="29"/>
      <c r="K155" s="191"/>
      <c r="L155" s="191"/>
      <c r="M155" s="192" t="e">
        <f t="shared" si="19"/>
        <v>#DIV/0!</v>
      </c>
    </row>
    <row r="156" spans="1:13" ht="29.25" customHeight="1" hidden="1">
      <c r="A156" s="79" t="s">
        <v>142</v>
      </c>
      <c r="B156" s="94">
        <v>951</v>
      </c>
      <c r="C156" s="80" t="s">
        <v>114</v>
      </c>
      <c r="D156" s="80" t="s">
        <v>288</v>
      </c>
      <c r="E156" s="80" t="s">
        <v>364</v>
      </c>
      <c r="F156" s="80" t="s">
        <v>143</v>
      </c>
      <c r="G156" s="81">
        <f>G157</f>
        <v>0</v>
      </c>
      <c r="H156" s="23">
        <f>H158+H160</f>
        <v>202.0202</v>
      </c>
      <c r="I156" s="23">
        <f>I158+I160</f>
        <v>20000</v>
      </c>
      <c r="J156" s="29"/>
      <c r="K156" s="191"/>
      <c r="L156" s="191"/>
      <c r="M156" s="192" t="e">
        <f t="shared" si="19"/>
        <v>#DIV/0!</v>
      </c>
    </row>
    <row r="157" spans="1:13" ht="29.25" customHeight="1" hidden="1">
      <c r="A157" s="79" t="s">
        <v>489</v>
      </c>
      <c r="B157" s="94">
        <v>951</v>
      </c>
      <c r="C157" s="80" t="s">
        <v>114</v>
      </c>
      <c r="D157" s="80" t="s">
        <v>288</v>
      </c>
      <c r="E157" s="80" t="s">
        <v>364</v>
      </c>
      <c r="F157" s="80" t="s">
        <v>294</v>
      </c>
      <c r="G157" s="81"/>
      <c r="H157" s="22"/>
      <c r="I157" s="22">
        <f>I158</f>
        <v>20000</v>
      </c>
      <c r="J157" s="29"/>
      <c r="K157" s="191"/>
      <c r="L157" s="191"/>
      <c r="M157" s="192" t="e">
        <f t="shared" si="19"/>
        <v>#DIV/0!</v>
      </c>
    </row>
    <row r="158" spans="1:13" ht="15.75" hidden="1">
      <c r="A158" s="93" t="s">
        <v>148</v>
      </c>
      <c r="B158" s="94">
        <v>951</v>
      </c>
      <c r="C158" s="80" t="s">
        <v>114</v>
      </c>
      <c r="D158" s="80" t="s">
        <v>288</v>
      </c>
      <c r="E158" s="80" t="s">
        <v>472</v>
      </c>
      <c r="F158" s="80" t="s">
        <v>149</v>
      </c>
      <c r="G158" s="81">
        <f>G159</f>
        <v>0</v>
      </c>
      <c r="H158" s="22"/>
      <c r="I158" s="22">
        <v>20000</v>
      </c>
      <c r="J158" s="29"/>
      <c r="K158" s="191"/>
      <c r="L158" s="191"/>
      <c r="M158" s="192" t="e">
        <f aca="true" t="shared" si="29" ref="M158:M217">J158/G158*100</f>
        <v>#DIV/0!</v>
      </c>
    </row>
    <row r="159" spans="1:13" ht="15.75" hidden="1">
      <c r="A159" s="93" t="s">
        <v>226</v>
      </c>
      <c r="B159" s="94">
        <v>951</v>
      </c>
      <c r="C159" s="80" t="s">
        <v>114</v>
      </c>
      <c r="D159" s="80" t="s">
        <v>288</v>
      </c>
      <c r="E159" s="80" t="s">
        <v>472</v>
      </c>
      <c r="F159" s="80" t="s">
        <v>347</v>
      </c>
      <c r="G159" s="81"/>
      <c r="H159" s="22">
        <f>H160</f>
        <v>202.0202</v>
      </c>
      <c r="I159" s="22"/>
      <c r="J159" s="29"/>
      <c r="K159" s="191"/>
      <c r="L159" s="191"/>
      <c r="M159" s="192" t="e">
        <f t="shared" si="29"/>
        <v>#DIV/0!</v>
      </c>
    </row>
    <row r="160" spans="1:13" ht="31.5" hidden="1">
      <c r="A160" s="79" t="s">
        <v>137</v>
      </c>
      <c r="B160" s="94">
        <v>951</v>
      </c>
      <c r="C160" s="80" t="s">
        <v>114</v>
      </c>
      <c r="D160" s="80" t="s">
        <v>288</v>
      </c>
      <c r="E160" s="80" t="s">
        <v>364</v>
      </c>
      <c r="F160" s="80" t="s">
        <v>112</v>
      </c>
      <c r="G160" s="81">
        <f>G161</f>
        <v>0</v>
      </c>
      <c r="H160" s="22">
        <v>202.0202</v>
      </c>
      <c r="I160" s="208"/>
      <c r="J160" s="29"/>
      <c r="K160" s="191"/>
      <c r="L160" s="191"/>
      <c r="M160" s="192" t="e">
        <f t="shared" si="29"/>
        <v>#DIV/0!</v>
      </c>
    </row>
    <row r="161" spans="1:13" ht="30.75" customHeight="1" hidden="1">
      <c r="A161" s="93" t="s">
        <v>138</v>
      </c>
      <c r="B161" s="94">
        <v>951</v>
      </c>
      <c r="C161" s="80" t="s">
        <v>114</v>
      </c>
      <c r="D161" s="80" t="s">
        <v>288</v>
      </c>
      <c r="E161" s="80" t="s">
        <v>364</v>
      </c>
      <c r="F161" s="80" t="s">
        <v>139</v>
      </c>
      <c r="G161" s="81"/>
      <c r="H161" s="23" t="e">
        <f>H162</f>
        <v>#REF!</v>
      </c>
      <c r="I161" s="23"/>
      <c r="J161" s="29"/>
      <c r="K161" s="191"/>
      <c r="L161" s="191"/>
      <c r="M161" s="192" t="e">
        <f t="shared" si="29"/>
        <v>#DIV/0!</v>
      </c>
    </row>
    <row r="162" spans="1:13" ht="31.5" customHeight="1">
      <c r="A162" s="95" t="s">
        <v>412</v>
      </c>
      <c r="B162" s="112" t="s">
        <v>128</v>
      </c>
      <c r="C162" s="83" t="s">
        <v>114</v>
      </c>
      <c r="D162" s="83" t="s">
        <v>288</v>
      </c>
      <c r="E162" s="83" t="s">
        <v>243</v>
      </c>
      <c r="F162" s="83" t="s">
        <v>315</v>
      </c>
      <c r="G162" s="84">
        <f aca="true" t="shared" si="30" ref="G162:J163">G163</f>
        <v>3.38708</v>
      </c>
      <c r="H162" s="84" t="e">
        <f t="shared" si="30"/>
        <v>#REF!</v>
      </c>
      <c r="I162" s="84">
        <f t="shared" si="30"/>
        <v>0</v>
      </c>
      <c r="J162" s="84">
        <f t="shared" si="30"/>
        <v>3.38708</v>
      </c>
      <c r="K162" s="191"/>
      <c r="L162" s="191"/>
      <c r="M162" s="192">
        <f t="shared" si="29"/>
        <v>100</v>
      </c>
    </row>
    <row r="163" spans="1:13" ht="19.5" customHeight="1">
      <c r="A163" s="79" t="s">
        <v>137</v>
      </c>
      <c r="B163" s="94" t="s">
        <v>128</v>
      </c>
      <c r="C163" s="80" t="s">
        <v>114</v>
      </c>
      <c r="D163" s="80" t="s">
        <v>288</v>
      </c>
      <c r="E163" s="80" t="s">
        <v>413</v>
      </c>
      <c r="F163" s="80" t="s">
        <v>112</v>
      </c>
      <c r="G163" s="81">
        <f t="shared" si="30"/>
        <v>3.38708</v>
      </c>
      <c r="H163" s="81" t="e">
        <f t="shared" si="30"/>
        <v>#REF!</v>
      </c>
      <c r="I163" s="81">
        <f t="shared" si="30"/>
        <v>0</v>
      </c>
      <c r="J163" s="81">
        <f t="shared" si="30"/>
        <v>3.38708</v>
      </c>
      <c r="K163" s="191"/>
      <c r="L163" s="191"/>
      <c r="M163" s="192">
        <f t="shared" si="29"/>
        <v>100</v>
      </c>
    </row>
    <row r="164" spans="1:13" ht="24.75" customHeight="1">
      <c r="A164" s="93" t="s">
        <v>138</v>
      </c>
      <c r="B164" s="94" t="s">
        <v>128</v>
      </c>
      <c r="C164" s="80" t="s">
        <v>114</v>
      </c>
      <c r="D164" s="80" t="s">
        <v>288</v>
      </c>
      <c r="E164" s="80" t="s">
        <v>413</v>
      </c>
      <c r="F164" s="80" t="s">
        <v>139</v>
      </c>
      <c r="G164" s="81">
        <v>3.38708</v>
      </c>
      <c r="H164" s="22" t="e">
        <f>H165</f>
        <v>#REF!</v>
      </c>
      <c r="I164" s="22"/>
      <c r="J164" s="29">
        <v>3.38708</v>
      </c>
      <c r="K164" s="191"/>
      <c r="L164" s="191"/>
      <c r="M164" s="192">
        <f t="shared" si="29"/>
        <v>100</v>
      </c>
    </row>
    <row r="165" spans="1:13" ht="20.25" customHeight="1">
      <c r="A165" s="178" t="s">
        <v>289</v>
      </c>
      <c r="B165" s="193">
        <v>951</v>
      </c>
      <c r="C165" s="194" t="s">
        <v>114</v>
      </c>
      <c r="D165" s="194" t="s">
        <v>285</v>
      </c>
      <c r="E165" s="194" t="s">
        <v>243</v>
      </c>
      <c r="F165" s="194" t="s">
        <v>315</v>
      </c>
      <c r="G165" s="173">
        <f>G166+G181</f>
        <v>27695.35099</v>
      </c>
      <c r="H165" s="173" t="e">
        <f>H166+H181</f>
        <v>#REF!</v>
      </c>
      <c r="I165" s="173" t="e">
        <f>I166+I181</f>
        <v>#REF!</v>
      </c>
      <c r="J165" s="173">
        <f>J166+J181</f>
        <v>20098.7447</v>
      </c>
      <c r="K165" s="191"/>
      <c r="L165" s="191"/>
      <c r="M165" s="263">
        <f t="shared" si="29"/>
        <v>72.57082499967986</v>
      </c>
    </row>
    <row r="166" spans="1:13" ht="18" customHeight="1">
      <c r="A166" s="82" t="s">
        <v>683</v>
      </c>
      <c r="B166" s="112" t="s">
        <v>128</v>
      </c>
      <c r="C166" s="83" t="s">
        <v>114</v>
      </c>
      <c r="D166" s="83" t="s">
        <v>285</v>
      </c>
      <c r="E166" s="83" t="s">
        <v>243</v>
      </c>
      <c r="F166" s="83" t="s">
        <v>315</v>
      </c>
      <c r="G166" s="84">
        <f>G167+G172+G176</f>
        <v>27615.05099</v>
      </c>
      <c r="H166" s="84" t="e">
        <f>H167+H172+H176</f>
        <v>#REF!</v>
      </c>
      <c r="I166" s="84" t="e">
        <f>I167+I172+I176</f>
        <v>#REF!</v>
      </c>
      <c r="J166" s="84">
        <f>J167+J172+J176</f>
        <v>20018.4447</v>
      </c>
      <c r="K166" s="191"/>
      <c r="L166" s="191"/>
      <c r="M166" s="192">
        <f t="shared" si="29"/>
        <v>72.4910654963089</v>
      </c>
    </row>
    <row r="167" spans="1:13" ht="15" customHeight="1">
      <c r="A167" s="79" t="s">
        <v>290</v>
      </c>
      <c r="B167" s="94">
        <v>951</v>
      </c>
      <c r="C167" s="80" t="s">
        <v>114</v>
      </c>
      <c r="D167" s="80" t="s">
        <v>285</v>
      </c>
      <c r="E167" s="80" t="s">
        <v>366</v>
      </c>
      <c r="F167" s="80" t="s">
        <v>315</v>
      </c>
      <c r="G167" s="81">
        <f>G168+G170</f>
        <v>15835.64606</v>
      </c>
      <c r="H167" s="81" t="e">
        <f>H168+H170</f>
        <v>#REF!</v>
      </c>
      <c r="I167" s="81" t="e">
        <f>I168+I170</f>
        <v>#REF!</v>
      </c>
      <c r="J167" s="81">
        <f>J168+J170</f>
        <v>8239.039770000001</v>
      </c>
      <c r="K167" s="191"/>
      <c r="L167" s="191"/>
      <c r="M167" s="192">
        <f t="shared" si="29"/>
        <v>52.02844101707589</v>
      </c>
    </row>
    <row r="168" spans="1:13" ht="31.5">
      <c r="A168" s="79" t="s">
        <v>137</v>
      </c>
      <c r="B168" s="94">
        <v>951</v>
      </c>
      <c r="C168" s="80" t="s">
        <v>114</v>
      </c>
      <c r="D168" s="80" t="s">
        <v>285</v>
      </c>
      <c r="E168" s="80" t="s">
        <v>366</v>
      </c>
      <c r="F168" s="80" t="s">
        <v>112</v>
      </c>
      <c r="G168" s="81">
        <f>G169</f>
        <v>15735.64606</v>
      </c>
      <c r="H168" s="81" t="e">
        <f>H169</f>
        <v>#REF!</v>
      </c>
      <c r="I168" s="81" t="e">
        <f>I169</f>
        <v>#REF!</v>
      </c>
      <c r="J168" s="81">
        <f>J169</f>
        <v>8160.91977</v>
      </c>
      <c r="K168" s="191"/>
      <c r="L168" s="191"/>
      <c r="M168" s="192">
        <f t="shared" si="29"/>
        <v>51.86262921066236</v>
      </c>
    </row>
    <row r="169" spans="1:13" ht="58.5" customHeight="1">
      <c r="A169" s="93" t="s">
        <v>138</v>
      </c>
      <c r="B169" s="94">
        <v>951</v>
      </c>
      <c r="C169" s="80" t="s">
        <v>114</v>
      </c>
      <c r="D169" s="80" t="s">
        <v>285</v>
      </c>
      <c r="E169" s="80" t="s">
        <v>366</v>
      </c>
      <c r="F169" s="80" t="s">
        <v>139</v>
      </c>
      <c r="G169" s="22">
        <f>5263+10815.05099-100-332+89.59507</f>
        <v>15735.64606</v>
      </c>
      <c r="H169" s="23" t="e">
        <f>H170</f>
        <v>#REF!</v>
      </c>
      <c r="I169" s="23" t="e">
        <f>I170</f>
        <v>#REF!</v>
      </c>
      <c r="J169" s="29">
        <v>8160.91977</v>
      </c>
      <c r="K169" s="191"/>
      <c r="L169" s="191"/>
      <c r="M169" s="192">
        <f t="shared" si="29"/>
        <v>51.86262921066236</v>
      </c>
    </row>
    <row r="170" spans="1:13" ht="47.25">
      <c r="A170" s="93" t="s">
        <v>440</v>
      </c>
      <c r="B170" s="94">
        <v>951</v>
      </c>
      <c r="C170" s="80" t="s">
        <v>114</v>
      </c>
      <c r="D170" s="80" t="s">
        <v>285</v>
      </c>
      <c r="E170" s="80" t="s">
        <v>366</v>
      </c>
      <c r="F170" s="80" t="s">
        <v>441</v>
      </c>
      <c r="G170" s="22">
        <f>G171</f>
        <v>100</v>
      </c>
      <c r="H170" s="22" t="e">
        <f>H171</f>
        <v>#REF!</v>
      </c>
      <c r="I170" s="22" t="e">
        <f>I171</f>
        <v>#REF!</v>
      </c>
      <c r="J170" s="22">
        <f>J171</f>
        <v>78.12</v>
      </c>
      <c r="K170" s="191"/>
      <c r="L170" s="191"/>
      <c r="M170" s="192">
        <f t="shared" si="29"/>
        <v>78.12</v>
      </c>
    </row>
    <row r="171" spans="1:13" ht="16.5" customHeight="1">
      <c r="A171" s="17" t="s">
        <v>442</v>
      </c>
      <c r="B171" s="2">
        <v>951</v>
      </c>
      <c r="C171" s="3" t="s">
        <v>114</v>
      </c>
      <c r="D171" s="3" t="s">
        <v>285</v>
      </c>
      <c r="E171" s="3" t="s">
        <v>366</v>
      </c>
      <c r="F171" s="3" t="s">
        <v>443</v>
      </c>
      <c r="G171" s="22">
        <v>100</v>
      </c>
      <c r="H171" s="32" t="e">
        <f>#REF!</f>
        <v>#REF!</v>
      </c>
      <c r="I171" s="32" t="e">
        <f>#REF!</f>
        <v>#REF!</v>
      </c>
      <c r="J171" s="29">
        <v>78.12</v>
      </c>
      <c r="K171" s="191"/>
      <c r="L171" s="191"/>
      <c r="M171" s="192">
        <f t="shared" si="29"/>
        <v>78.12</v>
      </c>
    </row>
    <row r="172" spans="1:13" ht="23.25" customHeight="1">
      <c r="A172" s="93" t="s">
        <v>148</v>
      </c>
      <c r="B172" s="94">
        <v>951</v>
      </c>
      <c r="C172" s="80" t="s">
        <v>114</v>
      </c>
      <c r="D172" s="80" t="s">
        <v>285</v>
      </c>
      <c r="E172" s="80" t="s">
        <v>365</v>
      </c>
      <c r="F172" s="80" t="s">
        <v>149</v>
      </c>
      <c r="G172" s="22">
        <f>G173+G174+G175</f>
        <v>11779.40493</v>
      </c>
      <c r="H172" s="22" t="e">
        <f>H173+H174+H175</f>
        <v>#REF!</v>
      </c>
      <c r="I172" s="22">
        <f>I173+I174+I175</f>
        <v>0</v>
      </c>
      <c r="J172" s="22">
        <f>J173+J174+J175</f>
        <v>11779.40493</v>
      </c>
      <c r="K172" s="191"/>
      <c r="L172" s="191"/>
      <c r="M172" s="192">
        <f t="shared" si="29"/>
        <v>100</v>
      </c>
    </row>
    <row r="173" spans="1:13" ht="21" customHeight="1">
      <c r="A173" s="93" t="s">
        <v>226</v>
      </c>
      <c r="B173" s="94">
        <v>951</v>
      </c>
      <c r="C173" s="80" t="s">
        <v>114</v>
      </c>
      <c r="D173" s="80" t="s">
        <v>285</v>
      </c>
      <c r="E173" s="80" t="s">
        <v>365</v>
      </c>
      <c r="F173" s="80" t="s">
        <v>347</v>
      </c>
      <c r="G173" s="22">
        <f>11537+332-89.59507</f>
        <v>11779.40493</v>
      </c>
      <c r="H173" s="32"/>
      <c r="I173" s="32"/>
      <c r="J173" s="29">
        <v>11779.40493</v>
      </c>
      <c r="K173" s="191"/>
      <c r="L173" s="191"/>
      <c r="M173" s="192">
        <f t="shared" si="29"/>
        <v>100</v>
      </c>
    </row>
    <row r="174" spans="1:13" ht="21" customHeight="1" hidden="1">
      <c r="A174" s="93" t="s">
        <v>374</v>
      </c>
      <c r="B174" s="94" t="s">
        <v>128</v>
      </c>
      <c r="C174" s="80" t="s">
        <v>114</v>
      </c>
      <c r="D174" s="80" t="s">
        <v>285</v>
      </c>
      <c r="E174" s="80" t="s">
        <v>375</v>
      </c>
      <c r="F174" s="80" t="s">
        <v>347</v>
      </c>
      <c r="G174" s="81"/>
      <c r="H174" s="32"/>
      <c r="I174" s="32"/>
      <c r="J174" s="29"/>
      <c r="K174" s="191"/>
      <c r="L174" s="191"/>
      <c r="M174" s="192" t="e">
        <f t="shared" si="29"/>
        <v>#DIV/0!</v>
      </c>
    </row>
    <row r="175" spans="1:13" s="195" customFormat="1" ht="29.25" customHeight="1" hidden="1">
      <c r="A175" s="93" t="s">
        <v>378</v>
      </c>
      <c r="B175" s="94">
        <v>953</v>
      </c>
      <c r="C175" s="80" t="s">
        <v>114</v>
      </c>
      <c r="D175" s="80" t="s">
        <v>285</v>
      </c>
      <c r="E175" s="80" t="s">
        <v>375</v>
      </c>
      <c r="F175" s="80" t="s">
        <v>347</v>
      </c>
      <c r="G175" s="81"/>
      <c r="H175" s="30" t="e">
        <f>H176+H207+H197</f>
        <v>#REF!</v>
      </c>
      <c r="I175" s="30">
        <f>I176+I207+I197</f>
        <v>0</v>
      </c>
      <c r="J175" s="51"/>
      <c r="K175" s="185"/>
      <c r="L175" s="185"/>
      <c r="M175" s="192" t="e">
        <f t="shared" si="29"/>
        <v>#DIV/0!</v>
      </c>
    </row>
    <row r="176" spans="1:13" ht="47.25" hidden="1">
      <c r="A176" s="95" t="s">
        <v>497</v>
      </c>
      <c r="B176" s="112">
        <v>951</v>
      </c>
      <c r="C176" s="83" t="s">
        <v>114</v>
      </c>
      <c r="D176" s="83" t="s">
        <v>285</v>
      </c>
      <c r="E176" s="83" t="s">
        <v>354</v>
      </c>
      <c r="F176" s="83" t="s">
        <v>315</v>
      </c>
      <c r="G176" s="84">
        <f>G178+G180</f>
        <v>0</v>
      </c>
      <c r="H176" s="23" t="e">
        <f>H177+H181+H184+H187+H192+H194</f>
        <v>#REF!</v>
      </c>
      <c r="I176" s="23">
        <f>I177+I187</f>
        <v>0</v>
      </c>
      <c r="J176" s="29"/>
      <c r="K176" s="191"/>
      <c r="L176" s="191"/>
      <c r="M176" s="192" t="e">
        <f t="shared" si="29"/>
        <v>#DIV/0!</v>
      </c>
    </row>
    <row r="177" spans="1:13" ht="17.25" customHeight="1" hidden="1">
      <c r="A177" s="79" t="s">
        <v>137</v>
      </c>
      <c r="B177" s="94">
        <v>951</v>
      </c>
      <c r="C177" s="80" t="s">
        <v>114</v>
      </c>
      <c r="D177" s="80" t="s">
        <v>285</v>
      </c>
      <c r="E177" s="80" t="s">
        <v>493</v>
      </c>
      <c r="F177" s="80" t="s">
        <v>112</v>
      </c>
      <c r="G177" s="81">
        <f>G178</f>
        <v>0</v>
      </c>
      <c r="H177" s="22">
        <f>H178</f>
        <v>321.79999999999995</v>
      </c>
      <c r="I177" s="22">
        <f aca="true" t="shared" si="31" ref="H177:I179">I178</f>
        <v>0</v>
      </c>
      <c r="J177" s="29"/>
      <c r="K177" s="191"/>
      <c r="L177" s="191"/>
      <c r="M177" s="192" t="e">
        <f t="shared" si="29"/>
        <v>#DIV/0!</v>
      </c>
    </row>
    <row r="178" spans="1:13" ht="47.25" hidden="1">
      <c r="A178" s="93" t="s">
        <v>138</v>
      </c>
      <c r="B178" s="94">
        <v>951</v>
      </c>
      <c r="C178" s="80" t="s">
        <v>114</v>
      </c>
      <c r="D178" s="80" t="s">
        <v>285</v>
      </c>
      <c r="E178" s="80" t="s">
        <v>493</v>
      </c>
      <c r="F178" s="80" t="s">
        <v>139</v>
      </c>
      <c r="G178" s="81"/>
      <c r="H178" s="22">
        <f t="shared" si="31"/>
        <v>321.79999999999995</v>
      </c>
      <c r="I178" s="22">
        <f t="shared" si="31"/>
        <v>0</v>
      </c>
      <c r="J178" s="29"/>
      <c r="K178" s="191"/>
      <c r="L178" s="191"/>
      <c r="M178" s="192" t="e">
        <f t="shared" si="29"/>
        <v>#DIV/0!</v>
      </c>
    </row>
    <row r="179" spans="1:13" ht="30" customHeight="1" hidden="1">
      <c r="A179" s="79" t="s">
        <v>137</v>
      </c>
      <c r="B179" s="94">
        <v>951</v>
      </c>
      <c r="C179" s="80" t="s">
        <v>114</v>
      </c>
      <c r="D179" s="80" t="s">
        <v>285</v>
      </c>
      <c r="E179" s="80" t="s">
        <v>506</v>
      </c>
      <c r="F179" s="80" t="s">
        <v>112</v>
      </c>
      <c r="G179" s="81">
        <f>G180</f>
        <v>0</v>
      </c>
      <c r="H179" s="22">
        <f t="shared" si="31"/>
        <v>321.79999999999995</v>
      </c>
      <c r="I179" s="22">
        <f t="shared" si="31"/>
        <v>0</v>
      </c>
      <c r="J179" s="29"/>
      <c r="K179" s="191"/>
      <c r="L179" s="191"/>
      <c r="M179" s="192" t="e">
        <f t="shared" si="29"/>
        <v>#DIV/0!</v>
      </c>
    </row>
    <row r="180" spans="1:13" ht="43.5" customHeight="1" hidden="1">
      <c r="A180" s="93" t="s">
        <v>138</v>
      </c>
      <c r="B180" s="94">
        <v>951</v>
      </c>
      <c r="C180" s="80" t="s">
        <v>114</v>
      </c>
      <c r="D180" s="80" t="s">
        <v>285</v>
      </c>
      <c r="E180" s="80" t="s">
        <v>506</v>
      </c>
      <c r="F180" s="80" t="s">
        <v>139</v>
      </c>
      <c r="G180" s="81"/>
      <c r="H180" s="29">
        <f>521.8-200</f>
        <v>321.79999999999995</v>
      </c>
      <c r="I180" s="22"/>
      <c r="J180" s="29"/>
      <c r="K180" s="191"/>
      <c r="L180" s="191"/>
      <c r="M180" s="192" t="e">
        <f t="shared" si="29"/>
        <v>#DIV/0!</v>
      </c>
    </row>
    <row r="181" spans="1:13" ht="47.25">
      <c r="A181" s="95" t="s">
        <v>106</v>
      </c>
      <c r="B181" s="112" t="s">
        <v>128</v>
      </c>
      <c r="C181" s="83" t="s">
        <v>114</v>
      </c>
      <c r="D181" s="83" t="s">
        <v>285</v>
      </c>
      <c r="E181" s="83" t="s">
        <v>7</v>
      </c>
      <c r="F181" s="83" t="s">
        <v>315</v>
      </c>
      <c r="G181" s="84">
        <f aca="true" t="shared" si="32" ref="G181:J182">G182</f>
        <v>80.3</v>
      </c>
      <c r="H181" s="84" t="e">
        <f t="shared" si="32"/>
        <v>#REF!</v>
      </c>
      <c r="I181" s="84">
        <f t="shared" si="32"/>
        <v>0</v>
      </c>
      <c r="J181" s="84">
        <f t="shared" si="32"/>
        <v>80.3</v>
      </c>
      <c r="K181" s="191"/>
      <c r="L181" s="191"/>
      <c r="M181" s="192">
        <f t="shared" si="29"/>
        <v>100</v>
      </c>
    </row>
    <row r="182" spans="1:13" ht="47.25">
      <c r="A182" s="93" t="s">
        <v>107</v>
      </c>
      <c r="B182" s="94" t="s">
        <v>128</v>
      </c>
      <c r="C182" s="80" t="s">
        <v>114</v>
      </c>
      <c r="D182" s="80" t="s">
        <v>285</v>
      </c>
      <c r="E182" s="80" t="s">
        <v>8</v>
      </c>
      <c r="F182" s="80" t="s">
        <v>315</v>
      </c>
      <c r="G182" s="81">
        <f t="shared" si="32"/>
        <v>80.3</v>
      </c>
      <c r="H182" s="81" t="e">
        <f t="shared" si="32"/>
        <v>#REF!</v>
      </c>
      <c r="I182" s="81">
        <f t="shared" si="32"/>
        <v>0</v>
      </c>
      <c r="J182" s="81">
        <f t="shared" si="32"/>
        <v>80.3</v>
      </c>
      <c r="K182" s="191"/>
      <c r="L182" s="191"/>
      <c r="M182" s="192">
        <f t="shared" si="29"/>
        <v>100</v>
      </c>
    </row>
    <row r="183" spans="1:13" ht="15.75">
      <c r="A183" s="79" t="s">
        <v>414</v>
      </c>
      <c r="B183" s="94" t="s">
        <v>128</v>
      </c>
      <c r="C183" s="80" t="s">
        <v>114</v>
      </c>
      <c r="D183" s="80" t="s">
        <v>285</v>
      </c>
      <c r="E183" s="94" t="s">
        <v>415</v>
      </c>
      <c r="F183" s="80" t="s">
        <v>315</v>
      </c>
      <c r="G183" s="81">
        <f>G184+G186</f>
        <v>80.3</v>
      </c>
      <c r="H183" s="81" t="e">
        <f>H184+H186</f>
        <v>#REF!</v>
      </c>
      <c r="I183" s="81">
        <f>I184+I186</f>
        <v>0</v>
      </c>
      <c r="J183" s="81">
        <f>J184+J186</f>
        <v>80.3</v>
      </c>
      <c r="K183" s="191"/>
      <c r="L183" s="191"/>
      <c r="M183" s="192">
        <f t="shared" si="29"/>
        <v>100</v>
      </c>
    </row>
    <row r="184" spans="1:13" ht="31.5" hidden="1">
      <c r="A184" s="79" t="s">
        <v>137</v>
      </c>
      <c r="B184" s="94" t="s">
        <v>128</v>
      </c>
      <c r="C184" s="80" t="s">
        <v>114</v>
      </c>
      <c r="D184" s="80" t="s">
        <v>285</v>
      </c>
      <c r="E184" s="94" t="s">
        <v>415</v>
      </c>
      <c r="F184" s="80" t="s">
        <v>112</v>
      </c>
      <c r="G184" s="81">
        <f>G185</f>
        <v>0</v>
      </c>
      <c r="H184" s="23" t="e">
        <f>H185</f>
        <v>#REF!</v>
      </c>
      <c r="I184" s="22"/>
      <c r="J184" s="29"/>
      <c r="K184" s="191"/>
      <c r="L184" s="191"/>
      <c r="M184" s="192" t="e">
        <f t="shared" si="29"/>
        <v>#DIV/0!</v>
      </c>
    </row>
    <row r="185" spans="1:13" ht="47.25" hidden="1">
      <c r="A185" s="93" t="s">
        <v>138</v>
      </c>
      <c r="B185" s="94" t="s">
        <v>128</v>
      </c>
      <c r="C185" s="80" t="s">
        <v>114</v>
      </c>
      <c r="D185" s="80" t="s">
        <v>285</v>
      </c>
      <c r="E185" s="94" t="s">
        <v>415</v>
      </c>
      <c r="F185" s="80" t="s">
        <v>139</v>
      </c>
      <c r="G185" s="81"/>
      <c r="H185" s="22" t="e">
        <f>H186</f>
        <v>#REF!</v>
      </c>
      <c r="I185" s="22"/>
      <c r="J185" s="29"/>
      <c r="K185" s="191"/>
      <c r="L185" s="191"/>
      <c r="M185" s="192" t="e">
        <f t="shared" si="29"/>
        <v>#DIV/0!</v>
      </c>
    </row>
    <row r="186" spans="1:13" ht="15.75">
      <c r="A186" s="79" t="s">
        <v>142</v>
      </c>
      <c r="B186" s="94" t="s">
        <v>128</v>
      </c>
      <c r="C186" s="80" t="s">
        <v>114</v>
      </c>
      <c r="D186" s="80" t="s">
        <v>285</v>
      </c>
      <c r="E186" s="94" t="s">
        <v>415</v>
      </c>
      <c r="F186" s="80" t="s">
        <v>143</v>
      </c>
      <c r="G186" s="81">
        <f>G187</f>
        <v>80.3</v>
      </c>
      <c r="H186" s="81" t="e">
        <f>H187</f>
        <v>#REF!</v>
      </c>
      <c r="I186" s="81">
        <f>I187</f>
        <v>0</v>
      </c>
      <c r="J186" s="81">
        <f>J187</f>
        <v>80.3</v>
      </c>
      <c r="K186" s="191"/>
      <c r="L186" s="191"/>
      <c r="M186" s="192">
        <f t="shared" si="29"/>
        <v>100</v>
      </c>
    </row>
    <row r="187" spans="1:13" ht="15.75">
      <c r="A187" s="85" t="s">
        <v>140</v>
      </c>
      <c r="B187" s="94" t="s">
        <v>128</v>
      </c>
      <c r="C187" s="80" t="s">
        <v>114</v>
      </c>
      <c r="D187" s="80" t="s">
        <v>285</v>
      </c>
      <c r="E187" s="94" t="s">
        <v>415</v>
      </c>
      <c r="F187" s="80" t="s">
        <v>141</v>
      </c>
      <c r="G187" s="81">
        <v>80.3</v>
      </c>
      <c r="H187" s="23" t="e">
        <f>H188</f>
        <v>#REF!</v>
      </c>
      <c r="I187" s="23">
        <f>I188</f>
        <v>0</v>
      </c>
      <c r="J187" s="29">
        <v>80.3</v>
      </c>
      <c r="K187" s="191"/>
      <c r="L187" s="191"/>
      <c r="M187" s="192">
        <f t="shared" si="29"/>
        <v>100</v>
      </c>
    </row>
    <row r="188" spans="1:13" ht="31.5">
      <c r="A188" s="178" t="s">
        <v>275</v>
      </c>
      <c r="B188" s="193">
        <v>951</v>
      </c>
      <c r="C188" s="194" t="s">
        <v>114</v>
      </c>
      <c r="D188" s="194" t="s">
        <v>291</v>
      </c>
      <c r="E188" s="194" t="s">
        <v>243</v>
      </c>
      <c r="F188" s="194" t="s">
        <v>315</v>
      </c>
      <c r="G188" s="173">
        <f>G189</f>
        <v>81.1625</v>
      </c>
      <c r="H188" s="173" t="e">
        <f aca="true" t="shared" si="33" ref="H188:J189">H189</f>
        <v>#REF!</v>
      </c>
      <c r="I188" s="173">
        <f t="shared" si="33"/>
        <v>0</v>
      </c>
      <c r="J188" s="173">
        <f t="shared" si="33"/>
        <v>81.1625</v>
      </c>
      <c r="K188" s="191"/>
      <c r="L188" s="191"/>
      <c r="M188" s="263">
        <f t="shared" si="29"/>
        <v>100</v>
      </c>
    </row>
    <row r="189" spans="1:13" ht="63">
      <c r="A189" s="8" t="s">
        <v>684</v>
      </c>
      <c r="B189" s="2">
        <v>951</v>
      </c>
      <c r="C189" s="3" t="s">
        <v>114</v>
      </c>
      <c r="D189" s="3" t="s">
        <v>291</v>
      </c>
      <c r="E189" s="3" t="s">
        <v>352</v>
      </c>
      <c r="F189" s="3" t="s">
        <v>315</v>
      </c>
      <c r="G189" s="22">
        <f>G190</f>
        <v>81.1625</v>
      </c>
      <c r="H189" s="22" t="e">
        <f t="shared" si="33"/>
        <v>#REF!</v>
      </c>
      <c r="I189" s="22">
        <f t="shared" si="33"/>
        <v>0</v>
      </c>
      <c r="J189" s="22">
        <f t="shared" si="33"/>
        <v>81.1625</v>
      </c>
      <c r="K189" s="191"/>
      <c r="L189" s="191"/>
      <c r="M189" s="192">
        <f t="shared" si="29"/>
        <v>100</v>
      </c>
    </row>
    <row r="190" spans="1:13" ht="31.5">
      <c r="A190" s="8" t="s">
        <v>685</v>
      </c>
      <c r="B190" s="2">
        <v>951</v>
      </c>
      <c r="C190" s="3" t="s">
        <v>114</v>
      </c>
      <c r="D190" s="3" t="s">
        <v>291</v>
      </c>
      <c r="E190" s="3" t="s">
        <v>353</v>
      </c>
      <c r="F190" s="3" t="s">
        <v>315</v>
      </c>
      <c r="G190" s="22">
        <f>G191+G193</f>
        <v>81.1625</v>
      </c>
      <c r="H190" s="22" t="e">
        <f>H191+H193</f>
        <v>#REF!</v>
      </c>
      <c r="I190" s="22">
        <f>I191+I193</f>
        <v>0</v>
      </c>
      <c r="J190" s="22">
        <f>J191+J193</f>
        <v>81.1625</v>
      </c>
      <c r="K190" s="191"/>
      <c r="L190" s="191"/>
      <c r="M190" s="192">
        <f t="shared" si="29"/>
        <v>100</v>
      </c>
    </row>
    <row r="191" spans="1:13" ht="15.75">
      <c r="A191" s="8" t="s">
        <v>142</v>
      </c>
      <c r="B191" s="2">
        <v>951</v>
      </c>
      <c r="C191" s="3" t="s">
        <v>114</v>
      </c>
      <c r="D191" s="3" t="s">
        <v>291</v>
      </c>
      <c r="E191" s="3" t="s">
        <v>353</v>
      </c>
      <c r="F191" s="3" t="s">
        <v>143</v>
      </c>
      <c r="G191" s="22">
        <f>G192</f>
        <v>78.1625</v>
      </c>
      <c r="H191" s="22" t="e">
        <f>H192</f>
        <v>#REF!</v>
      </c>
      <c r="I191" s="22">
        <f>I192</f>
        <v>0</v>
      </c>
      <c r="J191" s="22">
        <f>J192</f>
        <v>78.1625</v>
      </c>
      <c r="K191" s="191"/>
      <c r="L191" s="191"/>
      <c r="M191" s="192">
        <f t="shared" si="29"/>
        <v>100</v>
      </c>
    </row>
    <row r="192" spans="1:13" ht="47.25">
      <c r="A192" s="8" t="s">
        <v>489</v>
      </c>
      <c r="B192" s="2">
        <v>951</v>
      </c>
      <c r="C192" s="3" t="s">
        <v>114</v>
      </c>
      <c r="D192" s="3" t="s">
        <v>291</v>
      </c>
      <c r="E192" s="3" t="s">
        <v>353</v>
      </c>
      <c r="F192" s="3" t="s">
        <v>294</v>
      </c>
      <c r="G192" s="22">
        <f>197-118.8375</f>
        <v>78.1625</v>
      </c>
      <c r="H192" s="23" t="e">
        <f>#REF!</f>
        <v>#REF!</v>
      </c>
      <c r="I192" s="22"/>
      <c r="J192" s="29">
        <v>78.1625</v>
      </c>
      <c r="K192" s="191"/>
      <c r="L192" s="191"/>
      <c r="M192" s="192">
        <f t="shared" si="29"/>
        <v>100</v>
      </c>
    </row>
    <row r="193" spans="1:13" ht="31.5">
      <c r="A193" s="8" t="s">
        <v>137</v>
      </c>
      <c r="B193" s="2" t="s">
        <v>128</v>
      </c>
      <c r="C193" s="3" t="s">
        <v>114</v>
      </c>
      <c r="D193" s="3" t="s">
        <v>291</v>
      </c>
      <c r="E193" s="3" t="s">
        <v>353</v>
      </c>
      <c r="F193" s="3" t="s">
        <v>112</v>
      </c>
      <c r="G193" s="22">
        <f>G194</f>
        <v>3</v>
      </c>
      <c r="H193" s="22" t="e">
        <f>H194</f>
        <v>#REF!</v>
      </c>
      <c r="I193" s="22">
        <f>I194</f>
        <v>0</v>
      </c>
      <c r="J193" s="22">
        <f>J194</f>
        <v>3</v>
      </c>
      <c r="K193" s="191"/>
      <c r="L193" s="191"/>
      <c r="M193" s="192">
        <f t="shared" si="29"/>
        <v>100</v>
      </c>
    </row>
    <row r="194" spans="1:13" ht="47.25">
      <c r="A194" s="17" t="s">
        <v>138</v>
      </c>
      <c r="B194" s="2" t="s">
        <v>128</v>
      </c>
      <c r="C194" s="3" t="s">
        <v>114</v>
      </c>
      <c r="D194" s="3" t="s">
        <v>291</v>
      </c>
      <c r="E194" s="3" t="s">
        <v>353</v>
      </c>
      <c r="F194" s="3" t="s">
        <v>139</v>
      </c>
      <c r="G194" s="22">
        <v>3</v>
      </c>
      <c r="H194" s="23" t="e">
        <f>H195</f>
        <v>#REF!</v>
      </c>
      <c r="I194" s="23"/>
      <c r="J194" s="29">
        <v>3</v>
      </c>
      <c r="K194" s="191"/>
      <c r="L194" s="191"/>
      <c r="M194" s="192">
        <f t="shared" si="29"/>
        <v>100</v>
      </c>
    </row>
    <row r="195" spans="1:13" ht="31.5">
      <c r="A195" s="207" t="s">
        <v>295</v>
      </c>
      <c r="B195" s="187">
        <v>951</v>
      </c>
      <c r="C195" s="77" t="s">
        <v>296</v>
      </c>
      <c r="D195" s="77" t="s">
        <v>104</v>
      </c>
      <c r="E195" s="77" t="s">
        <v>243</v>
      </c>
      <c r="F195" s="77" t="s">
        <v>315</v>
      </c>
      <c r="G195" s="78">
        <f>G196+G232+G223</f>
        <v>1671.64717</v>
      </c>
      <c r="H195" s="78" t="e">
        <f>H196+H232+H223</f>
        <v>#REF!</v>
      </c>
      <c r="I195" s="78" t="e">
        <f>I196+I232+I223</f>
        <v>#REF!</v>
      </c>
      <c r="J195" s="78">
        <f>J196+J232+J223</f>
        <v>1425.6514200000001</v>
      </c>
      <c r="K195" s="191"/>
      <c r="L195" s="191"/>
      <c r="M195" s="322">
        <f t="shared" si="29"/>
        <v>85.28423016443118</v>
      </c>
    </row>
    <row r="196" spans="1:13" ht="15.75">
      <c r="A196" s="178" t="s">
        <v>276</v>
      </c>
      <c r="B196" s="193">
        <v>951</v>
      </c>
      <c r="C196" s="194" t="s">
        <v>296</v>
      </c>
      <c r="D196" s="194" t="s">
        <v>105</v>
      </c>
      <c r="E196" s="194" t="s">
        <v>243</v>
      </c>
      <c r="F196" s="194" t="s">
        <v>315</v>
      </c>
      <c r="G196" s="173">
        <f>G197+G204+G207+G210+G215+G220+G201</f>
        <v>1109.5</v>
      </c>
      <c r="H196" s="173" t="e">
        <f>H197+H204+H207+H210+H215+H220+H201</f>
        <v>#REF!</v>
      </c>
      <c r="I196" s="173" t="e">
        <f>I197+I204+I207+I210+I215+I220+I201</f>
        <v>#REF!</v>
      </c>
      <c r="J196" s="173">
        <f>J197+J204+J207+J210+J215+J220+J201</f>
        <v>925.09225</v>
      </c>
      <c r="K196" s="191"/>
      <c r="L196" s="191"/>
      <c r="M196" s="263">
        <f t="shared" si="29"/>
        <v>83.37920234339794</v>
      </c>
    </row>
    <row r="197" spans="1:13" ht="15.75" hidden="1">
      <c r="A197" s="79" t="s">
        <v>277</v>
      </c>
      <c r="B197" s="94">
        <v>951</v>
      </c>
      <c r="C197" s="80" t="s">
        <v>296</v>
      </c>
      <c r="D197" s="80" t="s">
        <v>105</v>
      </c>
      <c r="E197" s="80" t="s">
        <v>18</v>
      </c>
      <c r="F197" s="80" t="s">
        <v>315</v>
      </c>
      <c r="G197" s="81">
        <f>G198</f>
        <v>0</v>
      </c>
      <c r="H197" s="81">
        <f aca="true" t="shared" si="34" ref="H197:J199">H198</f>
        <v>90</v>
      </c>
      <c r="I197" s="81">
        <f t="shared" si="34"/>
        <v>0</v>
      </c>
      <c r="J197" s="81">
        <f t="shared" si="34"/>
        <v>0</v>
      </c>
      <c r="K197" s="191"/>
      <c r="L197" s="191"/>
      <c r="M197" s="192" t="e">
        <f t="shared" si="29"/>
        <v>#DIV/0!</v>
      </c>
    </row>
    <row r="198" spans="1:13" ht="31.5" hidden="1">
      <c r="A198" s="79" t="s">
        <v>416</v>
      </c>
      <c r="B198" s="94">
        <v>951</v>
      </c>
      <c r="C198" s="80" t="s">
        <v>296</v>
      </c>
      <c r="D198" s="80" t="s">
        <v>105</v>
      </c>
      <c r="E198" s="80" t="s">
        <v>18</v>
      </c>
      <c r="F198" s="80" t="s">
        <v>315</v>
      </c>
      <c r="G198" s="81">
        <f>G199</f>
        <v>0</v>
      </c>
      <c r="H198" s="81">
        <f t="shared" si="34"/>
        <v>90</v>
      </c>
      <c r="I198" s="81">
        <f t="shared" si="34"/>
        <v>0</v>
      </c>
      <c r="J198" s="81">
        <f t="shared" si="34"/>
        <v>0</v>
      </c>
      <c r="K198" s="191"/>
      <c r="L198" s="191"/>
      <c r="M198" s="192" t="e">
        <f t="shared" si="29"/>
        <v>#DIV/0!</v>
      </c>
    </row>
    <row r="199" spans="1:13" ht="31.5" hidden="1">
      <c r="A199" s="79" t="s">
        <v>137</v>
      </c>
      <c r="B199" s="94">
        <v>951</v>
      </c>
      <c r="C199" s="80" t="s">
        <v>296</v>
      </c>
      <c r="D199" s="80" t="s">
        <v>105</v>
      </c>
      <c r="E199" s="80" t="s">
        <v>18</v>
      </c>
      <c r="F199" s="80" t="s">
        <v>112</v>
      </c>
      <c r="G199" s="81">
        <f>G200</f>
        <v>0</v>
      </c>
      <c r="H199" s="81">
        <f t="shared" si="34"/>
        <v>90</v>
      </c>
      <c r="I199" s="81">
        <f t="shared" si="34"/>
        <v>0</v>
      </c>
      <c r="J199" s="81">
        <f t="shared" si="34"/>
        <v>0</v>
      </c>
      <c r="K199" s="191"/>
      <c r="L199" s="191"/>
      <c r="M199" s="192" t="e">
        <f t="shared" si="29"/>
        <v>#DIV/0!</v>
      </c>
    </row>
    <row r="200" spans="1:13" ht="47.25" hidden="1">
      <c r="A200" s="93" t="s">
        <v>138</v>
      </c>
      <c r="B200" s="94">
        <v>951</v>
      </c>
      <c r="C200" s="80" t="s">
        <v>296</v>
      </c>
      <c r="D200" s="80" t="s">
        <v>105</v>
      </c>
      <c r="E200" s="80" t="s">
        <v>18</v>
      </c>
      <c r="F200" s="80" t="s">
        <v>139</v>
      </c>
      <c r="G200" s="22">
        <v>0</v>
      </c>
      <c r="H200" s="22">
        <f>90</f>
        <v>90</v>
      </c>
      <c r="I200" s="22"/>
      <c r="J200" s="29"/>
      <c r="K200" s="191"/>
      <c r="L200" s="191"/>
      <c r="M200" s="192" t="e">
        <f t="shared" si="29"/>
        <v>#DIV/0!</v>
      </c>
    </row>
    <row r="201" spans="1:13" ht="15.75" hidden="1">
      <c r="A201" s="123" t="s">
        <v>302</v>
      </c>
      <c r="B201" s="209" t="s">
        <v>128</v>
      </c>
      <c r="C201" s="122" t="s">
        <v>296</v>
      </c>
      <c r="D201" s="122" t="s">
        <v>105</v>
      </c>
      <c r="E201" s="122" t="s">
        <v>20</v>
      </c>
      <c r="F201" s="122" t="s">
        <v>315</v>
      </c>
      <c r="G201" s="120">
        <f>G202</f>
        <v>0</v>
      </c>
      <c r="H201" s="22"/>
      <c r="I201" s="22"/>
      <c r="J201" s="29"/>
      <c r="K201" s="191"/>
      <c r="L201" s="191"/>
      <c r="M201" s="192" t="e">
        <f t="shared" si="29"/>
        <v>#DIV/0!</v>
      </c>
    </row>
    <row r="202" spans="1:13" ht="15.75" customHeight="1" hidden="1">
      <c r="A202" s="79" t="s">
        <v>137</v>
      </c>
      <c r="B202" s="94" t="s">
        <v>128</v>
      </c>
      <c r="C202" s="80" t="s">
        <v>296</v>
      </c>
      <c r="D202" s="80" t="s">
        <v>105</v>
      </c>
      <c r="E202" s="80" t="s">
        <v>20</v>
      </c>
      <c r="F202" s="80" t="s">
        <v>112</v>
      </c>
      <c r="G202" s="22">
        <f>G203</f>
        <v>0</v>
      </c>
      <c r="H202" s="22">
        <f>H203+H205</f>
        <v>0</v>
      </c>
      <c r="I202" s="22">
        <f>I203</f>
        <v>0</v>
      </c>
      <c r="J202" s="29"/>
      <c r="K202" s="191"/>
      <c r="L202" s="191"/>
      <c r="M202" s="192" t="e">
        <f t="shared" si="29"/>
        <v>#DIV/0!</v>
      </c>
    </row>
    <row r="203" spans="1:13" ht="47.25" hidden="1">
      <c r="A203" s="93" t="s">
        <v>138</v>
      </c>
      <c r="B203" s="94" t="s">
        <v>128</v>
      </c>
      <c r="C203" s="80" t="s">
        <v>296</v>
      </c>
      <c r="D203" s="80" t="s">
        <v>105</v>
      </c>
      <c r="E203" s="80" t="s">
        <v>20</v>
      </c>
      <c r="F203" s="80" t="s">
        <v>139</v>
      </c>
      <c r="G203" s="22"/>
      <c r="H203" s="22">
        <f>H204</f>
        <v>0</v>
      </c>
      <c r="I203" s="22">
        <f>I204</f>
        <v>0</v>
      </c>
      <c r="J203" s="29"/>
      <c r="K203" s="191"/>
      <c r="L203" s="191"/>
      <c r="M203" s="192" t="e">
        <f t="shared" si="29"/>
        <v>#DIV/0!</v>
      </c>
    </row>
    <row r="204" spans="1:13" ht="31.5">
      <c r="A204" s="79" t="s">
        <v>362</v>
      </c>
      <c r="B204" s="94">
        <v>951</v>
      </c>
      <c r="C204" s="80" t="s">
        <v>296</v>
      </c>
      <c r="D204" s="80" t="s">
        <v>105</v>
      </c>
      <c r="E204" s="80" t="s">
        <v>83</v>
      </c>
      <c r="F204" s="80" t="s">
        <v>315</v>
      </c>
      <c r="G204" s="81">
        <f aca="true" t="shared" si="35" ref="G204:J205">G205</f>
        <v>909.5</v>
      </c>
      <c r="H204" s="81">
        <f t="shared" si="35"/>
        <v>0</v>
      </c>
      <c r="I204" s="81">
        <f t="shared" si="35"/>
        <v>0</v>
      </c>
      <c r="J204" s="81">
        <f t="shared" si="35"/>
        <v>810.84612</v>
      </c>
      <c r="K204" s="191"/>
      <c r="L204" s="191"/>
      <c r="M204" s="192">
        <f t="shared" si="29"/>
        <v>89.15295437053327</v>
      </c>
    </row>
    <row r="205" spans="1:13" ht="31.5">
      <c r="A205" s="79" t="s">
        <v>137</v>
      </c>
      <c r="B205" s="94">
        <v>951</v>
      </c>
      <c r="C205" s="80" t="s">
        <v>296</v>
      </c>
      <c r="D205" s="80" t="s">
        <v>105</v>
      </c>
      <c r="E205" s="80" t="s">
        <v>83</v>
      </c>
      <c r="F205" s="80" t="s">
        <v>112</v>
      </c>
      <c r="G205" s="81">
        <f t="shared" si="35"/>
        <v>909.5</v>
      </c>
      <c r="H205" s="81">
        <f t="shared" si="35"/>
        <v>0</v>
      </c>
      <c r="I205" s="81">
        <f t="shared" si="35"/>
        <v>0</v>
      </c>
      <c r="J205" s="81">
        <f t="shared" si="35"/>
        <v>810.84612</v>
      </c>
      <c r="K205" s="191"/>
      <c r="L205" s="191"/>
      <c r="M205" s="192">
        <f t="shared" si="29"/>
        <v>89.15295437053327</v>
      </c>
    </row>
    <row r="206" spans="1:13" ht="47.25">
      <c r="A206" s="93" t="s">
        <v>138</v>
      </c>
      <c r="B206" s="94">
        <v>951</v>
      </c>
      <c r="C206" s="80" t="s">
        <v>296</v>
      </c>
      <c r="D206" s="80" t="s">
        <v>105</v>
      </c>
      <c r="E206" s="80" t="s">
        <v>83</v>
      </c>
      <c r="F206" s="80" t="s">
        <v>139</v>
      </c>
      <c r="G206" s="22">
        <f>1006.9-97.4</f>
        <v>909.5</v>
      </c>
      <c r="H206" s="22">
        <v>0</v>
      </c>
      <c r="I206" s="22"/>
      <c r="J206" s="29">
        <v>810.84612</v>
      </c>
      <c r="K206" s="191"/>
      <c r="L206" s="191"/>
      <c r="M206" s="192">
        <f t="shared" si="29"/>
        <v>89.15295437053327</v>
      </c>
    </row>
    <row r="207" spans="1:13" ht="47.25" hidden="1">
      <c r="A207" s="95" t="s">
        <v>507</v>
      </c>
      <c r="B207" s="112">
        <v>951</v>
      </c>
      <c r="C207" s="83" t="s">
        <v>296</v>
      </c>
      <c r="D207" s="83" t="s">
        <v>105</v>
      </c>
      <c r="E207" s="83" t="s">
        <v>508</v>
      </c>
      <c r="F207" s="83" t="s">
        <v>315</v>
      </c>
      <c r="G207" s="84">
        <f>G208</f>
        <v>0</v>
      </c>
      <c r="H207" s="22">
        <f aca="true" t="shared" si="36" ref="H207:I209">H208</f>
        <v>4189.972</v>
      </c>
      <c r="I207" s="22">
        <f>I208+I215</f>
        <v>0</v>
      </c>
      <c r="J207" s="29"/>
      <c r="K207" s="191"/>
      <c r="L207" s="191"/>
      <c r="M207" s="192" t="e">
        <f t="shared" si="29"/>
        <v>#DIV/0!</v>
      </c>
    </row>
    <row r="208" spans="1:13" ht="31.5" hidden="1">
      <c r="A208" s="79" t="s">
        <v>137</v>
      </c>
      <c r="B208" s="94">
        <v>951</v>
      </c>
      <c r="C208" s="80" t="s">
        <v>296</v>
      </c>
      <c r="D208" s="80" t="s">
        <v>105</v>
      </c>
      <c r="E208" s="80" t="s">
        <v>508</v>
      </c>
      <c r="F208" s="80" t="s">
        <v>112</v>
      </c>
      <c r="G208" s="81">
        <f>G209</f>
        <v>0</v>
      </c>
      <c r="H208" s="22">
        <f t="shared" si="36"/>
        <v>4189.972</v>
      </c>
      <c r="I208" s="22">
        <f t="shared" si="36"/>
        <v>0</v>
      </c>
      <c r="J208" s="29"/>
      <c r="K208" s="191"/>
      <c r="L208" s="191"/>
      <c r="M208" s="192" t="e">
        <f t="shared" si="29"/>
        <v>#DIV/0!</v>
      </c>
    </row>
    <row r="209" spans="1:13" ht="47.25" hidden="1">
      <c r="A209" s="93" t="s">
        <v>138</v>
      </c>
      <c r="B209" s="94">
        <v>951</v>
      </c>
      <c r="C209" s="80" t="s">
        <v>296</v>
      </c>
      <c r="D209" s="80" t="s">
        <v>105</v>
      </c>
      <c r="E209" s="80" t="s">
        <v>508</v>
      </c>
      <c r="F209" s="80" t="s">
        <v>139</v>
      </c>
      <c r="G209" s="81"/>
      <c r="H209" s="22">
        <f t="shared" si="36"/>
        <v>4189.972</v>
      </c>
      <c r="I209" s="22">
        <f t="shared" si="36"/>
        <v>0</v>
      </c>
      <c r="J209" s="29"/>
      <c r="K209" s="191"/>
      <c r="L209" s="191"/>
      <c r="M209" s="192" t="e">
        <f t="shared" si="29"/>
        <v>#DIV/0!</v>
      </c>
    </row>
    <row r="210" spans="1:13" ht="94.5" hidden="1">
      <c r="A210" s="82" t="s">
        <v>417</v>
      </c>
      <c r="B210" s="112" t="s">
        <v>128</v>
      </c>
      <c r="C210" s="83" t="s">
        <v>296</v>
      </c>
      <c r="D210" s="83" t="s">
        <v>105</v>
      </c>
      <c r="E210" s="83" t="s">
        <v>418</v>
      </c>
      <c r="F210" s="83" t="s">
        <v>315</v>
      </c>
      <c r="G210" s="84">
        <f>G211</f>
        <v>0</v>
      </c>
      <c r="H210" s="22">
        <f>H211+H213</f>
        <v>4189.972</v>
      </c>
      <c r="I210" s="22">
        <f>I211+I213</f>
        <v>0</v>
      </c>
      <c r="J210" s="29"/>
      <c r="K210" s="29"/>
      <c r="L210" s="191"/>
      <c r="M210" s="192" t="e">
        <f t="shared" si="29"/>
        <v>#DIV/0!</v>
      </c>
    </row>
    <row r="211" spans="1:13" ht="63" hidden="1">
      <c r="A211" s="93" t="s">
        <v>419</v>
      </c>
      <c r="B211" s="94" t="s">
        <v>128</v>
      </c>
      <c r="C211" s="80" t="s">
        <v>296</v>
      </c>
      <c r="D211" s="80" t="s">
        <v>105</v>
      </c>
      <c r="E211" s="80" t="s">
        <v>418</v>
      </c>
      <c r="F211" s="80" t="s">
        <v>315</v>
      </c>
      <c r="G211" s="81">
        <f>G212</f>
        <v>0</v>
      </c>
      <c r="H211" s="22">
        <f>H212</f>
        <v>3983.9</v>
      </c>
      <c r="I211" s="22">
        <f>I212</f>
        <v>0</v>
      </c>
      <c r="J211" s="29"/>
      <c r="K211" s="191"/>
      <c r="L211" s="191"/>
      <c r="M211" s="192" t="e">
        <f t="shared" si="29"/>
        <v>#DIV/0!</v>
      </c>
    </row>
    <row r="212" spans="1:13" ht="15.75" hidden="1">
      <c r="A212" s="79" t="s">
        <v>142</v>
      </c>
      <c r="B212" s="94" t="s">
        <v>128</v>
      </c>
      <c r="C212" s="80" t="s">
        <v>296</v>
      </c>
      <c r="D212" s="80" t="s">
        <v>105</v>
      </c>
      <c r="E212" s="80" t="s">
        <v>418</v>
      </c>
      <c r="F212" s="80" t="s">
        <v>143</v>
      </c>
      <c r="G212" s="81">
        <f>G214+G213</f>
        <v>0</v>
      </c>
      <c r="H212" s="22">
        <f>2862+45+864.3+86+26-3.4+80+24</f>
        <v>3983.9</v>
      </c>
      <c r="I212" s="22"/>
      <c r="J212" s="29"/>
      <c r="K212" s="191"/>
      <c r="L212" s="191"/>
      <c r="M212" s="192" t="e">
        <f t="shared" si="29"/>
        <v>#DIV/0!</v>
      </c>
    </row>
    <row r="213" spans="1:13" ht="63" hidden="1">
      <c r="A213" s="79" t="s">
        <v>490</v>
      </c>
      <c r="B213" s="94" t="s">
        <v>128</v>
      </c>
      <c r="C213" s="80" t="s">
        <v>296</v>
      </c>
      <c r="D213" s="80" t="s">
        <v>105</v>
      </c>
      <c r="E213" s="80" t="s">
        <v>420</v>
      </c>
      <c r="F213" s="80" t="s">
        <v>294</v>
      </c>
      <c r="G213" s="81"/>
      <c r="H213" s="22">
        <f>H214</f>
        <v>206.072</v>
      </c>
      <c r="I213" s="22">
        <f>I214</f>
        <v>0</v>
      </c>
      <c r="J213" s="29"/>
      <c r="K213" s="191"/>
      <c r="L213" s="191"/>
      <c r="M213" s="192" t="e">
        <f t="shared" si="29"/>
        <v>#DIV/0!</v>
      </c>
    </row>
    <row r="214" spans="1:13" ht="63" hidden="1">
      <c r="A214" s="79" t="s">
        <v>491</v>
      </c>
      <c r="B214" s="94" t="s">
        <v>128</v>
      </c>
      <c r="C214" s="80" t="s">
        <v>296</v>
      </c>
      <c r="D214" s="80" t="s">
        <v>105</v>
      </c>
      <c r="E214" s="3" t="s">
        <v>686</v>
      </c>
      <c r="F214" s="80" t="s">
        <v>294</v>
      </c>
      <c r="G214" s="81">
        <v>0</v>
      </c>
      <c r="H214" s="22">
        <v>206.072</v>
      </c>
      <c r="I214" s="22"/>
      <c r="J214" s="29"/>
      <c r="K214" s="191"/>
      <c r="L214" s="191"/>
      <c r="M214" s="192" t="e">
        <f t="shared" si="29"/>
        <v>#DIV/0!</v>
      </c>
    </row>
    <row r="215" spans="1:13" ht="47.25">
      <c r="A215" s="95" t="s">
        <v>106</v>
      </c>
      <c r="B215" s="94" t="s">
        <v>128</v>
      </c>
      <c r="C215" s="80" t="s">
        <v>296</v>
      </c>
      <c r="D215" s="80" t="s">
        <v>105</v>
      </c>
      <c r="E215" s="83" t="s">
        <v>7</v>
      </c>
      <c r="F215" s="83" t="s">
        <v>315</v>
      </c>
      <c r="G215" s="84">
        <f>G216</f>
        <v>120</v>
      </c>
      <c r="H215" s="84">
        <f aca="true" t="shared" si="37" ref="H215:J218">H216</f>
        <v>0</v>
      </c>
      <c r="I215" s="84">
        <f t="shared" si="37"/>
        <v>0</v>
      </c>
      <c r="J215" s="84">
        <f t="shared" si="37"/>
        <v>34.44313</v>
      </c>
      <c r="K215" s="191"/>
      <c r="L215" s="191"/>
      <c r="M215" s="192">
        <f t="shared" si="29"/>
        <v>28.70260833333333</v>
      </c>
    </row>
    <row r="216" spans="1:13" ht="47.25">
      <c r="A216" s="93" t="s">
        <v>107</v>
      </c>
      <c r="B216" s="94" t="s">
        <v>128</v>
      </c>
      <c r="C216" s="80" t="s">
        <v>296</v>
      </c>
      <c r="D216" s="80" t="s">
        <v>105</v>
      </c>
      <c r="E216" s="80" t="s">
        <v>8</v>
      </c>
      <c r="F216" s="80" t="s">
        <v>315</v>
      </c>
      <c r="G216" s="81">
        <f>G217</f>
        <v>120</v>
      </c>
      <c r="H216" s="81">
        <f t="shared" si="37"/>
        <v>0</v>
      </c>
      <c r="I216" s="81">
        <f t="shared" si="37"/>
        <v>0</v>
      </c>
      <c r="J216" s="81">
        <f t="shared" si="37"/>
        <v>34.44313</v>
      </c>
      <c r="K216" s="191"/>
      <c r="L216" s="191"/>
      <c r="M216" s="192">
        <f t="shared" si="29"/>
        <v>28.70260833333333</v>
      </c>
    </row>
    <row r="217" spans="1:13" ht="126">
      <c r="A217" s="110" t="s">
        <v>421</v>
      </c>
      <c r="B217" s="200" t="s">
        <v>128</v>
      </c>
      <c r="C217" s="88" t="s">
        <v>296</v>
      </c>
      <c r="D217" s="88" t="s">
        <v>105</v>
      </c>
      <c r="E217" s="88" t="s">
        <v>422</v>
      </c>
      <c r="F217" s="88" t="s">
        <v>315</v>
      </c>
      <c r="G217" s="89">
        <f>G218</f>
        <v>120</v>
      </c>
      <c r="H217" s="89">
        <f t="shared" si="37"/>
        <v>0</v>
      </c>
      <c r="I217" s="89">
        <f t="shared" si="37"/>
        <v>0</v>
      </c>
      <c r="J217" s="89">
        <f t="shared" si="37"/>
        <v>34.44313</v>
      </c>
      <c r="K217" s="191"/>
      <c r="L217" s="191"/>
      <c r="M217" s="192">
        <f t="shared" si="29"/>
        <v>28.70260833333333</v>
      </c>
    </row>
    <row r="218" spans="1:13" ht="31.5">
      <c r="A218" s="79" t="s">
        <v>137</v>
      </c>
      <c r="B218" s="94" t="s">
        <v>128</v>
      </c>
      <c r="C218" s="80" t="s">
        <v>296</v>
      </c>
      <c r="D218" s="80" t="s">
        <v>105</v>
      </c>
      <c r="E218" s="80" t="s">
        <v>422</v>
      </c>
      <c r="F218" s="80" t="s">
        <v>112</v>
      </c>
      <c r="G218" s="81">
        <f>G219</f>
        <v>120</v>
      </c>
      <c r="H218" s="81">
        <f t="shared" si="37"/>
        <v>0</v>
      </c>
      <c r="I218" s="81">
        <f t="shared" si="37"/>
        <v>0</v>
      </c>
      <c r="J218" s="81">
        <f t="shared" si="37"/>
        <v>34.44313</v>
      </c>
      <c r="K218" s="191"/>
      <c r="L218" s="191"/>
      <c r="M218" s="192">
        <f aca="true" t="shared" si="38" ref="M218:M264">J218/G218*100</f>
        <v>28.70260833333333</v>
      </c>
    </row>
    <row r="219" spans="1:13" ht="47.25">
      <c r="A219" s="93" t="s">
        <v>138</v>
      </c>
      <c r="B219" s="94" t="s">
        <v>128</v>
      </c>
      <c r="C219" s="80" t="s">
        <v>296</v>
      </c>
      <c r="D219" s="80" t="s">
        <v>105</v>
      </c>
      <c r="E219" s="80" t="s">
        <v>422</v>
      </c>
      <c r="F219" s="80" t="s">
        <v>139</v>
      </c>
      <c r="G219" s="81">
        <v>120</v>
      </c>
      <c r="H219" s="22"/>
      <c r="I219" s="22"/>
      <c r="J219" s="29">
        <v>34.44313</v>
      </c>
      <c r="K219" s="191"/>
      <c r="L219" s="191"/>
      <c r="M219" s="192">
        <f t="shared" si="38"/>
        <v>28.70260833333333</v>
      </c>
    </row>
    <row r="220" spans="1:13" s="195" customFormat="1" ht="94.5">
      <c r="A220" s="95" t="s">
        <v>687</v>
      </c>
      <c r="B220" s="112" t="s">
        <v>128</v>
      </c>
      <c r="C220" s="83" t="s">
        <v>296</v>
      </c>
      <c r="D220" s="83" t="s">
        <v>105</v>
      </c>
      <c r="E220" s="83" t="s">
        <v>243</v>
      </c>
      <c r="F220" s="83" t="s">
        <v>315</v>
      </c>
      <c r="G220" s="84">
        <f aca="true" t="shared" si="39" ref="G220:J221">G221</f>
        <v>80</v>
      </c>
      <c r="H220" s="84" t="e">
        <f t="shared" si="39"/>
        <v>#REF!</v>
      </c>
      <c r="I220" s="84" t="e">
        <f t="shared" si="39"/>
        <v>#REF!</v>
      </c>
      <c r="J220" s="84">
        <f t="shared" si="39"/>
        <v>79.803</v>
      </c>
      <c r="K220" s="185"/>
      <c r="L220" s="185"/>
      <c r="M220" s="192">
        <f t="shared" si="38"/>
        <v>99.75375</v>
      </c>
    </row>
    <row r="221" spans="1:13" ht="31.5">
      <c r="A221" s="125" t="s">
        <v>137</v>
      </c>
      <c r="B221" s="205" t="s">
        <v>128</v>
      </c>
      <c r="C221" s="210" t="s">
        <v>296</v>
      </c>
      <c r="D221" s="210" t="s">
        <v>105</v>
      </c>
      <c r="E221" s="80" t="s">
        <v>469</v>
      </c>
      <c r="F221" s="80" t="s">
        <v>112</v>
      </c>
      <c r="G221" s="111">
        <f t="shared" si="39"/>
        <v>80</v>
      </c>
      <c r="H221" s="111" t="e">
        <f t="shared" si="39"/>
        <v>#REF!</v>
      </c>
      <c r="I221" s="111" t="e">
        <f t="shared" si="39"/>
        <v>#REF!</v>
      </c>
      <c r="J221" s="111">
        <f t="shared" si="39"/>
        <v>79.803</v>
      </c>
      <c r="K221" s="191"/>
      <c r="L221" s="191"/>
      <c r="M221" s="192">
        <f t="shared" si="38"/>
        <v>99.75375</v>
      </c>
    </row>
    <row r="222" spans="1:13" ht="47.25">
      <c r="A222" s="211" t="s">
        <v>138</v>
      </c>
      <c r="B222" s="205" t="s">
        <v>128</v>
      </c>
      <c r="C222" s="210" t="s">
        <v>296</v>
      </c>
      <c r="D222" s="210" t="s">
        <v>105</v>
      </c>
      <c r="E222" s="80" t="s">
        <v>469</v>
      </c>
      <c r="F222" s="80" t="s">
        <v>139</v>
      </c>
      <c r="G222" s="32">
        <f>50+30</f>
        <v>80</v>
      </c>
      <c r="H222" s="32" t="e">
        <f>H223+H226</f>
        <v>#REF!</v>
      </c>
      <c r="I222" s="32" t="e">
        <f>I223+I226+I254</f>
        <v>#REF!</v>
      </c>
      <c r="J222" s="29">
        <v>79.803</v>
      </c>
      <c r="K222" s="191"/>
      <c r="L222" s="191"/>
      <c r="M222" s="192">
        <f t="shared" si="38"/>
        <v>99.75375</v>
      </c>
    </row>
    <row r="223" spans="1:13" ht="15.75">
      <c r="A223" s="197" t="s">
        <v>300</v>
      </c>
      <c r="B223" s="193">
        <v>951</v>
      </c>
      <c r="C223" s="194" t="s">
        <v>296</v>
      </c>
      <c r="D223" s="194" t="s">
        <v>110</v>
      </c>
      <c r="E223" s="194" t="s">
        <v>243</v>
      </c>
      <c r="F223" s="194" t="s">
        <v>315</v>
      </c>
      <c r="G223" s="173">
        <f>G224+G227</f>
        <v>560.3299999999999</v>
      </c>
      <c r="H223" s="173" t="e">
        <f>H224+H227</f>
        <v>#REF!</v>
      </c>
      <c r="I223" s="173">
        <f>I224+I227</f>
        <v>0</v>
      </c>
      <c r="J223" s="173">
        <f>J224+J227</f>
        <v>498.74199999999996</v>
      </c>
      <c r="K223" s="191"/>
      <c r="L223" s="191"/>
      <c r="M223" s="263">
        <f t="shared" si="38"/>
        <v>89.00861992040406</v>
      </c>
    </row>
    <row r="224" spans="1:13" ht="15.75">
      <c r="A224" s="93" t="s">
        <v>301</v>
      </c>
      <c r="B224" s="94">
        <v>951</v>
      </c>
      <c r="C224" s="80" t="s">
        <v>296</v>
      </c>
      <c r="D224" s="80" t="s">
        <v>110</v>
      </c>
      <c r="E224" s="80" t="s">
        <v>19</v>
      </c>
      <c r="F224" s="80" t="s">
        <v>315</v>
      </c>
      <c r="G224" s="81">
        <f aca="true" t="shared" si="40" ref="G224:J225">G225</f>
        <v>294.33</v>
      </c>
      <c r="H224" s="81" t="e">
        <f t="shared" si="40"/>
        <v>#REF!</v>
      </c>
      <c r="I224" s="81">
        <f t="shared" si="40"/>
        <v>0</v>
      </c>
      <c r="J224" s="81">
        <f t="shared" si="40"/>
        <v>294.322</v>
      </c>
      <c r="K224" s="191"/>
      <c r="L224" s="191"/>
      <c r="M224" s="192">
        <f t="shared" si="38"/>
        <v>99.99728196242313</v>
      </c>
    </row>
    <row r="225" spans="1:13" ht="31.5">
      <c r="A225" s="79" t="s">
        <v>137</v>
      </c>
      <c r="B225" s="94">
        <v>951</v>
      </c>
      <c r="C225" s="80" t="s">
        <v>296</v>
      </c>
      <c r="D225" s="80" t="s">
        <v>110</v>
      </c>
      <c r="E225" s="80" t="s">
        <v>19</v>
      </c>
      <c r="F225" s="80" t="s">
        <v>112</v>
      </c>
      <c r="G225" s="81">
        <f t="shared" si="40"/>
        <v>294.33</v>
      </c>
      <c r="H225" s="81" t="e">
        <f t="shared" si="40"/>
        <v>#REF!</v>
      </c>
      <c r="I225" s="81">
        <f t="shared" si="40"/>
        <v>0</v>
      </c>
      <c r="J225" s="81">
        <f t="shared" si="40"/>
        <v>294.322</v>
      </c>
      <c r="K225" s="191"/>
      <c r="L225" s="191"/>
      <c r="M225" s="192">
        <f t="shared" si="38"/>
        <v>99.99728196242313</v>
      </c>
    </row>
    <row r="226" spans="1:13" ht="47.25">
      <c r="A226" s="93" t="s">
        <v>138</v>
      </c>
      <c r="B226" s="94">
        <v>951</v>
      </c>
      <c r="C226" s="80" t="s">
        <v>296</v>
      </c>
      <c r="D226" s="80" t="s">
        <v>110</v>
      </c>
      <c r="E226" s="80" t="s">
        <v>19</v>
      </c>
      <c r="F226" s="80" t="s">
        <v>139</v>
      </c>
      <c r="G226" s="22">
        <f>90+256.65-52.32</f>
        <v>294.33</v>
      </c>
      <c r="H226" s="32" t="e">
        <f>#REF!</f>
        <v>#REF!</v>
      </c>
      <c r="I226" s="32"/>
      <c r="J226" s="29">
        <v>294.322</v>
      </c>
      <c r="K226" s="191"/>
      <c r="L226" s="191"/>
      <c r="M226" s="192">
        <f t="shared" si="38"/>
        <v>99.99728196242313</v>
      </c>
    </row>
    <row r="227" spans="1:13" ht="15.75">
      <c r="A227" s="93" t="s">
        <v>302</v>
      </c>
      <c r="B227" s="94">
        <v>951</v>
      </c>
      <c r="C227" s="80" t="s">
        <v>296</v>
      </c>
      <c r="D227" s="80" t="s">
        <v>110</v>
      </c>
      <c r="E227" s="80" t="s">
        <v>20</v>
      </c>
      <c r="F227" s="80" t="s">
        <v>315</v>
      </c>
      <c r="G227" s="81">
        <f>G228+G230</f>
        <v>266</v>
      </c>
      <c r="H227" s="81">
        <f>H228+H230</f>
        <v>0</v>
      </c>
      <c r="I227" s="81">
        <f>I228+I230</f>
        <v>0</v>
      </c>
      <c r="J227" s="81">
        <f>J228+J230</f>
        <v>204.42</v>
      </c>
      <c r="K227" s="191"/>
      <c r="L227" s="191"/>
      <c r="M227" s="192">
        <f t="shared" si="38"/>
        <v>76.84962406015036</v>
      </c>
    </row>
    <row r="228" spans="1:13" ht="31.5">
      <c r="A228" s="79" t="s">
        <v>137</v>
      </c>
      <c r="B228" s="94">
        <v>951</v>
      </c>
      <c r="C228" s="80" t="s">
        <v>296</v>
      </c>
      <c r="D228" s="80" t="s">
        <v>110</v>
      </c>
      <c r="E228" s="80" t="s">
        <v>20</v>
      </c>
      <c r="F228" s="80" t="s">
        <v>112</v>
      </c>
      <c r="G228" s="81">
        <f>G229</f>
        <v>266</v>
      </c>
      <c r="H228" s="81">
        <f>H229</f>
        <v>0</v>
      </c>
      <c r="I228" s="81">
        <f>I229</f>
        <v>0</v>
      </c>
      <c r="J228" s="81">
        <f>J229</f>
        <v>204.42</v>
      </c>
      <c r="K228" s="191"/>
      <c r="L228" s="191"/>
      <c r="M228" s="192">
        <f t="shared" si="38"/>
        <v>76.84962406015036</v>
      </c>
    </row>
    <row r="229" spans="1:13" ht="47.25">
      <c r="A229" s="93" t="s">
        <v>138</v>
      </c>
      <c r="B229" s="94">
        <v>951</v>
      </c>
      <c r="C229" s="80" t="s">
        <v>296</v>
      </c>
      <c r="D229" s="80" t="s">
        <v>110</v>
      </c>
      <c r="E229" s="80" t="s">
        <v>20</v>
      </c>
      <c r="F229" s="80" t="s">
        <v>139</v>
      </c>
      <c r="G229" s="22">
        <v>266</v>
      </c>
      <c r="H229" s="32">
        <f>H230</f>
        <v>0</v>
      </c>
      <c r="I229" s="32"/>
      <c r="J229" s="29">
        <v>204.42</v>
      </c>
      <c r="K229" s="191"/>
      <c r="L229" s="191"/>
      <c r="M229" s="192">
        <f t="shared" si="38"/>
        <v>76.84962406015036</v>
      </c>
    </row>
    <row r="230" spans="1:13" ht="47.25" hidden="1">
      <c r="A230" s="93" t="s">
        <v>440</v>
      </c>
      <c r="B230" s="94" t="s">
        <v>128</v>
      </c>
      <c r="C230" s="80" t="s">
        <v>296</v>
      </c>
      <c r="D230" s="80" t="s">
        <v>110</v>
      </c>
      <c r="E230" s="80" t="s">
        <v>20</v>
      </c>
      <c r="F230" s="80" t="s">
        <v>441</v>
      </c>
      <c r="G230" s="81">
        <f>G231</f>
        <v>0</v>
      </c>
      <c r="H230" s="32">
        <v>0</v>
      </c>
      <c r="I230" s="32"/>
      <c r="J230" s="29"/>
      <c r="K230" s="191"/>
      <c r="L230" s="191"/>
      <c r="M230" s="192" t="e">
        <f t="shared" si="38"/>
        <v>#DIV/0!</v>
      </c>
    </row>
    <row r="231" spans="1:13" ht="18.75" customHeight="1" hidden="1">
      <c r="A231" s="93" t="s">
        <v>442</v>
      </c>
      <c r="B231" s="94" t="s">
        <v>128</v>
      </c>
      <c r="C231" s="80" t="s">
        <v>296</v>
      </c>
      <c r="D231" s="80" t="s">
        <v>110</v>
      </c>
      <c r="E231" s="80" t="s">
        <v>20</v>
      </c>
      <c r="F231" s="80" t="s">
        <v>443</v>
      </c>
      <c r="G231" s="81"/>
      <c r="H231" s="23" t="e">
        <f>H232+H243+H247</f>
        <v>#REF!</v>
      </c>
      <c r="I231" s="23" t="e">
        <f>I232+I243+I247</f>
        <v>#REF!</v>
      </c>
      <c r="J231" s="29"/>
      <c r="K231" s="191"/>
      <c r="L231" s="191"/>
      <c r="M231" s="192" t="e">
        <f t="shared" si="38"/>
        <v>#DIV/0!</v>
      </c>
    </row>
    <row r="232" spans="1:13" ht="31.5">
      <c r="A232" s="178" t="s">
        <v>279</v>
      </c>
      <c r="B232" s="193">
        <v>951</v>
      </c>
      <c r="C232" s="194" t="s">
        <v>296</v>
      </c>
      <c r="D232" s="194" t="s">
        <v>296</v>
      </c>
      <c r="E232" s="194" t="s">
        <v>243</v>
      </c>
      <c r="F232" s="194" t="s">
        <v>315</v>
      </c>
      <c r="G232" s="173">
        <f aca="true" t="shared" si="41" ref="G232:J233">G233</f>
        <v>1.81717</v>
      </c>
      <c r="H232" s="173">
        <f t="shared" si="41"/>
        <v>5652.054</v>
      </c>
      <c r="I232" s="173">
        <f t="shared" si="41"/>
        <v>0</v>
      </c>
      <c r="J232" s="173">
        <f t="shared" si="41"/>
        <v>1.81717</v>
      </c>
      <c r="K232" s="191"/>
      <c r="L232" s="191"/>
      <c r="M232" s="263">
        <f t="shared" si="38"/>
        <v>100</v>
      </c>
    </row>
    <row r="233" spans="1:13" ht="57" customHeight="1">
      <c r="A233" s="79" t="s">
        <v>106</v>
      </c>
      <c r="B233" s="94">
        <v>951</v>
      </c>
      <c r="C233" s="80" t="s">
        <v>296</v>
      </c>
      <c r="D233" s="80" t="s">
        <v>296</v>
      </c>
      <c r="E233" s="80" t="s">
        <v>7</v>
      </c>
      <c r="F233" s="80" t="s">
        <v>315</v>
      </c>
      <c r="G233" s="81">
        <f t="shared" si="41"/>
        <v>1.81717</v>
      </c>
      <c r="H233" s="81">
        <f t="shared" si="41"/>
        <v>5652.054</v>
      </c>
      <c r="I233" s="81">
        <f t="shared" si="41"/>
        <v>0</v>
      </c>
      <c r="J233" s="81">
        <f t="shared" si="41"/>
        <v>1.81717</v>
      </c>
      <c r="K233" s="191"/>
      <c r="L233" s="191"/>
      <c r="M233" s="192">
        <f t="shared" si="38"/>
        <v>100</v>
      </c>
    </row>
    <row r="234" spans="1:13" ht="47.25">
      <c r="A234" s="79" t="s">
        <v>107</v>
      </c>
      <c r="B234" s="94">
        <v>951</v>
      </c>
      <c r="C234" s="80" t="s">
        <v>296</v>
      </c>
      <c r="D234" s="80" t="s">
        <v>296</v>
      </c>
      <c r="E234" s="80" t="s">
        <v>8</v>
      </c>
      <c r="F234" s="80" t="s">
        <v>315</v>
      </c>
      <c r="G234" s="81">
        <f>G235+G240</f>
        <v>1.81717</v>
      </c>
      <c r="H234" s="81">
        <f>H235+H240</f>
        <v>5652.054</v>
      </c>
      <c r="I234" s="81">
        <f>I235+I240</f>
        <v>0</v>
      </c>
      <c r="J234" s="81">
        <f>J235+J240</f>
        <v>1.81717</v>
      </c>
      <c r="K234" s="191"/>
      <c r="L234" s="191"/>
      <c r="M234" s="192">
        <f t="shared" si="38"/>
        <v>100</v>
      </c>
    </row>
    <row r="235" spans="1:13" ht="63" hidden="1">
      <c r="A235" s="79" t="s">
        <v>297</v>
      </c>
      <c r="B235" s="94">
        <v>951</v>
      </c>
      <c r="C235" s="80" t="s">
        <v>296</v>
      </c>
      <c r="D235" s="80" t="s">
        <v>296</v>
      </c>
      <c r="E235" s="80" t="s">
        <v>11</v>
      </c>
      <c r="F235" s="80" t="s">
        <v>315</v>
      </c>
      <c r="G235" s="81">
        <f>G236+G238</f>
        <v>0</v>
      </c>
      <c r="H235" s="32">
        <f>H236</f>
        <v>0</v>
      </c>
      <c r="I235" s="32"/>
      <c r="J235" s="29"/>
      <c r="K235" s="191"/>
      <c r="L235" s="191"/>
      <c r="M235" s="192" t="e">
        <f t="shared" si="38"/>
        <v>#DIV/0!</v>
      </c>
    </row>
    <row r="236" spans="1:13" ht="94.5" hidden="1">
      <c r="A236" s="79" t="s">
        <v>134</v>
      </c>
      <c r="B236" s="94">
        <v>951</v>
      </c>
      <c r="C236" s="80" t="s">
        <v>296</v>
      </c>
      <c r="D236" s="80" t="s">
        <v>296</v>
      </c>
      <c r="E236" s="80" t="s">
        <v>11</v>
      </c>
      <c r="F236" s="80" t="s">
        <v>108</v>
      </c>
      <c r="G236" s="81">
        <f>G237</f>
        <v>0</v>
      </c>
      <c r="H236" s="32">
        <v>0</v>
      </c>
      <c r="I236" s="32"/>
      <c r="J236" s="29"/>
      <c r="K236" s="191"/>
      <c r="L236" s="191"/>
      <c r="M236" s="192" t="e">
        <f t="shared" si="38"/>
        <v>#DIV/0!</v>
      </c>
    </row>
    <row r="237" spans="1:13" ht="47.25" hidden="1">
      <c r="A237" s="93" t="s">
        <v>136</v>
      </c>
      <c r="B237" s="94">
        <v>951</v>
      </c>
      <c r="C237" s="80" t="s">
        <v>296</v>
      </c>
      <c r="D237" s="80" t="s">
        <v>296</v>
      </c>
      <c r="E237" s="80" t="s">
        <v>11</v>
      </c>
      <c r="F237" s="80" t="s">
        <v>135</v>
      </c>
      <c r="G237" s="120">
        <v>0</v>
      </c>
      <c r="H237" s="32">
        <f>H238</f>
        <v>11011.815999999999</v>
      </c>
      <c r="I237" s="32"/>
      <c r="J237" s="29"/>
      <c r="K237" s="191"/>
      <c r="L237" s="191"/>
      <c r="M237" s="192" t="e">
        <f t="shared" si="38"/>
        <v>#DIV/0!</v>
      </c>
    </row>
    <row r="238" spans="1:13" ht="31.5" hidden="1">
      <c r="A238" s="79" t="s">
        <v>137</v>
      </c>
      <c r="B238" s="94">
        <v>951</v>
      </c>
      <c r="C238" s="80" t="s">
        <v>296</v>
      </c>
      <c r="D238" s="80" t="s">
        <v>296</v>
      </c>
      <c r="E238" s="80" t="s">
        <v>11</v>
      </c>
      <c r="F238" s="80" t="s">
        <v>112</v>
      </c>
      <c r="G238" s="81">
        <f>G239</f>
        <v>0</v>
      </c>
      <c r="H238" s="32">
        <f>H239</f>
        <v>11011.815999999999</v>
      </c>
      <c r="I238" s="32"/>
      <c r="J238" s="29"/>
      <c r="K238" s="191"/>
      <c r="L238" s="191"/>
      <c r="M238" s="192" t="e">
        <f t="shared" si="38"/>
        <v>#DIV/0!</v>
      </c>
    </row>
    <row r="239" spans="1:13" ht="47.25" hidden="1">
      <c r="A239" s="93" t="s">
        <v>138</v>
      </c>
      <c r="B239" s="94">
        <v>951</v>
      </c>
      <c r="C239" s="80" t="s">
        <v>296</v>
      </c>
      <c r="D239" s="80" t="s">
        <v>296</v>
      </c>
      <c r="E239" s="80" t="s">
        <v>11</v>
      </c>
      <c r="F239" s="80" t="s">
        <v>139</v>
      </c>
      <c r="G239" s="120">
        <v>0</v>
      </c>
      <c r="H239" s="22">
        <f>9282.416+273.3+710+198.5+547.6</f>
        <v>11011.815999999999</v>
      </c>
      <c r="I239" s="32"/>
      <c r="J239" s="29"/>
      <c r="K239" s="191"/>
      <c r="L239" s="191"/>
      <c r="M239" s="192" t="e">
        <f t="shared" si="38"/>
        <v>#DIV/0!</v>
      </c>
    </row>
    <row r="240" spans="1:13" ht="94.5">
      <c r="A240" s="93" t="s">
        <v>504</v>
      </c>
      <c r="B240" s="94" t="s">
        <v>128</v>
      </c>
      <c r="C240" s="80" t="s">
        <v>296</v>
      </c>
      <c r="D240" s="80" t="s">
        <v>296</v>
      </c>
      <c r="E240" s="80" t="s">
        <v>21</v>
      </c>
      <c r="F240" s="80" t="s">
        <v>315</v>
      </c>
      <c r="G240" s="81">
        <f aca="true" t="shared" si="42" ref="G240:J241">G241</f>
        <v>1.81717</v>
      </c>
      <c r="H240" s="81">
        <f t="shared" si="42"/>
        <v>5652.054</v>
      </c>
      <c r="I240" s="81">
        <f t="shared" si="42"/>
        <v>0</v>
      </c>
      <c r="J240" s="81">
        <f t="shared" si="42"/>
        <v>1.81717</v>
      </c>
      <c r="K240" s="191"/>
      <c r="L240" s="191"/>
      <c r="M240" s="192">
        <f t="shared" si="38"/>
        <v>100</v>
      </c>
    </row>
    <row r="241" spans="1:13" ht="94.5">
      <c r="A241" s="93" t="s">
        <v>278</v>
      </c>
      <c r="B241" s="94" t="s">
        <v>128</v>
      </c>
      <c r="C241" s="80" t="s">
        <v>296</v>
      </c>
      <c r="D241" s="80" t="s">
        <v>296</v>
      </c>
      <c r="E241" s="80" t="s">
        <v>21</v>
      </c>
      <c r="F241" s="80" t="s">
        <v>108</v>
      </c>
      <c r="G241" s="81">
        <f t="shared" si="42"/>
        <v>1.81717</v>
      </c>
      <c r="H241" s="81">
        <f t="shared" si="42"/>
        <v>5652.054</v>
      </c>
      <c r="I241" s="81">
        <f t="shared" si="42"/>
        <v>0</v>
      </c>
      <c r="J241" s="81">
        <f t="shared" si="42"/>
        <v>1.81717</v>
      </c>
      <c r="K241" s="191"/>
      <c r="L241" s="191"/>
      <c r="M241" s="192">
        <f t="shared" si="38"/>
        <v>100</v>
      </c>
    </row>
    <row r="242" spans="1:13" ht="47.25">
      <c r="A242" s="93" t="s">
        <v>136</v>
      </c>
      <c r="B242" s="94" t="s">
        <v>128</v>
      </c>
      <c r="C242" s="80" t="s">
        <v>296</v>
      </c>
      <c r="D242" s="80" t="s">
        <v>296</v>
      </c>
      <c r="E242" s="80" t="s">
        <v>21</v>
      </c>
      <c r="F242" s="80" t="s">
        <v>135</v>
      </c>
      <c r="G242" s="22">
        <f>1.78737+0.0298</f>
        <v>1.81717</v>
      </c>
      <c r="H242" s="22">
        <f>4030.554+196.5+305+1120</f>
        <v>5652.054</v>
      </c>
      <c r="I242" s="32"/>
      <c r="J242" s="29">
        <v>1.81717</v>
      </c>
      <c r="K242" s="191"/>
      <c r="L242" s="191"/>
      <c r="M242" s="192">
        <f t="shared" si="38"/>
        <v>100</v>
      </c>
    </row>
    <row r="243" spans="1:13" ht="31.5" hidden="1">
      <c r="A243" s="93" t="s">
        <v>137</v>
      </c>
      <c r="B243" s="94" t="s">
        <v>763</v>
      </c>
      <c r="C243" s="80" t="s">
        <v>296</v>
      </c>
      <c r="D243" s="80" t="s">
        <v>296</v>
      </c>
      <c r="E243" s="80" t="s">
        <v>21</v>
      </c>
      <c r="F243" s="80" t="s">
        <v>112</v>
      </c>
      <c r="G243" s="81">
        <f>G244</f>
        <v>0</v>
      </c>
      <c r="H243" s="28" t="e">
        <f>H244</f>
        <v>#REF!</v>
      </c>
      <c r="I243" s="28"/>
      <c r="J243" s="29"/>
      <c r="K243" s="191"/>
      <c r="L243" s="191"/>
      <c r="M243" s="192" t="e">
        <f t="shared" si="38"/>
        <v>#DIV/0!</v>
      </c>
    </row>
    <row r="244" spans="1:13" ht="47.25" hidden="1">
      <c r="A244" s="93" t="s">
        <v>138</v>
      </c>
      <c r="B244" s="94" t="s">
        <v>764</v>
      </c>
      <c r="C244" s="80" t="s">
        <v>296</v>
      </c>
      <c r="D244" s="80" t="s">
        <v>296</v>
      </c>
      <c r="E244" s="80" t="s">
        <v>21</v>
      </c>
      <c r="F244" s="80" t="s">
        <v>139</v>
      </c>
      <c r="G244" s="81"/>
      <c r="H244" s="22" t="e">
        <f>H245</f>
        <v>#REF!</v>
      </c>
      <c r="I244" s="22"/>
      <c r="J244" s="29"/>
      <c r="K244" s="191"/>
      <c r="L244" s="191"/>
      <c r="M244" s="192" t="e">
        <f t="shared" si="38"/>
        <v>#DIV/0!</v>
      </c>
    </row>
    <row r="245" spans="1:13" ht="15.75">
      <c r="A245" s="76" t="s">
        <v>688</v>
      </c>
      <c r="B245" s="212" t="s">
        <v>128</v>
      </c>
      <c r="C245" s="77" t="s">
        <v>116</v>
      </c>
      <c r="D245" s="77" t="s">
        <v>104</v>
      </c>
      <c r="E245" s="77" t="s">
        <v>243</v>
      </c>
      <c r="F245" s="77" t="s">
        <v>315</v>
      </c>
      <c r="G245" s="78">
        <f aca="true" t="shared" si="43" ref="G245:J250">G246</f>
        <v>886</v>
      </c>
      <c r="H245" s="78" t="e">
        <f t="shared" si="43"/>
        <v>#REF!</v>
      </c>
      <c r="I245" s="78" t="e">
        <f t="shared" si="43"/>
        <v>#REF!</v>
      </c>
      <c r="J245" s="78">
        <f t="shared" si="43"/>
        <v>863.05224</v>
      </c>
      <c r="K245" s="191"/>
      <c r="L245" s="191"/>
      <c r="M245" s="322">
        <f t="shared" si="38"/>
        <v>97.40995936794582</v>
      </c>
    </row>
    <row r="246" spans="1:13" ht="31.5">
      <c r="A246" s="178" t="s">
        <v>689</v>
      </c>
      <c r="B246" s="193" t="s">
        <v>128</v>
      </c>
      <c r="C246" s="194" t="s">
        <v>116</v>
      </c>
      <c r="D246" s="194" t="s">
        <v>296</v>
      </c>
      <c r="E246" s="194" t="s">
        <v>243</v>
      </c>
      <c r="F246" s="194" t="s">
        <v>315</v>
      </c>
      <c r="G246" s="173">
        <f>G247+G254</f>
        <v>886</v>
      </c>
      <c r="H246" s="173" t="e">
        <f>H247+H254</f>
        <v>#REF!</v>
      </c>
      <c r="I246" s="173" t="e">
        <f>I247+I254</f>
        <v>#REF!</v>
      </c>
      <c r="J246" s="173">
        <f>J247+J254</f>
        <v>863.05224</v>
      </c>
      <c r="K246" s="191"/>
      <c r="L246" s="191"/>
      <c r="M246" s="263">
        <f t="shared" si="38"/>
        <v>97.40995936794582</v>
      </c>
    </row>
    <row r="247" spans="1:13" ht="47.25">
      <c r="A247" s="17" t="s">
        <v>106</v>
      </c>
      <c r="B247" s="2" t="s">
        <v>128</v>
      </c>
      <c r="C247" s="3" t="s">
        <v>116</v>
      </c>
      <c r="D247" s="3" t="s">
        <v>296</v>
      </c>
      <c r="E247" s="3" t="s">
        <v>7</v>
      </c>
      <c r="F247" s="3" t="s">
        <v>315</v>
      </c>
      <c r="G247" s="22">
        <f t="shared" si="43"/>
        <v>431.0548</v>
      </c>
      <c r="H247" s="22" t="e">
        <f t="shared" si="43"/>
        <v>#REF!</v>
      </c>
      <c r="I247" s="22" t="e">
        <f t="shared" si="43"/>
        <v>#REF!</v>
      </c>
      <c r="J247" s="22">
        <f t="shared" si="43"/>
        <v>408.10704</v>
      </c>
      <c r="K247" s="191"/>
      <c r="L247" s="191"/>
      <c r="M247" s="192">
        <f t="shared" si="38"/>
        <v>94.6763706145947</v>
      </c>
    </row>
    <row r="248" spans="1:13" ht="47.25">
      <c r="A248" s="8" t="s">
        <v>107</v>
      </c>
      <c r="B248" s="2" t="s">
        <v>128</v>
      </c>
      <c r="C248" s="3" t="s">
        <v>116</v>
      </c>
      <c r="D248" s="3" t="s">
        <v>296</v>
      </c>
      <c r="E248" s="3" t="s">
        <v>8</v>
      </c>
      <c r="F248" s="3" t="s">
        <v>315</v>
      </c>
      <c r="G248" s="22">
        <f t="shared" si="43"/>
        <v>431.0548</v>
      </c>
      <c r="H248" s="22" t="e">
        <f t="shared" si="43"/>
        <v>#REF!</v>
      </c>
      <c r="I248" s="22" t="e">
        <f t="shared" si="43"/>
        <v>#REF!</v>
      </c>
      <c r="J248" s="22">
        <f t="shared" si="43"/>
        <v>408.10704</v>
      </c>
      <c r="K248" s="191"/>
      <c r="L248" s="191"/>
      <c r="M248" s="192">
        <f t="shared" si="38"/>
        <v>94.6763706145947</v>
      </c>
    </row>
    <row r="249" spans="1:13" ht="31.5">
      <c r="A249" s="8" t="s">
        <v>690</v>
      </c>
      <c r="B249" s="2" t="s">
        <v>128</v>
      </c>
      <c r="C249" s="3" t="s">
        <v>116</v>
      </c>
      <c r="D249" s="3" t="s">
        <v>296</v>
      </c>
      <c r="E249" s="3" t="s">
        <v>691</v>
      </c>
      <c r="F249" s="3" t="s">
        <v>315</v>
      </c>
      <c r="G249" s="22">
        <f t="shared" si="43"/>
        <v>431.0548</v>
      </c>
      <c r="H249" s="22" t="e">
        <f t="shared" si="43"/>
        <v>#REF!</v>
      </c>
      <c r="I249" s="22" t="e">
        <f t="shared" si="43"/>
        <v>#REF!</v>
      </c>
      <c r="J249" s="22">
        <f t="shared" si="43"/>
        <v>408.10704</v>
      </c>
      <c r="K249" s="191"/>
      <c r="L249" s="191"/>
      <c r="M249" s="192">
        <f t="shared" si="38"/>
        <v>94.6763706145947</v>
      </c>
    </row>
    <row r="250" spans="1:13" ht="31.5">
      <c r="A250" s="8" t="s">
        <v>137</v>
      </c>
      <c r="B250" s="2" t="s">
        <v>128</v>
      </c>
      <c r="C250" s="3" t="s">
        <v>116</v>
      </c>
      <c r="D250" s="3" t="s">
        <v>296</v>
      </c>
      <c r="E250" s="3" t="s">
        <v>691</v>
      </c>
      <c r="F250" s="3" t="s">
        <v>112</v>
      </c>
      <c r="G250" s="22">
        <f t="shared" si="43"/>
        <v>431.0548</v>
      </c>
      <c r="H250" s="22" t="e">
        <f t="shared" si="43"/>
        <v>#REF!</v>
      </c>
      <c r="I250" s="22" t="e">
        <f t="shared" si="43"/>
        <v>#REF!</v>
      </c>
      <c r="J250" s="22">
        <f t="shared" si="43"/>
        <v>408.10704</v>
      </c>
      <c r="K250" s="191"/>
      <c r="L250" s="191"/>
      <c r="M250" s="192">
        <f t="shared" si="38"/>
        <v>94.6763706145947</v>
      </c>
    </row>
    <row r="251" spans="1:13" ht="47.25">
      <c r="A251" s="17" t="s">
        <v>138</v>
      </c>
      <c r="B251" s="2" t="s">
        <v>128</v>
      </c>
      <c r="C251" s="3" t="s">
        <v>116</v>
      </c>
      <c r="D251" s="3" t="s">
        <v>296</v>
      </c>
      <c r="E251" s="3" t="s">
        <v>691</v>
      </c>
      <c r="F251" s="3" t="s">
        <v>139</v>
      </c>
      <c r="G251" s="22">
        <f>'[1]5'!D259</f>
        <v>431.0548</v>
      </c>
      <c r="H251" s="22" t="e">
        <f>H252</f>
        <v>#REF!</v>
      </c>
      <c r="I251" s="22" t="e">
        <f>I252</f>
        <v>#REF!</v>
      </c>
      <c r="J251" s="29">
        <v>408.10704</v>
      </c>
      <c r="K251" s="191"/>
      <c r="L251" s="191"/>
      <c r="M251" s="192">
        <f t="shared" si="38"/>
        <v>94.6763706145947</v>
      </c>
    </row>
    <row r="252" spans="1:13" ht="31.5">
      <c r="A252" s="17" t="s">
        <v>692</v>
      </c>
      <c r="B252" s="2" t="s">
        <v>128</v>
      </c>
      <c r="C252" s="3" t="s">
        <v>116</v>
      </c>
      <c r="D252" s="3" t="s">
        <v>296</v>
      </c>
      <c r="E252" s="3" t="s">
        <v>693</v>
      </c>
      <c r="F252" s="3" t="s">
        <v>315</v>
      </c>
      <c r="G252" s="22">
        <f aca="true" t="shared" si="44" ref="G252:J253">G253</f>
        <v>454.9452</v>
      </c>
      <c r="H252" s="22" t="e">
        <f t="shared" si="44"/>
        <v>#REF!</v>
      </c>
      <c r="I252" s="22" t="e">
        <f t="shared" si="44"/>
        <v>#REF!</v>
      </c>
      <c r="J252" s="22">
        <f t="shared" si="44"/>
        <v>454.9452</v>
      </c>
      <c r="K252" s="191"/>
      <c r="L252" s="191"/>
      <c r="M252" s="192">
        <f t="shared" si="38"/>
        <v>100</v>
      </c>
    </row>
    <row r="253" spans="1:13" ht="15.75">
      <c r="A253" s="93" t="s">
        <v>148</v>
      </c>
      <c r="B253" s="2" t="s">
        <v>128</v>
      </c>
      <c r="C253" s="3" t="s">
        <v>116</v>
      </c>
      <c r="D253" s="3" t="s">
        <v>296</v>
      </c>
      <c r="E253" s="3" t="s">
        <v>693</v>
      </c>
      <c r="F253" s="3" t="s">
        <v>149</v>
      </c>
      <c r="G253" s="22">
        <f t="shared" si="44"/>
        <v>454.9452</v>
      </c>
      <c r="H253" s="22" t="e">
        <f t="shared" si="44"/>
        <v>#REF!</v>
      </c>
      <c r="I253" s="22" t="e">
        <f t="shared" si="44"/>
        <v>#REF!</v>
      </c>
      <c r="J253" s="22">
        <f t="shared" si="44"/>
        <v>454.9452</v>
      </c>
      <c r="K253" s="191"/>
      <c r="L253" s="191"/>
      <c r="M253" s="192">
        <f t="shared" si="38"/>
        <v>100</v>
      </c>
    </row>
    <row r="254" spans="1:13" ht="15.75">
      <c r="A254" s="93" t="s">
        <v>226</v>
      </c>
      <c r="B254" s="2" t="s">
        <v>128</v>
      </c>
      <c r="C254" s="3" t="s">
        <v>116</v>
      </c>
      <c r="D254" s="3" t="s">
        <v>296</v>
      </c>
      <c r="E254" s="3" t="s">
        <v>693</v>
      </c>
      <c r="F254" s="3" t="s">
        <v>347</v>
      </c>
      <c r="G254" s="22">
        <f>'[1]5'!D260</f>
        <v>454.9452</v>
      </c>
      <c r="H254" s="213" t="e">
        <f>H255</f>
        <v>#REF!</v>
      </c>
      <c r="I254" s="213" t="e">
        <f>I255</f>
        <v>#REF!</v>
      </c>
      <c r="J254" s="29">
        <v>454.9452</v>
      </c>
      <c r="K254" s="191"/>
      <c r="L254" s="191"/>
      <c r="M254" s="192">
        <f t="shared" si="38"/>
        <v>100</v>
      </c>
    </row>
    <row r="255" spans="1:13" ht="15.75">
      <c r="A255" s="186" t="s">
        <v>298</v>
      </c>
      <c r="B255" s="187">
        <v>951</v>
      </c>
      <c r="C255" s="187" t="s">
        <v>299</v>
      </c>
      <c r="D255" s="187" t="s">
        <v>104</v>
      </c>
      <c r="E255" s="187" t="s">
        <v>243</v>
      </c>
      <c r="F255" s="187" t="s">
        <v>315</v>
      </c>
      <c r="G255" s="78">
        <f>G256+G276</f>
        <v>21690.06281</v>
      </c>
      <c r="H255" s="78" t="e">
        <f>H256+H276</f>
        <v>#REF!</v>
      </c>
      <c r="I255" s="78" t="e">
        <f>I256+I276</f>
        <v>#REF!</v>
      </c>
      <c r="J255" s="78">
        <f>J256+J276</f>
        <v>21522.862919999996</v>
      </c>
      <c r="K255" s="191"/>
      <c r="L255" s="191"/>
      <c r="M255" s="322">
        <f t="shared" si="38"/>
        <v>99.22914059094879</v>
      </c>
    </row>
    <row r="256" spans="1:13" ht="15.75">
      <c r="A256" s="178" t="s">
        <v>428</v>
      </c>
      <c r="B256" s="193" t="s">
        <v>128</v>
      </c>
      <c r="C256" s="194" t="s">
        <v>299</v>
      </c>
      <c r="D256" s="194" t="s">
        <v>110</v>
      </c>
      <c r="E256" s="194" t="s">
        <v>243</v>
      </c>
      <c r="F256" s="194" t="s">
        <v>315</v>
      </c>
      <c r="G256" s="173">
        <f>G257+G265+G271+G273</f>
        <v>19453.752809999998</v>
      </c>
      <c r="H256" s="173" t="e">
        <f>H257+H265+H271+H273</f>
        <v>#REF!</v>
      </c>
      <c r="I256" s="173" t="e">
        <f>I257+I265+I271+I273</f>
        <v>#REF!</v>
      </c>
      <c r="J256" s="173">
        <f>J257+J265+J271+J273</f>
        <v>19286.633919999997</v>
      </c>
      <c r="K256" s="173" t="e">
        <f>K257+#REF!+K265+K271+K273</f>
        <v>#REF!</v>
      </c>
      <c r="L256" s="173" t="e">
        <f>L257+#REF!+L265+L271+L273</f>
        <v>#REF!</v>
      </c>
      <c r="M256" s="263">
        <f t="shared" si="38"/>
        <v>99.14094266729812</v>
      </c>
    </row>
    <row r="257" spans="1:13" ht="63">
      <c r="A257" s="82" t="s">
        <v>703</v>
      </c>
      <c r="B257" s="112" t="s">
        <v>128</v>
      </c>
      <c r="C257" s="83" t="s">
        <v>299</v>
      </c>
      <c r="D257" s="83" t="s">
        <v>110</v>
      </c>
      <c r="E257" s="83" t="s">
        <v>243</v>
      </c>
      <c r="F257" s="83" t="s">
        <v>315</v>
      </c>
      <c r="G257" s="84">
        <f>G258</f>
        <v>16975.1328</v>
      </c>
      <c r="H257" s="84" t="e">
        <f>H258</f>
        <v>#REF!</v>
      </c>
      <c r="I257" s="84" t="e">
        <f>I258</f>
        <v>#REF!</v>
      </c>
      <c r="J257" s="84">
        <f>J258</f>
        <v>16808.32191</v>
      </c>
      <c r="K257" s="191"/>
      <c r="L257" s="191"/>
      <c r="M257" s="192">
        <f t="shared" si="38"/>
        <v>99.01732203237903</v>
      </c>
    </row>
    <row r="258" spans="1:13" ht="47.25">
      <c r="A258" s="214" t="s">
        <v>590</v>
      </c>
      <c r="B258" s="205" t="s">
        <v>128</v>
      </c>
      <c r="C258" s="210" t="s">
        <v>299</v>
      </c>
      <c r="D258" s="210" t="s">
        <v>110</v>
      </c>
      <c r="E258" s="210" t="s">
        <v>66</v>
      </c>
      <c r="F258" s="210" t="s">
        <v>315</v>
      </c>
      <c r="G258" s="111">
        <f>G259+G262</f>
        <v>16975.1328</v>
      </c>
      <c r="H258" s="111" t="e">
        <f>H259+H262</f>
        <v>#REF!</v>
      </c>
      <c r="I258" s="111" t="e">
        <f>I259+I262</f>
        <v>#REF!</v>
      </c>
      <c r="J258" s="111">
        <f>J259+J262</f>
        <v>16808.32191</v>
      </c>
      <c r="K258" s="191"/>
      <c r="L258" s="191"/>
      <c r="M258" s="192">
        <f t="shared" si="38"/>
        <v>99.01732203237903</v>
      </c>
    </row>
    <row r="259" spans="1:13" ht="45" customHeight="1">
      <c r="A259" s="125" t="s">
        <v>765</v>
      </c>
      <c r="B259" s="205" t="s">
        <v>128</v>
      </c>
      <c r="C259" s="210" t="s">
        <v>299</v>
      </c>
      <c r="D259" s="210" t="s">
        <v>110</v>
      </c>
      <c r="E259" s="80" t="s">
        <v>591</v>
      </c>
      <c r="F259" s="210" t="s">
        <v>315</v>
      </c>
      <c r="G259" s="32">
        <f aca="true" t="shared" si="45" ref="G259:J260">G260</f>
        <v>11232.588600000001</v>
      </c>
      <c r="H259" s="32" t="e">
        <f t="shared" si="45"/>
        <v>#REF!</v>
      </c>
      <c r="I259" s="32" t="e">
        <f t="shared" si="45"/>
        <v>#REF!</v>
      </c>
      <c r="J259" s="32">
        <f t="shared" si="45"/>
        <v>11075.94603</v>
      </c>
      <c r="K259" s="191"/>
      <c r="L259" s="191"/>
      <c r="M259" s="192">
        <f t="shared" si="38"/>
        <v>98.60546330344546</v>
      </c>
    </row>
    <row r="260" spans="1:13" ht="47.25">
      <c r="A260" s="125" t="s">
        <v>160</v>
      </c>
      <c r="B260" s="205" t="s">
        <v>128</v>
      </c>
      <c r="C260" s="210" t="s">
        <v>299</v>
      </c>
      <c r="D260" s="210" t="s">
        <v>110</v>
      </c>
      <c r="E260" s="80" t="s">
        <v>591</v>
      </c>
      <c r="F260" s="210" t="s">
        <v>161</v>
      </c>
      <c r="G260" s="32">
        <f t="shared" si="45"/>
        <v>11232.588600000001</v>
      </c>
      <c r="H260" s="32" t="e">
        <f t="shared" si="45"/>
        <v>#REF!</v>
      </c>
      <c r="I260" s="32" t="e">
        <f t="shared" si="45"/>
        <v>#REF!</v>
      </c>
      <c r="J260" s="32">
        <f t="shared" si="45"/>
        <v>11075.94603</v>
      </c>
      <c r="K260" s="191"/>
      <c r="L260" s="191"/>
      <c r="M260" s="192">
        <f t="shared" si="38"/>
        <v>98.60546330344546</v>
      </c>
    </row>
    <row r="261" spans="1:13" ht="15.75">
      <c r="A261" s="125" t="s">
        <v>162</v>
      </c>
      <c r="B261" s="205" t="s">
        <v>128</v>
      </c>
      <c r="C261" s="210" t="s">
        <v>299</v>
      </c>
      <c r="D261" s="210" t="s">
        <v>110</v>
      </c>
      <c r="E261" s="80" t="s">
        <v>591</v>
      </c>
      <c r="F261" s="210" t="s">
        <v>220</v>
      </c>
      <c r="G261" s="22">
        <f>8679.221+372+1134.2+123.6+923.5676</f>
        <v>11232.588600000001</v>
      </c>
      <c r="H261" s="22" t="e">
        <f>H262</f>
        <v>#REF!</v>
      </c>
      <c r="I261" s="22" t="e">
        <f>I262</f>
        <v>#REF!</v>
      </c>
      <c r="J261" s="29">
        <v>11075.94603</v>
      </c>
      <c r="K261" s="191"/>
      <c r="L261" s="191"/>
      <c r="M261" s="192">
        <f t="shared" si="38"/>
        <v>98.60546330344546</v>
      </c>
    </row>
    <row r="262" spans="1:13" ht="31.5">
      <c r="A262" s="125" t="s">
        <v>766</v>
      </c>
      <c r="B262" s="205" t="s">
        <v>128</v>
      </c>
      <c r="C262" s="210" t="s">
        <v>299</v>
      </c>
      <c r="D262" s="210" t="s">
        <v>110</v>
      </c>
      <c r="E262" s="80" t="s">
        <v>592</v>
      </c>
      <c r="F262" s="210" t="s">
        <v>315</v>
      </c>
      <c r="G262" s="32">
        <f aca="true" t="shared" si="46" ref="G262:J263">G263</f>
        <v>5742.5442</v>
      </c>
      <c r="H262" s="32" t="e">
        <f t="shared" si="46"/>
        <v>#REF!</v>
      </c>
      <c r="I262" s="32" t="e">
        <f t="shared" si="46"/>
        <v>#REF!</v>
      </c>
      <c r="J262" s="32">
        <f t="shared" si="46"/>
        <v>5732.37588</v>
      </c>
      <c r="K262" s="191"/>
      <c r="L262" s="191"/>
      <c r="M262" s="192">
        <f t="shared" si="38"/>
        <v>99.8229300525018</v>
      </c>
    </row>
    <row r="263" spans="1:13" ht="47.25">
      <c r="A263" s="125" t="s">
        <v>160</v>
      </c>
      <c r="B263" s="205" t="s">
        <v>128</v>
      </c>
      <c r="C263" s="210" t="s">
        <v>299</v>
      </c>
      <c r="D263" s="210" t="s">
        <v>110</v>
      </c>
      <c r="E263" s="80" t="s">
        <v>592</v>
      </c>
      <c r="F263" s="210" t="s">
        <v>161</v>
      </c>
      <c r="G263" s="32">
        <f t="shared" si="46"/>
        <v>5742.5442</v>
      </c>
      <c r="H263" s="32" t="e">
        <f t="shared" si="46"/>
        <v>#REF!</v>
      </c>
      <c r="I263" s="32" t="e">
        <f t="shared" si="46"/>
        <v>#REF!</v>
      </c>
      <c r="J263" s="32">
        <f t="shared" si="46"/>
        <v>5732.37588</v>
      </c>
      <c r="K263" s="191"/>
      <c r="L263" s="191"/>
      <c r="M263" s="192">
        <f t="shared" si="38"/>
        <v>99.8229300525018</v>
      </c>
    </row>
    <row r="264" spans="1:13" ht="17.25" customHeight="1">
      <c r="A264" s="125" t="s">
        <v>162</v>
      </c>
      <c r="B264" s="205" t="s">
        <v>128</v>
      </c>
      <c r="C264" s="210" t="s">
        <v>299</v>
      </c>
      <c r="D264" s="210" t="s">
        <v>110</v>
      </c>
      <c r="E264" s="80" t="s">
        <v>592</v>
      </c>
      <c r="F264" s="210" t="s">
        <v>220</v>
      </c>
      <c r="G264" s="22">
        <f>3629.112+300+352.9+56.3+1404.2322</f>
        <v>5742.5442</v>
      </c>
      <c r="H264" s="22" t="e">
        <f>#REF!+#REF!</f>
        <v>#REF!</v>
      </c>
      <c r="I264" s="22" t="e">
        <f>#REF!+#REF!</f>
        <v>#REF!</v>
      </c>
      <c r="J264" s="29">
        <v>5732.37588</v>
      </c>
      <c r="K264" s="191"/>
      <c r="L264" s="191"/>
      <c r="M264" s="192">
        <f t="shared" si="38"/>
        <v>99.8229300525018</v>
      </c>
    </row>
    <row r="265" spans="1:13" ht="63">
      <c r="A265" s="82" t="s">
        <v>360</v>
      </c>
      <c r="B265" s="205" t="s">
        <v>128</v>
      </c>
      <c r="C265" s="210" t="s">
        <v>299</v>
      </c>
      <c r="D265" s="210" t="s">
        <v>110</v>
      </c>
      <c r="E265" s="83" t="s">
        <v>243</v>
      </c>
      <c r="F265" s="83" t="s">
        <v>315</v>
      </c>
      <c r="G265" s="23">
        <f aca="true" t="shared" si="47" ref="G265:L265">G266</f>
        <v>1010.10101</v>
      </c>
      <c r="H265" s="23">
        <f t="shared" si="47"/>
        <v>0</v>
      </c>
      <c r="I265" s="23">
        <f t="shared" si="47"/>
        <v>0</v>
      </c>
      <c r="J265" s="23">
        <f t="shared" si="47"/>
        <v>1010.10101</v>
      </c>
      <c r="K265" s="23">
        <f t="shared" si="47"/>
        <v>0</v>
      </c>
      <c r="L265" s="23">
        <f t="shared" si="47"/>
        <v>0</v>
      </c>
      <c r="M265" s="192">
        <f aca="true" t="shared" si="48" ref="M265:M303">J265/G265*100</f>
        <v>100</v>
      </c>
    </row>
    <row r="266" spans="1:13" ht="16.5" customHeight="1">
      <c r="A266" s="216" t="s">
        <v>446</v>
      </c>
      <c r="B266" s="200" t="s">
        <v>128</v>
      </c>
      <c r="C266" s="88" t="s">
        <v>299</v>
      </c>
      <c r="D266" s="88" t="s">
        <v>110</v>
      </c>
      <c r="E266" s="88" t="s">
        <v>243</v>
      </c>
      <c r="F266" s="88" t="s">
        <v>315</v>
      </c>
      <c r="G266" s="28">
        <f>G267+G269</f>
        <v>1010.10101</v>
      </c>
      <c r="H266" s="28">
        <f>H267+H269</f>
        <v>0</v>
      </c>
      <c r="I266" s="28">
        <f>I267+I269</f>
        <v>0</v>
      </c>
      <c r="J266" s="28">
        <f>J267+J269</f>
        <v>1010.10101</v>
      </c>
      <c r="K266" s="191"/>
      <c r="L266" s="191"/>
      <c r="M266" s="192">
        <f t="shared" si="48"/>
        <v>100</v>
      </c>
    </row>
    <row r="267" spans="1:13" ht="110.25">
      <c r="A267" s="79" t="s">
        <v>774</v>
      </c>
      <c r="B267" s="94" t="s">
        <v>128</v>
      </c>
      <c r="C267" s="80" t="s">
        <v>299</v>
      </c>
      <c r="D267" s="80" t="s">
        <v>110</v>
      </c>
      <c r="E267" s="80" t="s">
        <v>500</v>
      </c>
      <c r="F267" s="80" t="s">
        <v>161</v>
      </c>
      <c r="G267" s="81">
        <f>G268</f>
        <v>1000</v>
      </c>
      <c r="H267" s="81">
        <f>H268</f>
        <v>0</v>
      </c>
      <c r="I267" s="81">
        <f>I268</f>
        <v>0</v>
      </c>
      <c r="J267" s="81">
        <f>J268</f>
        <v>1000</v>
      </c>
      <c r="K267" s="191"/>
      <c r="L267" s="191"/>
      <c r="M267" s="192">
        <f t="shared" si="48"/>
        <v>100</v>
      </c>
    </row>
    <row r="268" spans="1:13" ht="15.75">
      <c r="A268" s="79" t="s">
        <v>162</v>
      </c>
      <c r="B268" s="94" t="s">
        <v>128</v>
      </c>
      <c r="C268" s="80" t="s">
        <v>299</v>
      </c>
      <c r="D268" s="80" t="s">
        <v>110</v>
      </c>
      <c r="E268" s="80" t="s">
        <v>500</v>
      </c>
      <c r="F268" s="80" t="s">
        <v>220</v>
      </c>
      <c r="G268" s="81">
        <v>1000</v>
      </c>
      <c r="H268" s="23">
        <f>H269</f>
        <v>0</v>
      </c>
      <c r="I268" s="23">
        <f>I269</f>
        <v>0</v>
      </c>
      <c r="J268" s="29">
        <v>1000</v>
      </c>
      <c r="K268" s="191"/>
      <c r="L268" s="191"/>
      <c r="M268" s="192">
        <f t="shared" si="48"/>
        <v>100</v>
      </c>
    </row>
    <row r="269" spans="1:13" ht="126">
      <c r="A269" s="79" t="s">
        <v>775</v>
      </c>
      <c r="B269" s="94" t="s">
        <v>128</v>
      </c>
      <c r="C269" s="80" t="s">
        <v>299</v>
      </c>
      <c r="D269" s="80" t="s">
        <v>110</v>
      </c>
      <c r="E269" s="3" t="s">
        <v>706</v>
      </c>
      <c r="F269" s="80" t="s">
        <v>161</v>
      </c>
      <c r="G269" s="81">
        <f>G270</f>
        <v>10.10101</v>
      </c>
      <c r="H269" s="81">
        <f>H270</f>
        <v>0</v>
      </c>
      <c r="I269" s="81">
        <f>I270</f>
        <v>0</v>
      </c>
      <c r="J269" s="81">
        <f>J270</f>
        <v>10.10101</v>
      </c>
      <c r="K269" s="191"/>
      <c r="L269" s="191"/>
      <c r="M269" s="192">
        <f t="shared" si="48"/>
        <v>100</v>
      </c>
    </row>
    <row r="270" spans="1:13" ht="15.75">
      <c r="A270" s="79" t="s">
        <v>162</v>
      </c>
      <c r="B270" s="94" t="s">
        <v>128</v>
      </c>
      <c r="C270" s="80" t="s">
        <v>299</v>
      </c>
      <c r="D270" s="80" t="s">
        <v>110</v>
      </c>
      <c r="E270" s="3" t="s">
        <v>706</v>
      </c>
      <c r="F270" s="80" t="s">
        <v>220</v>
      </c>
      <c r="G270" s="81">
        <v>10.10101</v>
      </c>
      <c r="H270" s="22"/>
      <c r="I270" s="22"/>
      <c r="J270" s="29">
        <v>10.10101</v>
      </c>
      <c r="K270" s="191"/>
      <c r="L270" s="191"/>
      <c r="M270" s="192">
        <f t="shared" si="48"/>
        <v>100</v>
      </c>
    </row>
    <row r="271" spans="1:13" ht="47.25">
      <c r="A271" s="82" t="s">
        <v>545</v>
      </c>
      <c r="B271" s="112" t="s">
        <v>128</v>
      </c>
      <c r="C271" s="83" t="s">
        <v>299</v>
      </c>
      <c r="D271" s="83" t="s">
        <v>110</v>
      </c>
      <c r="E271" s="83" t="s">
        <v>704</v>
      </c>
      <c r="F271" s="83" t="s">
        <v>161</v>
      </c>
      <c r="G271" s="84">
        <f>G272</f>
        <v>1200</v>
      </c>
      <c r="H271" s="84">
        <f>H272</f>
        <v>1200</v>
      </c>
      <c r="I271" s="84">
        <f>I272</f>
        <v>1200</v>
      </c>
      <c r="J271" s="84">
        <f>J272</f>
        <v>1199.692</v>
      </c>
      <c r="K271" s="191"/>
      <c r="L271" s="191"/>
      <c r="M271" s="192">
        <f t="shared" si="48"/>
        <v>99.97433333333333</v>
      </c>
    </row>
    <row r="272" spans="1:13" ht="47.25">
      <c r="A272" s="79" t="s">
        <v>705</v>
      </c>
      <c r="B272" s="94" t="s">
        <v>128</v>
      </c>
      <c r="C272" s="80" t="s">
        <v>299</v>
      </c>
      <c r="D272" s="80" t="s">
        <v>110</v>
      </c>
      <c r="E272" s="3" t="s">
        <v>704</v>
      </c>
      <c r="F272" s="3" t="s">
        <v>220</v>
      </c>
      <c r="G272" s="22">
        <f>600+600</f>
        <v>1200</v>
      </c>
      <c r="H272" s="22">
        <f>600+600</f>
        <v>1200</v>
      </c>
      <c r="I272" s="22">
        <f>600+600</f>
        <v>1200</v>
      </c>
      <c r="J272" s="22">
        <v>1199.692</v>
      </c>
      <c r="K272" s="191"/>
      <c r="L272" s="191"/>
      <c r="M272" s="192">
        <f t="shared" si="48"/>
        <v>99.97433333333333</v>
      </c>
    </row>
    <row r="273" spans="1:13" ht="94.5">
      <c r="A273" s="82" t="s">
        <v>707</v>
      </c>
      <c r="B273" s="94" t="s">
        <v>128</v>
      </c>
      <c r="C273" s="80" t="s">
        <v>299</v>
      </c>
      <c r="D273" s="80" t="s">
        <v>110</v>
      </c>
      <c r="E273" s="3" t="s">
        <v>708</v>
      </c>
      <c r="F273" s="9" t="s">
        <v>315</v>
      </c>
      <c r="G273" s="23">
        <f aca="true" t="shared" si="49" ref="G273:J274">G274</f>
        <v>268.519</v>
      </c>
      <c r="H273" s="23">
        <f t="shared" si="49"/>
        <v>0</v>
      </c>
      <c r="I273" s="23">
        <f t="shared" si="49"/>
        <v>0</v>
      </c>
      <c r="J273" s="23">
        <f t="shared" si="49"/>
        <v>268.519</v>
      </c>
      <c r="K273" s="191"/>
      <c r="L273" s="191"/>
      <c r="M273" s="192">
        <f t="shared" si="48"/>
        <v>100</v>
      </c>
    </row>
    <row r="274" spans="1:13" s="195" customFormat="1" ht="31.5">
      <c r="A274" s="79" t="s">
        <v>709</v>
      </c>
      <c r="B274" s="94" t="s">
        <v>128</v>
      </c>
      <c r="C274" s="80" t="s">
        <v>299</v>
      </c>
      <c r="D274" s="80" t="s">
        <v>110</v>
      </c>
      <c r="E274" s="3" t="s">
        <v>708</v>
      </c>
      <c r="F274" s="3" t="s">
        <v>161</v>
      </c>
      <c r="G274" s="22">
        <f t="shared" si="49"/>
        <v>268.519</v>
      </c>
      <c r="H274" s="22">
        <f t="shared" si="49"/>
        <v>0</v>
      </c>
      <c r="I274" s="22">
        <f t="shared" si="49"/>
        <v>0</v>
      </c>
      <c r="J274" s="22">
        <f t="shared" si="49"/>
        <v>268.519</v>
      </c>
      <c r="K274" s="185"/>
      <c r="L274" s="185"/>
      <c r="M274" s="192">
        <f t="shared" si="48"/>
        <v>100</v>
      </c>
    </row>
    <row r="275" spans="1:13" ht="31.5">
      <c r="A275" s="79" t="s">
        <v>710</v>
      </c>
      <c r="B275" s="94" t="s">
        <v>128</v>
      </c>
      <c r="C275" s="80" t="s">
        <v>299</v>
      </c>
      <c r="D275" s="80" t="s">
        <v>110</v>
      </c>
      <c r="E275" s="3" t="s">
        <v>708</v>
      </c>
      <c r="F275" s="3" t="s">
        <v>220</v>
      </c>
      <c r="G275" s="22">
        <f>280-11.481</f>
        <v>268.519</v>
      </c>
      <c r="H275" s="22">
        <v>0</v>
      </c>
      <c r="I275" s="22">
        <f>I276</f>
        <v>0</v>
      </c>
      <c r="J275" s="29">
        <v>268.519</v>
      </c>
      <c r="K275" s="191"/>
      <c r="L275" s="191"/>
      <c r="M275" s="192">
        <f t="shared" si="48"/>
        <v>100</v>
      </c>
    </row>
    <row r="276" spans="1:13" ht="15.75">
      <c r="A276" s="178" t="s">
        <v>280</v>
      </c>
      <c r="B276" s="193" t="s">
        <v>128</v>
      </c>
      <c r="C276" s="194" t="s">
        <v>299</v>
      </c>
      <c r="D276" s="194" t="s">
        <v>285</v>
      </c>
      <c r="E276" s="194" t="s">
        <v>243</v>
      </c>
      <c r="F276" s="194" t="s">
        <v>315</v>
      </c>
      <c r="G276" s="173">
        <f>G277+G281+G284</f>
        <v>2236.31</v>
      </c>
      <c r="H276" s="173" t="e">
        <f>H277+H281+H284</f>
        <v>#REF!</v>
      </c>
      <c r="I276" s="173">
        <f>I277+I281+I284</f>
        <v>0</v>
      </c>
      <c r="J276" s="173">
        <f>J277+J281+J284</f>
        <v>2236.229</v>
      </c>
      <c r="K276" s="191"/>
      <c r="L276" s="191"/>
      <c r="M276" s="263">
        <f t="shared" si="48"/>
        <v>99.99637796191047</v>
      </c>
    </row>
    <row r="277" spans="1:13" ht="18" customHeight="1">
      <c r="A277" s="217" t="s">
        <v>673</v>
      </c>
      <c r="B277" s="40">
        <v>951</v>
      </c>
      <c r="C277" s="9" t="s">
        <v>299</v>
      </c>
      <c r="D277" s="9" t="s">
        <v>285</v>
      </c>
      <c r="E277" s="9" t="s">
        <v>22</v>
      </c>
      <c r="F277" s="9" t="s">
        <v>315</v>
      </c>
      <c r="G277" s="23">
        <f>G278</f>
        <v>111</v>
      </c>
      <c r="H277" s="23">
        <f aca="true" t="shared" si="50" ref="H277:J279">H278</f>
        <v>30.16877</v>
      </c>
      <c r="I277" s="23">
        <f t="shared" si="50"/>
        <v>0</v>
      </c>
      <c r="J277" s="23">
        <f t="shared" si="50"/>
        <v>110.919</v>
      </c>
      <c r="K277" s="191"/>
      <c r="L277" s="191"/>
      <c r="M277" s="192">
        <f t="shared" si="48"/>
        <v>99.92702702702702</v>
      </c>
    </row>
    <row r="278" spans="1:13" ht="31.5">
      <c r="A278" s="218" t="s">
        <v>351</v>
      </c>
      <c r="B278" s="112">
        <v>951</v>
      </c>
      <c r="C278" s="83" t="s">
        <v>299</v>
      </c>
      <c r="D278" s="83" t="s">
        <v>285</v>
      </c>
      <c r="E278" s="83" t="s">
        <v>23</v>
      </c>
      <c r="F278" s="83" t="s">
        <v>315</v>
      </c>
      <c r="G278" s="84">
        <f>G279</f>
        <v>111</v>
      </c>
      <c r="H278" s="84">
        <f t="shared" si="50"/>
        <v>30.16877</v>
      </c>
      <c r="I278" s="84">
        <f t="shared" si="50"/>
        <v>0</v>
      </c>
      <c r="J278" s="84">
        <f t="shared" si="50"/>
        <v>110.919</v>
      </c>
      <c r="K278" s="191"/>
      <c r="L278" s="191"/>
      <c r="M278" s="192">
        <f t="shared" si="48"/>
        <v>99.92702702702702</v>
      </c>
    </row>
    <row r="279" spans="1:13" ht="48" customHeight="1">
      <c r="A279" s="125" t="s">
        <v>137</v>
      </c>
      <c r="B279" s="205">
        <v>951</v>
      </c>
      <c r="C279" s="210" t="s">
        <v>299</v>
      </c>
      <c r="D279" s="210" t="s">
        <v>285</v>
      </c>
      <c r="E279" s="210" t="s">
        <v>26</v>
      </c>
      <c r="F279" s="210" t="s">
        <v>112</v>
      </c>
      <c r="G279" s="111">
        <f>G280</f>
        <v>111</v>
      </c>
      <c r="H279" s="111">
        <f t="shared" si="50"/>
        <v>30.16877</v>
      </c>
      <c r="I279" s="111">
        <f t="shared" si="50"/>
        <v>0</v>
      </c>
      <c r="J279" s="111">
        <f t="shared" si="50"/>
        <v>110.919</v>
      </c>
      <c r="K279" s="191"/>
      <c r="L279" s="191"/>
      <c r="M279" s="192">
        <f t="shared" si="48"/>
        <v>99.92702702702702</v>
      </c>
    </row>
    <row r="280" spans="1:13" ht="15.75" customHeight="1">
      <c r="A280" s="211" t="s">
        <v>138</v>
      </c>
      <c r="B280" s="205">
        <v>951</v>
      </c>
      <c r="C280" s="210" t="s">
        <v>299</v>
      </c>
      <c r="D280" s="210" t="s">
        <v>285</v>
      </c>
      <c r="E280" s="210" t="s">
        <v>26</v>
      </c>
      <c r="F280" s="210" t="s">
        <v>139</v>
      </c>
      <c r="G280" s="111">
        <v>111</v>
      </c>
      <c r="H280" s="22">
        <f>30.30303-0.13426</f>
        <v>30.16877</v>
      </c>
      <c r="I280" s="22">
        <v>0</v>
      </c>
      <c r="J280" s="29">
        <v>110.919</v>
      </c>
      <c r="K280" s="191"/>
      <c r="L280" s="191"/>
      <c r="M280" s="192">
        <f t="shared" si="48"/>
        <v>99.92702702702702</v>
      </c>
    </row>
    <row r="281" spans="1:13" ht="18" customHeight="1">
      <c r="A281" s="82" t="s">
        <v>621</v>
      </c>
      <c r="B281" s="112">
        <v>951</v>
      </c>
      <c r="C281" s="83" t="s">
        <v>299</v>
      </c>
      <c r="D281" s="83" t="s">
        <v>285</v>
      </c>
      <c r="E281" s="83" t="s">
        <v>594</v>
      </c>
      <c r="F281" s="83" t="s">
        <v>315</v>
      </c>
      <c r="G281" s="84">
        <f aca="true" t="shared" si="51" ref="G281:J282">G282</f>
        <v>40</v>
      </c>
      <c r="H281" s="84" t="e">
        <f t="shared" si="51"/>
        <v>#REF!</v>
      </c>
      <c r="I281" s="84">
        <f t="shared" si="51"/>
        <v>0</v>
      </c>
      <c r="J281" s="84">
        <f t="shared" si="51"/>
        <v>40</v>
      </c>
      <c r="K281" s="191"/>
      <c r="L281" s="191"/>
      <c r="M281" s="192">
        <f t="shared" si="48"/>
        <v>100</v>
      </c>
    </row>
    <row r="282" spans="1:13" ht="31.5">
      <c r="A282" s="79" t="s">
        <v>137</v>
      </c>
      <c r="B282" s="112">
        <v>951</v>
      </c>
      <c r="C282" s="210" t="s">
        <v>299</v>
      </c>
      <c r="D282" s="210" t="s">
        <v>285</v>
      </c>
      <c r="E282" s="80" t="s">
        <v>596</v>
      </c>
      <c r="F282" s="80" t="s">
        <v>112</v>
      </c>
      <c r="G282" s="81">
        <f t="shared" si="51"/>
        <v>40</v>
      </c>
      <c r="H282" s="81" t="e">
        <f t="shared" si="51"/>
        <v>#REF!</v>
      </c>
      <c r="I282" s="81">
        <f t="shared" si="51"/>
        <v>0</v>
      </c>
      <c r="J282" s="81">
        <f t="shared" si="51"/>
        <v>40</v>
      </c>
      <c r="K282" s="191"/>
      <c r="L282" s="191"/>
      <c r="M282" s="192">
        <f t="shared" si="48"/>
        <v>100</v>
      </c>
    </row>
    <row r="283" spans="1:13" ht="45.75" customHeight="1">
      <c r="A283" s="93" t="s">
        <v>138</v>
      </c>
      <c r="B283" s="112">
        <v>951</v>
      </c>
      <c r="C283" s="210" t="s">
        <v>299</v>
      </c>
      <c r="D283" s="210" t="s">
        <v>285</v>
      </c>
      <c r="E283" s="80" t="s">
        <v>596</v>
      </c>
      <c r="F283" s="80" t="s">
        <v>139</v>
      </c>
      <c r="G283" s="81">
        <v>40</v>
      </c>
      <c r="H283" s="22" t="e">
        <f>#REF!</f>
        <v>#REF!</v>
      </c>
      <c r="I283" s="22"/>
      <c r="J283" s="29">
        <v>40</v>
      </c>
      <c r="K283" s="191"/>
      <c r="L283" s="191"/>
      <c r="M283" s="192">
        <f t="shared" si="48"/>
        <v>100</v>
      </c>
    </row>
    <row r="284" spans="1:13" ht="30">
      <c r="A284" s="257" t="s">
        <v>106</v>
      </c>
      <c r="B284" s="258">
        <v>951</v>
      </c>
      <c r="C284" s="259" t="s">
        <v>299</v>
      </c>
      <c r="D284" s="259" t="s">
        <v>285</v>
      </c>
      <c r="E284" s="259" t="s">
        <v>7</v>
      </c>
      <c r="F284" s="259" t="s">
        <v>315</v>
      </c>
      <c r="G284" s="81">
        <f aca="true" t="shared" si="52" ref="G284:J285">G285</f>
        <v>2085.31</v>
      </c>
      <c r="H284" s="81">
        <f t="shared" si="52"/>
        <v>7659.74</v>
      </c>
      <c r="I284" s="81">
        <f t="shared" si="52"/>
        <v>0</v>
      </c>
      <c r="J284" s="81">
        <f t="shared" si="52"/>
        <v>2085.31</v>
      </c>
      <c r="K284" s="191"/>
      <c r="L284" s="191"/>
      <c r="M284" s="192">
        <f t="shared" si="48"/>
        <v>100</v>
      </c>
    </row>
    <row r="285" spans="1:13" ht="45.75" customHeight="1">
      <c r="A285" s="260" t="s">
        <v>107</v>
      </c>
      <c r="B285" s="258">
        <v>951</v>
      </c>
      <c r="C285" s="259" t="s">
        <v>299</v>
      </c>
      <c r="D285" s="259" t="s">
        <v>285</v>
      </c>
      <c r="E285" s="259" t="s">
        <v>8</v>
      </c>
      <c r="F285" s="259" t="s">
        <v>315</v>
      </c>
      <c r="G285" s="81">
        <f t="shared" si="52"/>
        <v>2085.31</v>
      </c>
      <c r="H285" s="81">
        <f t="shared" si="52"/>
        <v>7659.74</v>
      </c>
      <c r="I285" s="81">
        <f t="shared" si="52"/>
        <v>0</v>
      </c>
      <c r="J285" s="81">
        <f t="shared" si="52"/>
        <v>2085.31</v>
      </c>
      <c r="K285" s="191"/>
      <c r="L285" s="191"/>
      <c r="M285" s="192">
        <f t="shared" si="48"/>
        <v>100</v>
      </c>
    </row>
    <row r="286" spans="1:13" ht="75">
      <c r="A286" s="261" t="s">
        <v>477</v>
      </c>
      <c r="B286" s="262">
        <v>951</v>
      </c>
      <c r="C286" s="116" t="s">
        <v>299</v>
      </c>
      <c r="D286" s="116" t="s">
        <v>285</v>
      </c>
      <c r="E286" s="116" t="s">
        <v>484</v>
      </c>
      <c r="F286" s="259" t="s">
        <v>315</v>
      </c>
      <c r="G286" s="81">
        <f>G287+G289</f>
        <v>2085.31</v>
      </c>
      <c r="H286" s="81">
        <f>H287+H289</f>
        <v>7659.74</v>
      </c>
      <c r="I286" s="81">
        <f>I287+I289</f>
        <v>0</v>
      </c>
      <c r="J286" s="81">
        <f>J287+J289</f>
        <v>2085.31</v>
      </c>
      <c r="K286" s="191"/>
      <c r="L286" s="191"/>
      <c r="M286" s="192">
        <f t="shared" si="48"/>
        <v>100</v>
      </c>
    </row>
    <row r="287" spans="1:13" ht="63" customHeight="1">
      <c r="A287" s="79" t="s">
        <v>134</v>
      </c>
      <c r="B287" s="94">
        <v>951</v>
      </c>
      <c r="C287" s="80" t="s">
        <v>299</v>
      </c>
      <c r="D287" s="80" t="s">
        <v>285</v>
      </c>
      <c r="E287" s="80" t="s">
        <v>484</v>
      </c>
      <c r="F287" s="80" t="s">
        <v>108</v>
      </c>
      <c r="G287" s="81">
        <f>G288</f>
        <v>1803.2320599999998</v>
      </c>
      <c r="H287" s="81">
        <f>H288</f>
        <v>3829.87</v>
      </c>
      <c r="I287" s="81">
        <f>I288</f>
        <v>0</v>
      </c>
      <c r="J287" s="81">
        <f>J288</f>
        <v>1803.23206</v>
      </c>
      <c r="K287" s="191"/>
      <c r="L287" s="191"/>
      <c r="M287" s="192">
        <f t="shared" si="48"/>
        <v>100.00000000000003</v>
      </c>
    </row>
    <row r="288" spans="1:13" ht="47.25">
      <c r="A288" s="93" t="s">
        <v>136</v>
      </c>
      <c r="B288" s="94">
        <v>951</v>
      </c>
      <c r="C288" s="80" t="s">
        <v>299</v>
      </c>
      <c r="D288" s="80" t="s">
        <v>285</v>
      </c>
      <c r="E288" s="80" t="s">
        <v>484</v>
      </c>
      <c r="F288" s="80" t="s">
        <v>135</v>
      </c>
      <c r="G288" s="22">
        <f>1753.972+24.916+24.34406</f>
        <v>1803.2320599999998</v>
      </c>
      <c r="H288" s="22">
        <f>H289</f>
        <v>3829.87</v>
      </c>
      <c r="I288" s="22">
        <f>I289+I290</f>
        <v>0</v>
      </c>
      <c r="J288" s="29">
        <v>1803.23206</v>
      </c>
      <c r="K288" s="191"/>
      <c r="L288" s="191"/>
      <c r="M288" s="192">
        <f t="shared" si="48"/>
        <v>100.00000000000003</v>
      </c>
    </row>
    <row r="289" spans="1:13" ht="31.5">
      <c r="A289" s="79" t="s">
        <v>137</v>
      </c>
      <c r="B289" s="94">
        <v>951</v>
      </c>
      <c r="C289" s="80" t="s">
        <v>299</v>
      </c>
      <c r="D289" s="80" t="s">
        <v>285</v>
      </c>
      <c r="E289" s="80" t="s">
        <v>484</v>
      </c>
      <c r="F289" s="80" t="s">
        <v>112</v>
      </c>
      <c r="G289" s="22">
        <f>G290</f>
        <v>282.07793999999996</v>
      </c>
      <c r="H289" s="22">
        <f>H290</f>
        <v>3829.87</v>
      </c>
      <c r="I289" s="22">
        <f>I290</f>
        <v>0</v>
      </c>
      <c r="J289" s="22">
        <f>J290</f>
        <v>282.07794</v>
      </c>
      <c r="K289" s="191"/>
      <c r="L289" s="191"/>
      <c r="M289" s="192">
        <f t="shared" si="48"/>
        <v>100.00000000000003</v>
      </c>
    </row>
    <row r="290" spans="1:13" ht="47.25">
      <c r="A290" s="93" t="s">
        <v>138</v>
      </c>
      <c r="B290" s="94">
        <v>951</v>
      </c>
      <c r="C290" s="80" t="s">
        <v>299</v>
      </c>
      <c r="D290" s="80" t="s">
        <v>285</v>
      </c>
      <c r="E290" s="80" t="s">
        <v>484</v>
      </c>
      <c r="F290" s="80" t="s">
        <v>139</v>
      </c>
      <c r="G290" s="22">
        <f>226.245+48.7+31.477-24.34406</f>
        <v>282.07793999999996</v>
      </c>
      <c r="H290" s="22">
        <f>2946.87+126.7+306.5+449.8</f>
        <v>3829.87</v>
      </c>
      <c r="I290" s="22"/>
      <c r="J290" s="29">
        <v>282.07794</v>
      </c>
      <c r="K290" s="191"/>
      <c r="L290" s="191"/>
      <c r="M290" s="192">
        <f t="shared" si="48"/>
        <v>100.00000000000003</v>
      </c>
    </row>
    <row r="291" spans="1:13" ht="15.75">
      <c r="A291" s="207" t="s">
        <v>133</v>
      </c>
      <c r="B291" s="187">
        <v>951</v>
      </c>
      <c r="C291" s="77" t="s">
        <v>288</v>
      </c>
      <c r="D291" s="77" t="s">
        <v>104</v>
      </c>
      <c r="E291" s="77" t="s">
        <v>243</v>
      </c>
      <c r="F291" s="77" t="s">
        <v>315</v>
      </c>
      <c r="G291" s="219">
        <f>G292+G327</f>
        <v>18528.078169999997</v>
      </c>
      <c r="H291" s="219" t="e">
        <f>H292+H327</f>
        <v>#REF!</v>
      </c>
      <c r="I291" s="219" t="e">
        <f>I292+I327</f>
        <v>#REF!</v>
      </c>
      <c r="J291" s="219">
        <f>J292+J327</f>
        <v>18080.66684</v>
      </c>
      <c r="K291" s="191"/>
      <c r="L291" s="191"/>
      <c r="M291" s="322">
        <f t="shared" si="48"/>
        <v>97.58522537580596</v>
      </c>
    </row>
    <row r="292" spans="1:13" ht="15.75">
      <c r="A292" s="220" t="s">
        <v>339</v>
      </c>
      <c r="B292" s="193">
        <v>951</v>
      </c>
      <c r="C292" s="194" t="s">
        <v>288</v>
      </c>
      <c r="D292" s="194" t="s">
        <v>103</v>
      </c>
      <c r="E292" s="194" t="s">
        <v>243</v>
      </c>
      <c r="F292" s="194" t="s">
        <v>315</v>
      </c>
      <c r="G292" s="173">
        <f>G293</f>
        <v>16523.06617</v>
      </c>
      <c r="H292" s="173" t="e">
        <f>H293</f>
        <v>#REF!</v>
      </c>
      <c r="I292" s="173" t="e">
        <f>I293</f>
        <v>#REF!</v>
      </c>
      <c r="J292" s="173">
        <f>J293</f>
        <v>16080.70174</v>
      </c>
      <c r="K292" s="191"/>
      <c r="L292" s="191"/>
      <c r="M292" s="263">
        <f t="shared" si="48"/>
        <v>97.32274612079462</v>
      </c>
    </row>
    <row r="293" spans="1:13" ht="63">
      <c r="A293" s="82" t="s">
        <v>703</v>
      </c>
      <c r="B293" s="112">
        <v>951</v>
      </c>
      <c r="C293" s="83" t="s">
        <v>288</v>
      </c>
      <c r="D293" s="83" t="s">
        <v>103</v>
      </c>
      <c r="E293" s="83" t="s">
        <v>86</v>
      </c>
      <c r="F293" s="83" t="s">
        <v>315</v>
      </c>
      <c r="G293" s="84">
        <f>G294+G313+G317+G324+G299+G306</f>
        <v>16523.06617</v>
      </c>
      <c r="H293" s="84" t="e">
        <f>H294+H313+H317+H324+H299+H306</f>
        <v>#REF!</v>
      </c>
      <c r="I293" s="84" t="e">
        <f>I294+I313+I317+I324+I299+I306</f>
        <v>#REF!</v>
      </c>
      <c r="J293" s="84">
        <f>J294+J313+J317+J324+J299+J306</f>
        <v>16080.70174</v>
      </c>
      <c r="K293" s="191"/>
      <c r="L293" s="191"/>
      <c r="M293" s="192">
        <f t="shared" si="48"/>
        <v>97.32274612079462</v>
      </c>
    </row>
    <row r="294" spans="1:13" ht="63">
      <c r="A294" s="101" t="s">
        <v>390</v>
      </c>
      <c r="B294" s="94">
        <v>951</v>
      </c>
      <c r="C294" s="80" t="s">
        <v>288</v>
      </c>
      <c r="D294" s="80" t="s">
        <v>103</v>
      </c>
      <c r="E294" s="80" t="s">
        <v>67</v>
      </c>
      <c r="F294" s="80" t="s">
        <v>315</v>
      </c>
      <c r="G294" s="22">
        <f>G295+G297</f>
        <v>9426.554999999997</v>
      </c>
      <c r="H294" s="22" t="e">
        <f>H295+H297</f>
        <v>#REF!</v>
      </c>
      <c r="I294" s="22" t="e">
        <f>I295+I297</f>
        <v>#REF!</v>
      </c>
      <c r="J294" s="22">
        <f>J295+J297</f>
        <v>9134.567579999999</v>
      </c>
      <c r="K294" s="191"/>
      <c r="L294" s="191"/>
      <c r="M294" s="192">
        <f t="shared" si="48"/>
        <v>96.90250128493392</v>
      </c>
    </row>
    <row r="295" spans="1:13" ht="47.25">
      <c r="A295" s="79" t="s">
        <v>160</v>
      </c>
      <c r="B295" s="94">
        <v>951</v>
      </c>
      <c r="C295" s="80" t="s">
        <v>288</v>
      </c>
      <c r="D295" s="80" t="s">
        <v>103</v>
      </c>
      <c r="E295" s="80" t="s">
        <v>68</v>
      </c>
      <c r="F295" s="80" t="s">
        <v>161</v>
      </c>
      <c r="G295" s="22">
        <f>G296</f>
        <v>9065.085999999998</v>
      </c>
      <c r="H295" s="22" t="e">
        <f>H296</f>
        <v>#REF!</v>
      </c>
      <c r="I295" s="22">
        <f>I296</f>
        <v>0</v>
      </c>
      <c r="J295" s="22">
        <f>J296</f>
        <v>8773.09858</v>
      </c>
      <c r="K295" s="191"/>
      <c r="L295" s="191"/>
      <c r="M295" s="192">
        <f t="shared" si="48"/>
        <v>96.77898896932696</v>
      </c>
    </row>
    <row r="296" spans="1:13" ht="15.75">
      <c r="A296" s="79" t="s">
        <v>162</v>
      </c>
      <c r="B296" s="94">
        <v>951</v>
      </c>
      <c r="C296" s="80" t="s">
        <v>288</v>
      </c>
      <c r="D296" s="80" t="s">
        <v>103</v>
      </c>
      <c r="E296" s="80" t="s">
        <v>69</v>
      </c>
      <c r="F296" s="80" t="s">
        <v>220</v>
      </c>
      <c r="G296" s="22">
        <f>'[1]5'!D125</f>
        <v>9065.085999999998</v>
      </c>
      <c r="H296" s="22" t="e">
        <f>H297</f>
        <v>#REF!</v>
      </c>
      <c r="I296" s="22"/>
      <c r="J296" s="29">
        <v>8773.09858</v>
      </c>
      <c r="K296" s="191"/>
      <c r="L296" s="191"/>
      <c r="M296" s="192">
        <f t="shared" si="48"/>
        <v>96.77898896932696</v>
      </c>
    </row>
    <row r="297" spans="1:13" ht="126">
      <c r="A297" s="79" t="s">
        <v>85</v>
      </c>
      <c r="B297" s="94">
        <v>951</v>
      </c>
      <c r="C297" s="80" t="s">
        <v>288</v>
      </c>
      <c r="D297" s="80" t="s">
        <v>103</v>
      </c>
      <c r="E297" s="80" t="s">
        <v>84</v>
      </c>
      <c r="F297" s="80" t="s">
        <v>161</v>
      </c>
      <c r="G297" s="22">
        <f>G298</f>
        <v>361.469</v>
      </c>
      <c r="H297" s="22" t="e">
        <f>H298</f>
        <v>#REF!</v>
      </c>
      <c r="I297" s="22" t="e">
        <f>I298</f>
        <v>#REF!</v>
      </c>
      <c r="J297" s="22">
        <f>J298</f>
        <v>361.469</v>
      </c>
      <c r="K297" s="191"/>
      <c r="L297" s="191"/>
      <c r="M297" s="192">
        <f t="shared" si="48"/>
        <v>100</v>
      </c>
    </row>
    <row r="298" spans="1:13" ht="15.75">
      <c r="A298" s="79" t="s">
        <v>162</v>
      </c>
      <c r="B298" s="94">
        <v>951</v>
      </c>
      <c r="C298" s="80" t="s">
        <v>288</v>
      </c>
      <c r="D298" s="80" t="s">
        <v>103</v>
      </c>
      <c r="E298" s="80" t="s">
        <v>84</v>
      </c>
      <c r="F298" s="80" t="s">
        <v>220</v>
      </c>
      <c r="G298" s="22">
        <f>'[1]5'!D126</f>
        <v>361.469</v>
      </c>
      <c r="H298" s="22" t="e">
        <f>#REF!</f>
        <v>#REF!</v>
      </c>
      <c r="I298" s="22" t="e">
        <f>#REF!</f>
        <v>#REF!</v>
      </c>
      <c r="J298" s="29">
        <v>361.469</v>
      </c>
      <c r="K298" s="191"/>
      <c r="L298" s="191"/>
      <c r="M298" s="192">
        <f t="shared" si="48"/>
        <v>100</v>
      </c>
    </row>
    <row r="299" spans="1:13" ht="63">
      <c r="A299" s="110" t="s">
        <v>635</v>
      </c>
      <c r="B299" s="94" t="s">
        <v>128</v>
      </c>
      <c r="C299" s="88" t="s">
        <v>288</v>
      </c>
      <c r="D299" s="88" t="s">
        <v>103</v>
      </c>
      <c r="E299" s="88" t="s">
        <v>637</v>
      </c>
      <c r="F299" s="88" t="s">
        <v>315</v>
      </c>
      <c r="G299" s="28">
        <f>G303+G300</f>
        <v>102.06143</v>
      </c>
      <c r="H299" s="28">
        <f>H303+H300</f>
        <v>102.06143</v>
      </c>
      <c r="I299" s="28">
        <f>I303+I300</f>
        <v>102.06143</v>
      </c>
      <c r="J299" s="28">
        <f>J303+J300</f>
        <v>102.06143</v>
      </c>
      <c r="K299" s="191"/>
      <c r="L299" s="191"/>
      <c r="M299" s="192">
        <f t="shared" si="48"/>
        <v>100</v>
      </c>
    </row>
    <row r="300" spans="1:13" ht="94.5">
      <c r="A300" s="79" t="s">
        <v>640</v>
      </c>
      <c r="B300" s="94" t="s">
        <v>128</v>
      </c>
      <c r="C300" s="80" t="s">
        <v>288</v>
      </c>
      <c r="D300" s="80" t="s">
        <v>103</v>
      </c>
      <c r="E300" s="80" t="s">
        <v>642</v>
      </c>
      <c r="F300" s="80" t="s">
        <v>315</v>
      </c>
      <c r="G300" s="22">
        <f>G301</f>
        <v>102.04082</v>
      </c>
      <c r="H300" s="22">
        <f aca="true" t="shared" si="53" ref="H300:J301">H301</f>
        <v>102.04082</v>
      </c>
      <c r="I300" s="22">
        <f t="shared" si="53"/>
        <v>102.04082</v>
      </c>
      <c r="J300" s="22">
        <f t="shared" si="53"/>
        <v>102.04082</v>
      </c>
      <c r="K300" s="191"/>
      <c r="L300" s="191"/>
      <c r="M300" s="192">
        <f t="shared" si="48"/>
        <v>100</v>
      </c>
    </row>
    <row r="301" spans="1:13" ht="47.25">
      <c r="A301" s="79" t="s">
        <v>160</v>
      </c>
      <c r="B301" s="94" t="s">
        <v>128</v>
      </c>
      <c r="C301" s="80" t="s">
        <v>288</v>
      </c>
      <c r="D301" s="80" t="s">
        <v>103</v>
      </c>
      <c r="E301" s="80" t="s">
        <v>642</v>
      </c>
      <c r="F301" s="80" t="s">
        <v>161</v>
      </c>
      <c r="G301" s="22">
        <f>G302</f>
        <v>102.04082</v>
      </c>
      <c r="H301" s="22">
        <f t="shared" si="53"/>
        <v>102.04082</v>
      </c>
      <c r="I301" s="22">
        <f t="shared" si="53"/>
        <v>102.04082</v>
      </c>
      <c r="J301" s="22">
        <f t="shared" si="53"/>
        <v>102.04082</v>
      </c>
      <c r="K301" s="191"/>
      <c r="L301" s="191"/>
      <c r="M301" s="192">
        <f t="shared" si="48"/>
        <v>100</v>
      </c>
    </row>
    <row r="302" spans="1:13" s="202" customFormat="1" ht="15.75">
      <c r="A302" s="8" t="s">
        <v>162</v>
      </c>
      <c r="B302" s="2" t="s">
        <v>128</v>
      </c>
      <c r="C302" s="3" t="s">
        <v>288</v>
      </c>
      <c r="D302" s="3" t="s">
        <v>103</v>
      </c>
      <c r="E302" s="3" t="s">
        <v>642</v>
      </c>
      <c r="F302" s="3" t="s">
        <v>220</v>
      </c>
      <c r="G302" s="22">
        <f>102.04082</f>
        <v>102.04082</v>
      </c>
      <c r="H302" s="22">
        <f>102.04082</f>
        <v>102.04082</v>
      </c>
      <c r="I302" s="22">
        <f>102.04082</f>
        <v>102.04082</v>
      </c>
      <c r="J302" s="22">
        <f>102.04082</f>
        <v>102.04082</v>
      </c>
      <c r="K302" s="201"/>
      <c r="L302" s="201"/>
      <c r="M302" s="192">
        <f t="shared" si="48"/>
        <v>100</v>
      </c>
    </row>
    <row r="303" spans="1:13" ht="110.25">
      <c r="A303" s="8" t="s">
        <v>636</v>
      </c>
      <c r="B303" s="2" t="s">
        <v>128</v>
      </c>
      <c r="C303" s="3" t="s">
        <v>288</v>
      </c>
      <c r="D303" s="3" t="s">
        <v>103</v>
      </c>
      <c r="E303" s="3" t="s">
        <v>642</v>
      </c>
      <c r="F303" s="3" t="s">
        <v>315</v>
      </c>
      <c r="G303" s="22">
        <f>G304</f>
        <v>0.02061</v>
      </c>
      <c r="H303" s="22">
        <f aca="true" t="shared" si="54" ref="H303:J304">H304</f>
        <v>0.02061</v>
      </c>
      <c r="I303" s="22">
        <f t="shared" si="54"/>
        <v>0.02061</v>
      </c>
      <c r="J303" s="22">
        <f t="shared" si="54"/>
        <v>0.02061</v>
      </c>
      <c r="K303" s="191"/>
      <c r="L303" s="191"/>
      <c r="M303" s="192">
        <f t="shared" si="48"/>
        <v>100</v>
      </c>
    </row>
    <row r="304" spans="1:13" ht="47.25">
      <c r="A304" s="8" t="s">
        <v>160</v>
      </c>
      <c r="B304" s="2" t="s">
        <v>128</v>
      </c>
      <c r="C304" s="3" t="s">
        <v>288</v>
      </c>
      <c r="D304" s="3" t="s">
        <v>103</v>
      </c>
      <c r="E304" s="3" t="s">
        <v>642</v>
      </c>
      <c r="F304" s="3" t="s">
        <v>161</v>
      </c>
      <c r="G304" s="22">
        <f>G305</f>
        <v>0.02061</v>
      </c>
      <c r="H304" s="22">
        <f t="shared" si="54"/>
        <v>0.02061</v>
      </c>
      <c r="I304" s="22">
        <f t="shared" si="54"/>
        <v>0.02061</v>
      </c>
      <c r="J304" s="22">
        <f t="shared" si="54"/>
        <v>0.02061</v>
      </c>
      <c r="K304" s="191"/>
      <c r="L304" s="191"/>
      <c r="M304" s="192">
        <f aca="true" t="shared" si="55" ref="M304:M353">J304/G304*100</f>
        <v>100</v>
      </c>
    </row>
    <row r="305" spans="1:13" s="202" customFormat="1" ht="15.75">
      <c r="A305" s="8" t="s">
        <v>162</v>
      </c>
      <c r="B305" s="2" t="s">
        <v>128</v>
      </c>
      <c r="C305" s="3" t="s">
        <v>288</v>
      </c>
      <c r="D305" s="3" t="s">
        <v>103</v>
      </c>
      <c r="E305" s="3" t="s">
        <v>642</v>
      </c>
      <c r="F305" s="3" t="s">
        <v>220</v>
      </c>
      <c r="G305" s="22">
        <f>20.61/1000</f>
        <v>0.02061</v>
      </c>
      <c r="H305" s="22">
        <f>20.61/1000</f>
        <v>0.02061</v>
      </c>
      <c r="I305" s="22">
        <f>20.61/1000</f>
        <v>0.02061</v>
      </c>
      <c r="J305" s="22">
        <f>20.61/1000</f>
        <v>0.02061</v>
      </c>
      <c r="K305" s="201"/>
      <c r="L305" s="201"/>
      <c r="M305" s="192">
        <f t="shared" si="55"/>
        <v>100</v>
      </c>
    </row>
    <row r="306" spans="1:13" ht="78.75">
      <c r="A306" s="21" t="s">
        <v>725</v>
      </c>
      <c r="B306" s="2" t="s">
        <v>128</v>
      </c>
      <c r="C306" s="20" t="s">
        <v>288</v>
      </c>
      <c r="D306" s="20" t="s">
        <v>103</v>
      </c>
      <c r="E306" s="20" t="s">
        <v>637</v>
      </c>
      <c r="F306" s="20" t="s">
        <v>315</v>
      </c>
      <c r="G306" s="28">
        <f>G310+G307</f>
        <v>51.030719999999995</v>
      </c>
      <c r="H306" s="28">
        <f>H310+H307</f>
        <v>8</v>
      </c>
      <c r="I306" s="28">
        <f>I310+I307</f>
        <v>0</v>
      </c>
      <c r="J306" s="28">
        <f>J310+J307</f>
        <v>51.030719999999995</v>
      </c>
      <c r="K306" s="191"/>
      <c r="L306" s="191"/>
      <c r="M306" s="192">
        <f t="shared" si="55"/>
        <v>100</v>
      </c>
    </row>
    <row r="307" spans="1:13" ht="94.5">
      <c r="A307" s="8" t="s">
        <v>726</v>
      </c>
      <c r="B307" s="2" t="s">
        <v>128</v>
      </c>
      <c r="C307" s="3" t="s">
        <v>288</v>
      </c>
      <c r="D307" s="3" t="s">
        <v>103</v>
      </c>
      <c r="E307" s="3" t="s">
        <v>727</v>
      </c>
      <c r="F307" s="3" t="s">
        <v>315</v>
      </c>
      <c r="G307" s="22">
        <f aca="true" t="shared" si="56" ref="G307:J308">G308</f>
        <v>51.02041</v>
      </c>
      <c r="H307" s="22">
        <f t="shared" si="56"/>
        <v>4</v>
      </c>
      <c r="I307" s="22">
        <f t="shared" si="56"/>
        <v>0</v>
      </c>
      <c r="J307" s="22">
        <f t="shared" si="56"/>
        <v>51.02041</v>
      </c>
      <c r="K307" s="191"/>
      <c r="L307" s="191"/>
      <c r="M307" s="192">
        <f t="shared" si="55"/>
        <v>100</v>
      </c>
    </row>
    <row r="308" spans="1:15" ht="47.25">
      <c r="A308" s="8" t="s">
        <v>160</v>
      </c>
      <c r="B308" s="2" t="s">
        <v>128</v>
      </c>
      <c r="C308" s="3" t="s">
        <v>288</v>
      </c>
      <c r="D308" s="3" t="s">
        <v>103</v>
      </c>
      <c r="E308" s="3" t="s">
        <v>727</v>
      </c>
      <c r="F308" s="3" t="s">
        <v>161</v>
      </c>
      <c r="G308" s="22">
        <f t="shared" si="56"/>
        <v>51.02041</v>
      </c>
      <c r="H308" s="22">
        <f t="shared" si="56"/>
        <v>4</v>
      </c>
      <c r="I308" s="22">
        <f t="shared" si="56"/>
        <v>0</v>
      </c>
      <c r="J308" s="22">
        <f t="shared" si="56"/>
        <v>51.02041</v>
      </c>
      <c r="K308" s="191"/>
      <c r="L308" s="29"/>
      <c r="M308" s="192">
        <f t="shared" si="55"/>
        <v>100</v>
      </c>
      <c r="N308" s="221"/>
      <c r="O308" s="221"/>
    </row>
    <row r="309" spans="1:13" ht="15.75">
      <c r="A309" s="8" t="s">
        <v>162</v>
      </c>
      <c r="B309" s="2" t="s">
        <v>128</v>
      </c>
      <c r="C309" s="3" t="s">
        <v>288</v>
      </c>
      <c r="D309" s="3" t="s">
        <v>103</v>
      </c>
      <c r="E309" s="3" t="s">
        <v>727</v>
      </c>
      <c r="F309" s="3" t="s">
        <v>220</v>
      </c>
      <c r="G309" s="22">
        <v>51.02041</v>
      </c>
      <c r="H309" s="22">
        <f>H310</f>
        <v>4</v>
      </c>
      <c r="I309" s="22">
        <f>I310</f>
        <v>0</v>
      </c>
      <c r="J309" s="29">
        <v>51.02041</v>
      </c>
      <c r="K309" s="191"/>
      <c r="L309" s="191"/>
      <c r="M309" s="192">
        <f t="shared" si="55"/>
        <v>100</v>
      </c>
    </row>
    <row r="310" spans="1:13" ht="126">
      <c r="A310" s="79" t="s">
        <v>728</v>
      </c>
      <c r="B310" s="94" t="s">
        <v>128</v>
      </c>
      <c r="C310" s="80" t="s">
        <v>288</v>
      </c>
      <c r="D310" s="80" t="s">
        <v>103</v>
      </c>
      <c r="E310" s="80" t="s">
        <v>727</v>
      </c>
      <c r="F310" s="80" t="s">
        <v>315</v>
      </c>
      <c r="G310" s="22">
        <f aca="true" t="shared" si="57" ref="G310:J311">G311</f>
        <v>0.01031</v>
      </c>
      <c r="H310" s="22">
        <f t="shared" si="57"/>
        <v>4</v>
      </c>
      <c r="I310" s="22">
        <f t="shared" si="57"/>
        <v>0</v>
      </c>
      <c r="J310" s="22">
        <f t="shared" si="57"/>
        <v>0.01031</v>
      </c>
      <c r="K310" s="191"/>
      <c r="L310" s="191"/>
      <c r="M310" s="192">
        <f t="shared" si="55"/>
        <v>100</v>
      </c>
    </row>
    <row r="311" spans="1:13" ht="47.25">
      <c r="A311" s="79" t="s">
        <v>160</v>
      </c>
      <c r="B311" s="94" t="s">
        <v>128</v>
      </c>
      <c r="C311" s="80" t="s">
        <v>288</v>
      </c>
      <c r="D311" s="80" t="s">
        <v>103</v>
      </c>
      <c r="E311" s="80" t="s">
        <v>727</v>
      </c>
      <c r="F311" s="80" t="s">
        <v>161</v>
      </c>
      <c r="G311" s="22">
        <f t="shared" si="57"/>
        <v>0.01031</v>
      </c>
      <c r="H311" s="22">
        <f t="shared" si="57"/>
        <v>4</v>
      </c>
      <c r="I311" s="22">
        <f t="shared" si="57"/>
        <v>0</v>
      </c>
      <c r="J311" s="22">
        <f t="shared" si="57"/>
        <v>0.01031</v>
      </c>
      <c r="K311" s="191"/>
      <c r="L311" s="191"/>
      <c r="M311" s="192">
        <f t="shared" si="55"/>
        <v>100</v>
      </c>
    </row>
    <row r="312" spans="1:13" ht="32.25" customHeight="1">
      <c r="A312" s="79" t="s">
        <v>162</v>
      </c>
      <c r="B312" s="94" t="s">
        <v>128</v>
      </c>
      <c r="C312" s="80" t="s">
        <v>288</v>
      </c>
      <c r="D312" s="80" t="s">
        <v>103</v>
      </c>
      <c r="E312" s="3" t="s">
        <v>727</v>
      </c>
      <c r="F312" s="3" t="s">
        <v>220</v>
      </c>
      <c r="G312" s="22">
        <f>10.31/1000</f>
        <v>0.01031</v>
      </c>
      <c r="H312" s="22">
        <v>4</v>
      </c>
      <c r="I312" s="22"/>
      <c r="J312" s="29">
        <v>0.01031</v>
      </c>
      <c r="K312" s="191"/>
      <c r="L312" s="191"/>
      <c r="M312" s="192">
        <f t="shared" si="55"/>
        <v>100</v>
      </c>
    </row>
    <row r="313" spans="1:13" ht="78.75">
      <c r="A313" s="101" t="s">
        <v>391</v>
      </c>
      <c r="B313" s="203">
        <v>951</v>
      </c>
      <c r="C313" s="97" t="s">
        <v>288</v>
      </c>
      <c r="D313" s="97" t="s">
        <v>103</v>
      </c>
      <c r="E313" s="97" t="s">
        <v>70</v>
      </c>
      <c r="F313" s="97" t="s">
        <v>315</v>
      </c>
      <c r="G313" s="30">
        <f>G314</f>
        <v>4327.5650000000005</v>
      </c>
      <c r="H313" s="30">
        <f aca="true" t="shared" si="58" ref="H313:J315">H314</f>
        <v>0</v>
      </c>
      <c r="I313" s="30">
        <f t="shared" si="58"/>
        <v>0</v>
      </c>
      <c r="J313" s="30">
        <f t="shared" si="58"/>
        <v>4276.29796</v>
      </c>
      <c r="K313" s="191"/>
      <c r="L313" s="191"/>
      <c r="M313" s="264">
        <f t="shared" si="55"/>
        <v>98.81533749348651</v>
      </c>
    </row>
    <row r="314" spans="1:13" ht="47.25">
      <c r="A314" s="79" t="s">
        <v>160</v>
      </c>
      <c r="B314" s="94">
        <v>951</v>
      </c>
      <c r="C314" s="80" t="s">
        <v>288</v>
      </c>
      <c r="D314" s="80" t="s">
        <v>103</v>
      </c>
      <c r="E314" s="80" t="s">
        <v>70</v>
      </c>
      <c r="F314" s="80" t="s">
        <v>315</v>
      </c>
      <c r="G314" s="22">
        <f>G315</f>
        <v>4327.5650000000005</v>
      </c>
      <c r="H314" s="22">
        <f t="shared" si="58"/>
        <v>0</v>
      </c>
      <c r="I314" s="22">
        <f t="shared" si="58"/>
        <v>0</v>
      </c>
      <c r="J314" s="22">
        <f t="shared" si="58"/>
        <v>4276.29796</v>
      </c>
      <c r="K314" s="191"/>
      <c r="L314" s="191"/>
      <c r="M314" s="192">
        <f t="shared" si="55"/>
        <v>98.81533749348651</v>
      </c>
    </row>
    <row r="315" spans="1:13" ht="31.5">
      <c r="A315" s="79" t="s">
        <v>165</v>
      </c>
      <c r="B315" s="94">
        <v>951</v>
      </c>
      <c r="C315" s="80" t="s">
        <v>288</v>
      </c>
      <c r="D315" s="80" t="s">
        <v>103</v>
      </c>
      <c r="E315" s="80" t="s">
        <v>70</v>
      </c>
      <c r="F315" s="80" t="s">
        <v>161</v>
      </c>
      <c r="G315" s="22">
        <f>G316</f>
        <v>4327.5650000000005</v>
      </c>
      <c r="H315" s="22">
        <f t="shared" si="58"/>
        <v>0</v>
      </c>
      <c r="I315" s="22">
        <f t="shared" si="58"/>
        <v>0</v>
      </c>
      <c r="J315" s="22">
        <f t="shared" si="58"/>
        <v>4276.29796</v>
      </c>
      <c r="K315" s="191"/>
      <c r="L315" s="191"/>
      <c r="M315" s="192">
        <f t="shared" si="55"/>
        <v>98.81533749348651</v>
      </c>
    </row>
    <row r="316" spans="1:13" ht="15.75">
      <c r="A316" s="79" t="s">
        <v>162</v>
      </c>
      <c r="B316" s="94">
        <v>951</v>
      </c>
      <c r="C316" s="80" t="s">
        <v>288</v>
      </c>
      <c r="D316" s="80" t="s">
        <v>103</v>
      </c>
      <c r="E316" s="80" t="s">
        <v>70</v>
      </c>
      <c r="F316" s="80" t="s">
        <v>220</v>
      </c>
      <c r="G316" s="22">
        <f>'[1]5'!D144</f>
        <v>4327.5650000000005</v>
      </c>
      <c r="H316" s="22"/>
      <c r="I316" s="22"/>
      <c r="J316" s="29">
        <v>4276.29796</v>
      </c>
      <c r="K316" s="191"/>
      <c r="L316" s="191"/>
      <c r="M316" s="192">
        <f t="shared" si="55"/>
        <v>98.81533749348651</v>
      </c>
    </row>
    <row r="317" spans="1:13" ht="63">
      <c r="A317" s="103" t="s">
        <v>434</v>
      </c>
      <c r="B317" s="203">
        <v>951</v>
      </c>
      <c r="C317" s="97" t="s">
        <v>288</v>
      </c>
      <c r="D317" s="97" t="s">
        <v>103</v>
      </c>
      <c r="E317" s="97" t="s">
        <v>435</v>
      </c>
      <c r="F317" s="97" t="s">
        <v>315</v>
      </c>
      <c r="G317" s="172">
        <f>G321+G318</f>
        <v>169.70202</v>
      </c>
      <c r="H317" s="172" t="e">
        <f>H321+H318</f>
        <v>#REF!</v>
      </c>
      <c r="I317" s="172" t="e">
        <f>I321+I318</f>
        <v>#REF!</v>
      </c>
      <c r="J317" s="172">
        <f>J321+J318</f>
        <v>169.70202</v>
      </c>
      <c r="K317" s="191"/>
      <c r="L317" s="191"/>
      <c r="M317" s="264">
        <f t="shared" si="55"/>
        <v>100</v>
      </c>
    </row>
    <row r="318" spans="1:13" ht="94.5">
      <c r="A318" s="79" t="s">
        <v>721</v>
      </c>
      <c r="B318" s="94">
        <v>951</v>
      </c>
      <c r="C318" s="80" t="s">
        <v>288</v>
      </c>
      <c r="D318" s="80" t="s">
        <v>103</v>
      </c>
      <c r="E318" s="80" t="s">
        <v>436</v>
      </c>
      <c r="F318" s="80" t="s">
        <v>315</v>
      </c>
      <c r="G318" s="81">
        <f aca="true" t="shared" si="59" ref="G318:J319">G319</f>
        <v>168.005</v>
      </c>
      <c r="H318" s="81" t="e">
        <f t="shared" si="59"/>
        <v>#REF!</v>
      </c>
      <c r="I318" s="81" t="e">
        <f t="shared" si="59"/>
        <v>#REF!</v>
      </c>
      <c r="J318" s="81">
        <f t="shared" si="59"/>
        <v>168.005</v>
      </c>
      <c r="K318" s="191"/>
      <c r="L318" s="191"/>
      <c r="M318" s="192">
        <f t="shared" si="55"/>
        <v>100</v>
      </c>
    </row>
    <row r="319" spans="1:13" ht="30" customHeight="1">
      <c r="A319" s="79" t="s">
        <v>160</v>
      </c>
      <c r="B319" s="94">
        <v>951</v>
      </c>
      <c r="C319" s="80" t="s">
        <v>288</v>
      </c>
      <c r="D319" s="80" t="s">
        <v>103</v>
      </c>
      <c r="E319" s="80" t="s">
        <v>436</v>
      </c>
      <c r="F319" s="80" t="s">
        <v>161</v>
      </c>
      <c r="G319" s="81">
        <f t="shared" si="59"/>
        <v>168.005</v>
      </c>
      <c r="H319" s="81" t="e">
        <f t="shared" si="59"/>
        <v>#REF!</v>
      </c>
      <c r="I319" s="81" t="e">
        <f t="shared" si="59"/>
        <v>#REF!</v>
      </c>
      <c r="J319" s="81">
        <f t="shared" si="59"/>
        <v>168.005</v>
      </c>
      <c r="K319" s="191"/>
      <c r="L319" s="191"/>
      <c r="M319" s="192">
        <f t="shared" si="55"/>
        <v>100</v>
      </c>
    </row>
    <row r="320" spans="1:13" s="195" customFormat="1" ht="15.75">
      <c r="A320" s="79" t="s">
        <v>162</v>
      </c>
      <c r="B320" s="94">
        <v>951</v>
      </c>
      <c r="C320" s="80" t="s">
        <v>288</v>
      </c>
      <c r="D320" s="80" t="s">
        <v>103</v>
      </c>
      <c r="E320" s="80" t="s">
        <v>436</v>
      </c>
      <c r="F320" s="80" t="s">
        <v>220</v>
      </c>
      <c r="G320" s="81">
        <v>168.005</v>
      </c>
      <c r="H320" s="28" t="e">
        <f>H321+#REF!</f>
        <v>#REF!</v>
      </c>
      <c r="I320" s="28" t="e">
        <f>I321+#REF!</f>
        <v>#REF!</v>
      </c>
      <c r="J320" s="29">
        <v>168.005</v>
      </c>
      <c r="K320" s="185"/>
      <c r="L320" s="185"/>
      <c r="M320" s="192">
        <f t="shared" si="55"/>
        <v>100</v>
      </c>
    </row>
    <row r="321" spans="1:13" ht="50.25" customHeight="1">
      <c r="A321" s="79" t="s">
        <v>722</v>
      </c>
      <c r="B321" s="94">
        <v>951</v>
      </c>
      <c r="C321" s="80" t="s">
        <v>288</v>
      </c>
      <c r="D321" s="80" t="s">
        <v>103</v>
      </c>
      <c r="E321" s="80" t="s">
        <v>723</v>
      </c>
      <c r="F321" s="80" t="s">
        <v>315</v>
      </c>
      <c r="G321" s="81">
        <f aca="true" t="shared" si="60" ref="G321:J322">G322</f>
        <v>1.69702</v>
      </c>
      <c r="H321" s="81">
        <f t="shared" si="60"/>
        <v>40</v>
      </c>
      <c r="I321" s="81">
        <f t="shared" si="60"/>
        <v>0</v>
      </c>
      <c r="J321" s="81">
        <f t="shared" si="60"/>
        <v>1.69702</v>
      </c>
      <c r="K321" s="191"/>
      <c r="L321" s="191"/>
      <c r="M321" s="192">
        <f t="shared" si="55"/>
        <v>100</v>
      </c>
    </row>
    <row r="322" spans="1:13" ht="47.25">
      <c r="A322" s="79" t="s">
        <v>160</v>
      </c>
      <c r="B322" s="94">
        <v>951</v>
      </c>
      <c r="C322" s="80" t="s">
        <v>288</v>
      </c>
      <c r="D322" s="80" t="s">
        <v>103</v>
      </c>
      <c r="E322" s="80" t="s">
        <v>723</v>
      </c>
      <c r="F322" s="80" t="s">
        <v>161</v>
      </c>
      <c r="G322" s="81">
        <f t="shared" si="60"/>
        <v>1.69702</v>
      </c>
      <c r="H322" s="81">
        <f t="shared" si="60"/>
        <v>40</v>
      </c>
      <c r="I322" s="81">
        <f t="shared" si="60"/>
        <v>0</v>
      </c>
      <c r="J322" s="81">
        <f t="shared" si="60"/>
        <v>1.69702</v>
      </c>
      <c r="K322" s="191"/>
      <c r="L322" s="191"/>
      <c r="M322" s="192">
        <f t="shared" si="55"/>
        <v>100</v>
      </c>
    </row>
    <row r="323" spans="1:13" ht="15.75">
      <c r="A323" s="79" t="s">
        <v>162</v>
      </c>
      <c r="B323" s="94">
        <v>951</v>
      </c>
      <c r="C323" s="80" t="s">
        <v>288</v>
      </c>
      <c r="D323" s="80" t="s">
        <v>103</v>
      </c>
      <c r="E323" s="80" t="s">
        <v>723</v>
      </c>
      <c r="F323" s="80" t="s">
        <v>220</v>
      </c>
      <c r="G323" s="81">
        <v>1.69702</v>
      </c>
      <c r="H323" s="22">
        <f>200-160</f>
        <v>40</v>
      </c>
      <c r="I323" s="22"/>
      <c r="J323" s="29">
        <v>1.69702</v>
      </c>
      <c r="K323" s="191"/>
      <c r="L323" s="191"/>
      <c r="M323" s="192">
        <f t="shared" si="55"/>
        <v>100</v>
      </c>
    </row>
    <row r="324" spans="1:13" ht="110.25">
      <c r="A324" s="101" t="s">
        <v>392</v>
      </c>
      <c r="B324" s="94" t="s">
        <v>128</v>
      </c>
      <c r="C324" s="80" t="s">
        <v>288</v>
      </c>
      <c r="D324" s="80" t="s">
        <v>103</v>
      </c>
      <c r="E324" s="80" t="s">
        <v>71</v>
      </c>
      <c r="F324" s="80" t="s">
        <v>315</v>
      </c>
      <c r="G324" s="81">
        <f>G325</f>
        <v>2446.152</v>
      </c>
      <c r="H324" s="81">
        <f aca="true" t="shared" si="61" ref="H324:J325">H325</f>
        <v>0</v>
      </c>
      <c r="I324" s="81">
        <f t="shared" si="61"/>
        <v>0</v>
      </c>
      <c r="J324" s="81">
        <f t="shared" si="61"/>
        <v>2347.04203</v>
      </c>
      <c r="K324" s="191"/>
      <c r="L324" s="191"/>
      <c r="M324" s="192">
        <f t="shared" si="55"/>
        <v>95.9483315018854</v>
      </c>
    </row>
    <row r="325" spans="1:13" ht="47.25">
      <c r="A325" s="79" t="s">
        <v>160</v>
      </c>
      <c r="B325" s="94" t="s">
        <v>128</v>
      </c>
      <c r="C325" s="80" t="s">
        <v>288</v>
      </c>
      <c r="D325" s="80" t="s">
        <v>103</v>
      </c>
      <c r="E325" s="80" t="s">
        <v>71</v>
      </c>
      <c r="F325" s="80" t="s">
        <v>161</v>
      </c>
      <c r="G325" s="81">
        <f>G326</f>
        <v>2446.152</v>
      </c>
      <c r="H325" s="81">
        <f t="shared" si="61"/>
        <v>0</v>
      </c>
      <c r="I325" s="81">
        <f t="shared" si="61"/>
        <v>0</v>
      </c>
      <c r="J325" s="81">
        <f t="shared" si="61"/>
        <v>2347.04203</v>
      </c>
      <c r="K325" s="191"/>
      <c r="L325" s="191"/>
      <c r="M325" s="192">
        <f t="shared" si="55"/>
        <v>95.9483315018854</v>
      </c>
    </row>
    <row r="326" spans="1:13" ht="15.75">
      <c r="A326" s="79" t="s">
        <v>162</v>
      </c>
      <c r="B326" s="94" t="s">
        <v>128</v>
      </c>
      <c r="C326" s="80" t="s">
        <v>288</v>
      </c>
      <c r="D326" s="80" t="s">
        <v>103</v>
      </c>
      <c r="E326" s="80" t="s">
        <v>71</v>
      </c>
      <c r="F326" s="80" t="s">
        <v>220</v>
      </c>
      <c r="G326" s="22">
        <f>'[1]5'!D152</f>
        <v>2446.152</v>
      </c>
      <c r="H326" s="22"/>
      <c r="I326" s="22"/>
      <c r="J326" s="29">
        <v>2347.04203</v>
      </c>
      <c r="K326" s="191"/>
      <c r="L326" s="191"/>
      <c r="M326" s="192">
        <f t="shared" si="55"/>
        <v>95.9483315018854</v>
      </c>
    </row>
    <row r="327" spans="1:13" ht="31.5">
      <c r="A327" s="8" t="s">
        <v>5</v>
      </c>
      <c r="B327" s="2">
        <v>951</v>
      </c>
      <c r="C327" s="3" t="s">
        <v>288</v>
      </c>
      <c r="D327" s="3" t="s">
        <v>114</v>
      </c>
      <c r="E327" s="3" t="s">
        <v>243</v>
      </c>
      <c r="F327" s="3" t="s">
        <v>315</v>
      </c>
      <c r="G327" s="22">
        <f aca="true" t="shared" si="62" ref="G327:L327">G328+G355+G357+G352+G360</f>
        <v>2005.0120000000002</v>
      </c>
      <c r="H327" s="22" t="e">
        <f t="shared" si="62"/>
        <v>#REF!</v>
      </c>
      <c r="I327" s="22">
        <f t="shared" si="62"/>
        <v>3386.61807</v>
      </c>
      <c r="J327" s="22">
        <f t="shared" si="62"/>
        <v>1999.9651</v>
      </c>
      <c r="K327" s="22">
        <f t="shared" si="62"/>
        <v>0</v>
      </c>
      <c r="L327" s="22">
        <f t="shared" si="62"/>
        <v>0</v>
      </c>
      <c r="M327" s="192">
        <f t="shared" si="55"/>
        <v>99.74828579579572</v>
      </c>
    </row>
    <row r="328" spans="1:13" ht="63">
      <c r="A328" s="110" t="s">
        <v>714</v>
      </c>
      <c r="B328" s="200" t="s">
        <v>128</v>
      </c>
      <c r="C328" s="88" t="s">
        <v>288</v>
      </c>
      <c r="D328" s="88" t="s">
        <v>114</v>
      </c>
      <c r="E328" s="88" t="s">
        <v>566</v>
      </c>
      <c r="F328" s="88" t="s">
        <v>315</v>
      </c>
      <c r="G328" s="89">
        <f>G329+G332+G339+G342+G345</f>
        <v>1921.0120000000002</v>
      </c>
      <c r="H328" s="89">
        <f>H329+H332+H339+H342+H345</f>
        <v>0</v>
      </c>
      <c r="I328" s="89">
        <f>I329+I332+I339+I342+I345</f>
        <v>3386.61807</v>
      </c>
      <c r="J328" s="89">
        <f>J329+J332+J339+J342+J345</f>
        <v>1915.9651</v>
      </c>
      <c r="K328" s="29"/>
      <c r="L328" s="191"/>
      <c r="M328" s="264">
        <f t="shared" si="55"/>
        <v>99.73727910080726</v>
      </c>
    </row>
    <row r="329" spans="1:13" s="195" customFormat="1" ht="47.25">
      <c r="A329" s="101" t="s">
        <v>393</v>
      </c>
      <c r="B329" s="94">
        <v>951</v>
      </c>
      <c r="C329" s="80" t="s">
        <v>288</v>
      </c>
      <c r="D329" s="80" t="s">
        <v>114</v>
      </c>
      <c r="E329" s="80" t="s">
        <v>72</v>
      </c>
      <c r="F329" s="80" t="s">
        <v>315</v>
      </c>
      <c r="G329" s="81">
        <f aca="true" t="shared" si="63" ref="G329:J330">G330</f>
        <v>1921.0120000000002</v>
      </c>
      <c r="H329" s="81">
        <f t="shared" si="63"/>
        <v>0</v>
      </c>
      <c r="I329" s="81">
        <f t="shared" si="63"/>
        <v>2942.85</v>
      </c>
      <c r="J329" s="81">
        <f t="shared" si="63"/>
        <v>1915.9651</v>
      </c>
      <c r="K329" s="185"/>
      <c r="L329" s="185"/>
      <c r="M329" s="192">
        <f t="shared" si="55"/>
        <v>99.73727910080726</v>
      </c>
    </row>
    <row r="330" spans="1:13" s="195" customFormat="1" ht="47.25">
      <c r="A330" s="79" t="s">
        <v>160</v>
      </c>
      <c r="B330" s="94">
        <v>951</v>
      </c>
      <c r="C330" s="80" t="s">
        <v>288</v>
      </c>
      <c r="D330" s="80" t="s">
        <v>114</v>
      </c>
      <c r="E330" s="80" t="s">
        <v>72</v>
      </c>
      <c r="F330" s="80" t="s">
        <v>161</v>
      </c>
      <c r="G330" s="81">
        <f t="shared" si="63"/>
        <v>1921.0120000000002</v>
      </c>
      <c r="H330" s="81">
        <f t="shared" si="63"/>
        <v>0</v>
      </c>
      <c r="I330" s="81">
        <f t="shared" si="63"/>
        <v>2942.85</v>
      </c>
      <c r="J330" s="81">
        <f t="shared" si="63"/>
        <v>1915.9651</v>
      </c>
      <c r="K330" s="51"/>
      <c r="L330" s="185"/>
      <c r="M330" s="192">
        <f t="shared" si="55"/>
        <v>99.73727910080726</v>
      </c>
    </row>
    <row r="331" spans="1:13" ht="15.75">
      <c r="A331" s="79" t="s">
        <v>162</v>
      </c>
      <c r="B331" s="94">
        <v>951</v>
      </c>
      <c r="C331" s="80" t="s">
        <v>288</v>
      </c>
      <c r="D331" s="80" t="s">
        <v>114</v>
      </c>
      <c r="E331" s="80" t="s">
        <v>72</v>
      </c>
      <c r="F331" s="80" t="s">
        <v>220</v>
      </c>
      <c r="G331" s="22">
        <f>'[1]5'!D157</f>
        <v>1921.0120000000002</v>
      </c>
      <c r="H331" s="23"/>
      <c r="I331" s="23">
        <f>I332+I334</f>
        <v>2942.85</v>
      </c>
      <c r="J331" s="22">
        <v>1915.9651</v>
      </c>
      <c r="K331" s="29"/>
      <c r="L331" s="191"/>
      <c r="M331" s="192">
        <f t="shared" si="55"/>
        <v>99.73727910080726</v>
      </c>
    </row>
    <row r="332" spans="1:13" ht="33.75" customHeight="1" hidden="1">
      <c r="A332" s="103" t="s">
        <v>559</v>
      </c>
      <c r="B332" s="203" t="s">
        <v>128</v>
      </c>
      <c r="C332" s="97" t="s">
        <v>288</v>
      </c>
      <c r="D332" s="97" t="s">
        <v>114</v>
      </c>
      <c r="E332" s="97" t="s">
        <v>67</v>
      </c>
      <c r="F332" s="97" t="s">
        <v>315</v>
      </c>
      <c r="G332" s="172">
        <f>G336+G333</f>
        <v>0</v>
      </c>
      <c r="H332" s="22"/>
      <c r="I332" s="22">
        <f>I333</f>
        <v>340.23</v>
      </c>
      <c r="J332" s="29"/>
      <c r="K332" s="191"/>
      <c r="L332" s="191"/>
      <c r="M332" s="192" t="e">
        <f t="shared" si="55"/>
        <v>#DIV/0!</v>
      </c>
    </row>
    <row r="333" spans="1:13" ht="45.75" customHeight="1" hidden="1">
      <c r="A333" s="82" t="s">
        <v>560</v>
      </c>
      <c r="B333" s="94" t="s">
        <v>128</v>
      </c>
      <c r="C333" s="80" t="s">
        <v>288</v>
      </c>
      <c r="D333" s="80" t="s">
        <v>114</v>
      </c>
      <c r="E333" s="80" t="s">
        <v>562</v>
      </c>
      <c r="F333" s="80" t="s">
        <v>315</v>
      </c>
      <c r="G333" s="81">
        <f>G334</f>
        <v>0</v>
      </c>
      <c r="H333" s="22"/>
      <c r="I333" s="22">
        <f>213.52+126.71</f>
        <v>340.23</v>
      </c>
      <c r="J333" s="29"/>
      <c r="K333" s="191"/>
      <c r="L333" s="29"/>
      <c r="M333" s="192" t="e">
        <f t="shared" si="55"/>
        <v>#DIV/0!</v>
      </c>
    </row>
    <row r="334" spans="1:13" ht="51" customHeight="1" hidden="1">
      <c r="A334" s="79" t="s">
        <v>160</v>
      </c>
      <c r="B334" s="94" t="s">
        <v>128</v>
      </c>
      <c r="C334" s="80" t="s">
        <v>288</v>
      </c>
      <c r="D334" s="80" t="s">
        <v>114</v>
      </c>
      <c r="E334" s="80" t="s">
        <v>562</v>
      </c>
      <c r="F334" s="80" t="s">
        <v>161</v>
      </c>
      <c r="G334" s="81">
        <f>G335</f>
        <v>0</v>
      </c>
      <c r="H334" s="22"/>
      <c r="I334" s="22">
        <f>I335</f>
        <v>2602.62</v>
      </c>
      <c r="J334" s="29"/>
      <c r="K334" s="191"/>
      <c r="L334" s="191"/>
      <c r="M334" s="192" t="e">
        <f t="shared" si="55"/>
        <v>#DIV/0!</v>
      </c>
    </row>
    <row r="335" spans="1:13" ht="21.75" customHeight="1" hidden="1">
      <c r="A335" s="79" t="s">
        <v>162</v>
      </c>
      <c r="B335" s="94" t="s">
        <v>128</v>
      </c>
      <c r="C335" s="80" t="s">
        <v>288</v>
      </c>
      <c r="D335" s="80" t="s">
        <v>114</v>
      </c>
      <c r="E335" s="80" t="s">
        <v>562</v>
      </c>
      <c r="F335" s="80" t="s">
        <v>220</v>
      </c>
      <c r="G335" s="81"/>
      <c r="H335" s="22"/>
      <c r="I335" s="22">
        <f>3600.54939-571.21939-126.71-300</f>
        <v>2602.62</v>
      </c>
      <c r="J335" s="29"/>
      <c r="K335" s="191"/>
      <c r="L335" s="191"/>
      <c r="M335" s="192" t="e">
        <f t="shared" si="55"/>
        <v>#DIV/0!</v>
      </c>
    </row>
    <row r="336" spans="1:13" ht="72" customHeight="1" hidden="1">
      <c r="A336" s="82" t="s">
        <v>561</v>
      </c>
      <c r="B336" s="94" t="s">
        <v>128</v>
      </c>
      <c r="C336" s="80" t="s">
        <v>288</v>
      </c>
      <c r="D336" s="80" t="s">
        <v>114</v>
      </c>
      <c r="E336" s="80" t="s">
        <v>563</v>
      </c>
      <c r="F336" s="80" t="s">
        <v>315</v>
      </c>
      <c r="G336" s="81">
        <f>G337</f>
        <v>0</v>
      </c>
      <c r="H336" s="23"/>
      <c r="I336" s="23">
        <f>I337+I339</f>
        <v>12504.1824</v>
      </c>
      <c r="J336" s="29"/>
      <c r="K336" s="191"/>
      <c r="L336" s="191"/>
      <c r="M336" s="192" t="e">
        <f t="shared" si="55"/>
        <v>#DIV/0!</v>
      </c>
    </row>
    <row r="337" spans="1:13" ht="16.5" customHeight="1" hidden="1">
      <c r="A337" s="79" t="s">
        <v>160</v>
      </c>
      <c r="B337" s="94" t="s">
        <v>128</v>
      </c>
      <c r="C337" s="80" t="s">
        <v>288</v>
      </c>
      <c r="D337" s="80" t="s">
        <v>114</v>
      </c>
      <c r="E337" s="80" t="s">
        <v>563</v>
      </c>
      <c r="F337" s="80" t="s">
        <v>161</v>
      </c>
      <c r="G337" s="81">
        <f>G338</f>
        <v>0</v>
      </c>
      <c r="H337" s="22"/>
      <c r="I337" s="22">
        <f>I338</f>
        <v>12504.1824</v>
      </c>
      <c r="J337" s="29"/>
      <c r="K337" s="191"/>
      <c r="L337" s="191"/>
      <c r="M337" s="192" t="e">
        <f t="shared" si="55"/>
        <v>#DIV/0!</v>
      </c>
    </row>
    <row r="338" spans="1:13" ht="16.5" customHeight="1" hidden="1">
      <c r="A338" s="79" t="s">
        <v>162</v>
      </c>
      <c r="B338" s="94" t="s">
        <v>128</v>
      </c>
      <c r="C338" s="80" t="s">
        <v>288</v>
      </c>
      <c r="D338" s="80" t="s">
        <v>114</v>
      </c>
      <c r="E338" s="80" t="s">
        <v>563</v>
      </c>
      <c r="F338" s="80" t="s">
        <v>220</v>
      </c>
      <c r="G338" s="81"/>
      <c r="H338" s="22"/>
      <c r="I338" s="22">
        <f>9339.59292+389.14971+4302.72-1362.34263-164.9376</f>
        <v>12504.1824</v>
      </c>
      <c r="J338" s="29"/>
      <c r="K338" s="191"/>
      <c r="L338" s="191"/>
      <c r="M338" s="192" t="e">
        <f t="shared" si="55"/>
        <v>#DIV/0!</v>
      </c>
    </row>
    <row r="339" spans="1:13" ht="16.5" customHeight="1" hidden="1">
      <c r="A339" s="82" t="s">
        <v>611</v>
      </c>
      <c r="B339" s="112" t="s">
        <v>128</v>
      </c>
      <c r="C339" s="83" t="s">
        <v>288</v>
      </c>
      <c r="D339" s="83" t="s">
        <v>114</v>
      </c>
      <c r="E339" s="83" t="s">
        <v>591</v>
      </c>
      <c r="F339" s="83" t="s">
        <v>315</v>
      </c>
      <c r="G339" s="84">
        <f>G340</f>
        <v>0</v>
      </c>
      <c r="H339" s="22"/>
      <c r="I339" s="22"/>
      <c r="J339" s="29"/>
      <c r="K339" s="191"/>
      <c r="L339" s="191"/>
      <c r="M339" s="192" t="e">
        <f t="shared" si="55"/>
        <v>#DIV/0!</v>
      </c>
    </row>
    <row r="340" spans="1:13" ht="16.5" customHeight="1" hidden="1">
      <c r="A340" s="125" t="s">
        <v>160</v>
      </c>
      <c r="B340" s="94" t="s">
        <v>128</v>
      </c>
      <c r="C340" s="80" t="s">
        <v>288</v>
      </c>
      <c r="D340" s="80" t="s">
        <v>114</v>
      </c>
      <c r="E340" s="83" t="s">
        <v>591</v>
      </c>
      <c r="F340" s="83" t="s">
        <v>161</v>
      </c>
      <c r="G340" s="81">
        <f>G341</f>
        <v>0</v>
      </c>
      <c r="H340" s="22"/>
      <c r="I340" s="22"/>
      <c r="J340" s="29"/>
      <c r="K340" s="191"/>
      <c r="L340" s="191"/>
      <c r="M340" s="192" t="e">
        <f t="shared" si="55"/>
        <v>#DIV/0!</v>
      </c>
    </row>
    <row r="341" spans="1:13" ht="16.5" customHeight="1" hidden="1">
      <c r="A341" s="125" t="s">
        <v>162</v>
      </c>
      <c r="B341" s="94" t="s">
        <v>128</v>
      </c>
      <c r="C341" s="80" t="s">
        <v>288</v>
      </c>
      <c r="D341" s="80" t="s">
        <v>114</v>
      </c>
      <c r="E341" s="83" t="s">
        <v>591</v>
      </c>
      <c r="F341" s="83" t="s">
        <v>220</v>
      </c>
      <c r="G341" s="81"/>
      <c r="H341" s="22"/>
      <c r="I341" s="22"/>
      <c r="J341" s="29"/>
      <c r="K341" s="191"/>
      <c r="L341" s="191"/>
      <c r="M341" s="192" t="e">
        <f t="shared" si="55"/>
        <v>#DIV/0!</v>
      </c>
    </row>
    <row r="342" spans="1:13" ht="16.5" customHeight="1" hidden="1">
      <c r="A342" s="82" t="s">
        <v>612</v>
      </c>
      <c r="B342" s="112" t="s">
        <v>128</v>
      </c>
      <c r="C342" s="83" t="s">
        <v>288</v>
      </c>
      <c r="D342" s="83" t="s">
        <v>114</v>
      </c>
      <c r="E342" s="83" t="s">
        <v>592</v>
      </c>
      <c r="F342" s="83" t="s">
        <v>315</v>
      </c>
      <c r="G342" s="84">
        <f>G343</f>
        <v>0</v>
      </c>
      <c r="H342" s="22"/>
      <c r="I342" s="22"/>
      <c r="J342" s="29"/>
      <c r="K342" s="191"/>
      <c r="L342" s="191"/>
      <c r="M342" s="192" t="e">
        <f t="shared" si="55"/>
        <v>#DIV/0!</v>
      </c>
    </row>
    <row r="343" spans="1:13" ht="16.5" customHeight="1" hidden="1">
      <c r="A343" s="125" t="s">
        <v>160</v>
      </c>
      <c r="B343" s="94" t="s">
        <v>128</v>
      </c>
      <c r="C343" s="80" t="s">
        <v>288</v>
      </c>
      <c r="D343" s="80" t="s">
        <v>114</v>
      </c>
      <c r="E343" s="83" t="s">
        <v>592</v>
      </c>
      <c r="F343" s="80" t="s">
        <v>161</v>
      </c>
      <c r="G343" s="81">
        <f>G344</f>
        <v>0</v>
      </c>
      <c r="H343" s="22"/>
      <c r="I343" s="22"/>
      <c r="J343" s="29"/>
      <c r="K343" s="191"/>
      <c r="L343" s="191"/>
      <c r="M343" s="192" t="e">
        <f t="shared" si="55"/>
        <v>#DIV/0!</v>
      </c>
    </row>
    <row r="344" spans="1:13" ht="103.5" customHeight="1" hidden="1">
      <c r="A344" s="125" t="s">
        <v>162</v>
      </c>
      <c r="B344" s="94" t="s">
        <v>128</v>
      </c>
      <c r="C344" s="80" t="s">
        <v>288</v>
      </c>
      <c r="D344" s="80" t="s">
        <v>114</v>
      </c>
      <c r="E344" s="83" t="s">
        <v>592</v>
      </c>
      <c r="F344" s="80" t="s">
        <v>220</v>
      </c>
      <c r="G344" s="81"/>
      <c r="H344" s="23"/>
      <c r="I344" s="23">
        <f>I345+I347</f>
        <v>11262.43241</v>
      </c>
      <c r="J344" s="29"/>
      <c r="K344" s="29"/>
      <c r="L344" s="191"/>
      <c r="M344" s="192" t="e">
        <f t="shared" si="55"/>
        <v>#DIV/0!</v>
      </c>
    </row>
    <row r="345" spans="1:13" ht="31.5" customHeight="1" hidden="1">
      <c r="A345" s="103" t="s">
        <v>729</v>
      </c>
      <c r="B345" s="203" t="s">
        <v>128</v>
      </c>
      <c r="C345" s="97" t="s">
        <v>288</v>
      </c>
      <c r="D345" s="97" t="s">
        <v>114</v>
      </c>
      <c r="E345" s="97" t="s">
        <v>730</v>
      </c>
      <c r="F345" s="97" t="s">
        <v>315</v>
      </c>
      <c r="G345" s="172">
        <f>G346+G349</f>
        <v>0</v>
      </c>
      <c r="H345" s="22"/>
      <c r="I345" s="22">
        <f>I346</f>
        <v>103.53807</v>
      </c>
      <c r="J345" s="29"/>
      <c r="K345" s="191"/>
      <c r="L345" s="191"/>
      <c r="M345" s="192" t="e">
        <f t="shared" si="55"/>
        <v>#DIV/0!</v>
      </c>
    </row>
    <row r="346" spans="1:13" ht="42.75" customHeight="1" hidden="1">
      <c r="A346" s="82" t="s">
        <v>731</v>
      </c>
      <c r="B346" s="112" t="s">
        <v>128</v>
      </c>
      <c r="C346" s="83" t="s">
        <v>288</v>
      </c>
      <c r="D346" s="83" t="s">
        <v>114</v>
      </c>
      <c r="E346" s="9" t="s">
        <v>732</v>
      </c>
      <c r="F346" s="83" t="s">
        <v>315</v>
      </c>
      <c r="G346" s="84">
        <f>G347</f>
        <v>0</v>
      </c>
      <c r="H346" s="22"/>
      <c r="I346" s="22">
        <f>150-46.46193</f>
        <v>103.53807</v>
      </c>
      <c r="J346" s="29"/>
      <c r="K346" s="191"/>
      <c r="L346" s="191"/>
      <c r="M346" s="192" t="e">
        <f t="shared" si="55"/>
        <v>#DIV/0!</v>
      </c>
    </row>
    <row r="347" spans="1:13" ht="29.25" customHeight="1" hidden="1">
      <c r="A347" s="79" t="s">
        <v>160</v>
      </c>
      <c r="B347" s="94" t="s">
        <v>128</v>
      </c>
      <c r="C347" s="80" t="s">
        <v>288</v>
      </c>
      <c r="D347" s="80" t="s">
        <v>114</v>
      </c>
      <c r="E347" s="3" t="s">
        <v>732</v>
      </c>
      <c r="F347" s="80" t="s">
        <v>161</v>
      </c>
      <c r="G347" s="81">
        <f>G348</f>
        <v>0</v>
      </c>
      <c r="H347" s="22"/>
      <c r="I347" s="22">
        <f>I348+I349</f>
        <v>11158.894339999999</v>
      </c>
      <c r="J347" s="29"/>
      <c r="K347" s="191"/>
      <c r="L347" s="191"/>
      <c r="M347" s="192" t="e">
        <f t="shared" si="55"/>
        <v>#DIV/0!</v>
      </c>
    </row>
    <row r="348" spans="1:13" ht="30" customHeight="1" hidden="1">
      <c r="A348" s="79" t="s">
        <v>162</v>
      </c>
      <c r="B348" s="94" t="s">
        <v>128</v>
      </c>
      <c r="C348" s="80" t="s">
        <v>288</v>
      </c>
      <c r="D348" s="80" t="s">
        <v>114</v>
      </c>
      <c r="E348" s="3" t="s">
        <v>732</v>
      </c>
      <c r="F348" s="80" t="s">
        <v>220</v>
      </c>
      <c r="G348" s="81">
        <v>0</v>
      </c>
      <c r="H348" s="22"/>
      <c r="I348" s="22">
        <f>9891.28906+240.04467-755.54486</f>
        <v>9375.788869999998</v>
      </c>
      <c r="J348" s="29"/>
      <c r="K348" s="191"/>
      <c r="L348" s="191"/>
      <c r="M348" s="192" t="e">
        <f t="shared" si="55"/>
        <v>#DIV/0!</v>
      </c>
    </row>
    <row r="349" spans="1:13" ht="34.5" customHeight="1" hidden="1">
      <c r="A349" s="82" t="s">
        <v>767</v>
      </c>
      <c r="B349" s="112" t="s">
        <v>128</v>
      </c>
      <c r="C349" s="83" t="s">
        <v>288</v>
      </c>
      <c r="D349" s="83" t="s">
        <v>114</v>
      </c>
      <c r="E349" s="9" t="s">
        <v>734</v>
      </c>
      <c r="F349" s="83" t="s">
        <v>315</v>
      </c>
      <c r="G349" s="222">
        <f>G350</f>
        <v>0</v>
      </c>
      <c r="H349" s="22"/>
      <c r="I349" s="22">
        <f>2200-390.63453-26.26</f>
        <v>1783.10547</v>
      </c>
      <c r="J349" s="29"/>
      <c r="K349" s="191"/>
      <c r="L349" s="191"/>
      <c r="M349" s="192" t="e">
        <f t="shared" si="55"/>
        <v>#DIV/0!</v>
      </c>
    </row>
    <row r="350" spans="1:13" ht="47.25" hidden="1">
      <c r="A350" s="125" t="s">
        <v>160</v>
      </c>
      <c r="B350" s="94" t="s">
        <v>128</v>
      </c>
      <c r="C350" s="80" t="s">
        <v>288</v>
      </c>
      <c r="D350" s="80" t="s">
        <v>114</v>
      </c>
      <c r="E350" s="3" t="s">
        <v>734</v>
      </c>
      <c r="F350" s="80" t="s">
        <v>161</v>
      </c>
      <c r="G350" s="124">
        <f>G351</f>
        <v>0</v>
      </c>
      <c r="H350" s="23"/>
      <c r="I350" s="23">
        <f>I351+I353</f>
        <v>0</v>
      </c>
      <c r="J350" s="29"/>
      <c r="K350" s="29"/>
      <c r="L350" s="191"/>
      <c r="M350" s="192" t="e">
        <f t="shared" si="55"/>
        <v>#DIV/0!</v>
      </c>
    </row>
    <row r="351" spans="1:13" ht="15.75" hidden="1">
      <c r="A351" s="125" t="s">
        <v>162</v>
      </c>
      <c r="B351" s="94" t="s">
        <v>128</v>
      </c>
      <c r="C351" s="80" t="s">
        <v>288</v>
      </c>
      <c r="D351" s="80" t="s">
        <v>114</v>
      </c>
      <c r="E351" s="3" t="s">
        <v>734</v>
      </c>
      <c r="F351" s="80" t="s">
        <v>220</v>
      </c>
      <c r="G351" s="124">
        <v>0</v>
      </c>
      <c r="H351" s="22"/>
      <c r="I351" s="22">
        <f>I352</f>
        <v>0</v>
      </c>
      <c r="J351" s="29"/>
      <c r="K351" s="191"/>
      <c r="L351" s="191"/>
      <c r="M351" s="192" t="e">
        <f t="shared" si="55"/>
        <v>#DIV/0!</v>
      </c>
    </row>
    <row r="352" spans="1:13" ht="47.25">
      <c r="A352" s="82" t="s">
        <v>673</v>
      </c>
      <c r="B352" s="112">
        <v>951</v>
      </c>
      <c r="C352" s="83" t="s">
        <v>288</v>
      </c>
      <c r="D352" s="83" t="s">
        <v>114</v>
      </c>
      <c r="E352" s="83" t="s">
        <v>22</v>
      </c>
      <c r="F352" s="83" t="s">
        <v>315</v>
      </c>
      <c r="G352" s="84">
        <f aca="true" t="shared" si="64" ref="G352:J353">G353</f>
        <v>39</v>
      </c>
      <c r="H352" s="84">
        <f t="shared" si="64"/>
        <v>0</v>
      </c>
      <c r="I352" s="84">
        <f t="shared" si="64"/>
        <v>0</v>
      </c>
      <c r="J352" s="84">
        <f t="shared" si="64"/>
        <v>39</v>
      </c>
      <c r="K352" s="191"/>
      <c r="L352" s="191"/>
      <c r="M352" s="192">
        <f t="shared" si="55"/>
        <v>100</v>
      </c>
    </row>
    <row r="353" spans="1:13" ht="31.5">
      <c r="A353" s="79" t="s">
        <v>73</v>
      </c>
      <c r="B353" s="94">
        <v>951</v>
      </c>
      <c r="C353" s="80" t="s">
        <v>288</v>
      </c>
      <c r="D353" s="80" t="s">
        <v>114</v>
      </c>
      <c r="E353" s="80" t="s">
        <v>368</v>
      </c>
      <c r="F353" s="80" t="s">
        <v>315</v>
      </c>
      <c r="G353" s="81">
        <f t="shared" si="64"/>
        <v>39</v>
      </c>
      <c r="H353" s="81">
        <f t="shared" si="64"/>
        <v>0</v>
      </c>
      <c r="I353" s="81">
        <f t="shared" si="64"/>
        <v>0</v>
      </c>
      <c r="J353" s="81">
        <f t="shared" si="64"/>
        <v>39</v>
      </c>
      <c r="K353" s="191"/>
      <c r="L353" s="191"/>
      <c r="M353" s="192">
        <f t="shared" si="55"/>
        <v>100</v>
      </c>
    </row>
    <row r="354" spans="1:13" ht="15.75">
      <c r="A354" s="79" t="s">
        <v>162</v>
      </c>
      <c r="B354" s="94">
        <v>951</v>
      </c>
      <c r="C354" s="80" t="s">
        <v>288</v>
      </c>
      <c r="D354" s="80" t="s">
        <v>114</v>
      </c>
      <c r="E354" s="80" t="s">
        <v>74</v>
      </c>
      <c r="F354" s="80" t="s">
        <v>220</v>
      </c>
      <c r="G354" s="81">
        <v>39</v>
      </c>
      <c r="H354" s="22"/>
      <c r="I354" s="22">
        <v>0</v>
      </c>
      <c r="J354" s="29">
        <v>39</v>
      </c>
      <c r="K354" s="191"/>
      <c r="L354" s="191"/>
      <c r="M354" s="192">
        <f aca="true" t="shared" si="65" ref="M354:M417">J354/G354*100</f>
        <v>100</v>
      </c>
    </row>
    <row r="355" spans="1:13" s="195" customFormat="1" ht="63">
      <c r="A355" s="10" t="s">
        <v>713</v>
      </c>
      <c r="B355" s="40">
        <v>951</v>
      </c>
      <c r="C355" s="9" t="s">
        <v>288</v>
      </c>
      <c r="D355" s="9" t="s">
        <v>114</v>
      </c>
      <c r="E355" s="9" t="s">
        <v>62</v>
      </c>
      <c r="F355" s="9" t="s">
        <v>315</v>
      </c>
      <c r="G355" s="23">
        <f>G356</f>
        <v>5</v>
      </c>
      <c r="H355" s="23" t="e">
        <f>H356</f>
        <v>#REF!</v>
      </c>
      <c r="I355" s="23">
        <f>I356</f>
        <v>0</v>
      </c>
      <c r="J355" s="23">
        <f>J356</f>
        <v>5</v>
      </c>
      <c r="K355" s="185"/>
      <c r="L355" s="185"/>
      <c r="M355" s="192">
        <f t="shared" si="65"/>
        <v>100</v>
      </c>
    </row>
    <row r="356" spans="1:13" ht="31.5">
      <c r="A356" s="8" t="s">
        <v>256</v>
      </c>
      <c r="B356" s="2">
        <v>951</v>
      </c>
      <c r="C356" s="3" t="s">
        <v>288</v>
      </c>
      <c r="D356" s="3" t="s">
        <v>114</v>
      </c>
      <c r="E356" s="3" t="s">
        <v>75</v>
      </c>
      <c r="F356" s="3" t="s">
        <v>220</v>
      </c>
      <c r="G356" s="22">
        <v>5</v>
      </c>
      <c r="H356" s="22" t="e">
        <f aca="true" t="shared" si="66" ref="H356:L358">H357</f>
        <v>#REF!</v>
      </c>
      <c r="I356" s="22">
        <f t="shared" si="66"/>
        <v>0</v>
      </c>
      <c r="J356" s="29">
        <v>5</v>
      </c>
      <c r="K356" s="191"/>
      <c r="L356" s="191"/>
      <c r="M356" s="192">
        <f t="shared" si="65"/>
        <v>100</v>
      </c>
    </row>
    <row r="357" spans="1:13" ht="78.75">
      <c r="A357" s="10" t="s">
        <v>675</v>
      </c>
      <c r="B357" s="40">
        <v>951</v>
      </c>
      <c r="C357" s="9" t="s">
        <v>288</v>
      </c>
      <c r="D357" s="9" t="s">
        <v>114</v>
      </c>
      <c r="E357" s="40" t="s">
        <v>29</v>
      </c>
      <c r="F357" s="9" t="s">
        <v>315</v>
      </c>
      <c r="G357" s="23">
        <f>G358</f>
        <v>40</v>
      </c>
      <c r="H357" s="23" t="e">
        <f t="shared" si="66"/>
        <v>#REF!</v>
      </c>
      <c r="I357" s="23">
        <f t="shared" si="66"/>
        <v>0</v>
      </c>
      <c r="J357" s="23">
        <f t="shared" si="66"/>
        <v>40</v>
      </c>
      <c r="K357" s="23">
        <f t="shared" si="66"/>
        <v>0</v>
      </c>
      <c r="L357" s="23">
        <f t="shared" si="66"/>
        <v>0</v>
      </c>
      <c r="M357" s="192">
        <f t="shared" si="65"/>
        <v>100</v>
      </c>
    </row>
    <row r="358" spans="1:13" ht="30.75" customHeight="1">
      <c r="A358" s="79" t="s">
        <v>160</v>
      </c>
      <c r="B358" s="94">
        <v>951</v>
      </c>
      <c r="C358" s="80" t="s">
        <v>288</v>
      </c>
      <c r="D358" s="80" t="s">
        <v>114</v>
      </c>
      <c r="E358" s="94" t="s">
        <v>482</v>
      </c>
      <c r="F358" s="80" t="s">
        <v>161</v>
      </c>
      <c r="G358" s="81">
        <f>G359</f>
        <v>40</v>
      </c>
      <c r="H358" s="81" t="e">
        <f t="shared" si="66"/>
        <v>#REF!</v>
      </c>
      <c r="I358" s="81">
        <f t="shared" si="66"/>
        <v>0</v>
      </c>
      <c r="J358" s="81">
        <f t="shared" si="66"/>
        <v>40</v>
      </c>
      <c r="K358" s="191"/>
      <c r="L358" s="191"/>
      <c r="M358" s="192">
        <f t="shared" si="65"/>
        <v>100</v>
      </c>
    </row>
    <row r="359" spans="1:13" ht="30" customHeight="1">
      <c r="A359" s="79" t="s">
        <v>256</v>
      </c>
      <c r="B359" s="94">
        <v>951</v>
      </c>
      <c r="C359" s="80" t="s">
        <v>288</v>
      </c>
      <c r="D359" s="80" t="s">
        <v>114</v>
      </c>
      <c r="E359" s="94" t="s">
        <v>482</v>
      </c>
      <c r="F359" s="80" t="s">
        <v>220</v>
      </c>
      <c r="G359" s="22">
        <v>40</v>
      </c>
      <c r="H359" s="22" t="e">
        <f aca="true" t="shared" si="67" ref="H359:L360">H360</f>
        <v>#REF!</v>
      </c>
      <c r="I359" s="22">
        <f t="shared" si="67"/>
        <v>0</v>
      </c>
      <c r="J359" s="29">
        <v>40</v>
      </c>
      <c r="K359" s="191"/>
      <c r="L359" s="191"/>
      <c r="M359" s="192">
        <f t="shared" si="65"/>
        <v>100</v>
      </c>
    </row>
    <row r="360" spans="1:13" ht="94.5" hidden="1">
      <c r="A360" s="82" t="s">
        <v>687</v>
      </c>
      <c r="B360" s="112">
        <v>951</v>
      </c>
      <c r="C360" s="83" t="s">
        <v>288</v>
      </c>
      <c r="D360" s="83" t="s">
        <v>114</v>
      </c>
      <c r="E360" s="83" t="s">
        <v>384</v>
      </c>
      <c r="F360" s="83" t="s">
        <v>315</v>
      </c>
      <c r="G360" s="84">
        <f>G361</f>
        <v>0</v>
      </c>
      <c r="H360" s="84" t="e">
        <f t="shared" si="67"/>
        <v>#REF!</v>
      </c>
      <c r="I360" s="84">
        <f t="shared" si="67"/>
        <v>0</v>
      </c>
      <c r="J360" s="84">
        <f t="shared" si="67"/>
        <v>0</v>
      </c>
      <c r="K360" s="84">
        <f t="shared" si="67"/>
        <v>0</v>
      </c>
      <c r="L360" s="84">
        <f t="shared" si="67"/>
        <v>0</v>
      </c>
      <c r="M360" s="192" t="e">
        <f t="shared" si="65"/>
        <v>#DIV/0!</v>
      </c>
    </row>
    <row r="361" spans="1:13" ht="33" customHeight="1" hidden="1">
      <c r="A361" s="79" t="s">
        <v>160</v>
      </c>
      <c r="B361" s="94">
        <v>951</v>
      </c>
      <c r="C361" s="80" t="s">
        <v>288</v>
      </c>
      <c r="D361" s="80" t="s">
        <v>114</v>
      </c>
      <c r="E361" s="80" t="s">
        <v>544</v>
      </c>
      <c r="F361" s="80" t="s">
        <v>161</v>
      </c>
      <c r="G361" s="81">
        <f>G362</f>
        <v>0</v>
      </c>
      <c r="H361" s="30" t="e">
        <f>H367</f>
        <v>#REF!</v>
      </c>
      <c r="I361" s="30">
        <f>I362</f>
        <v>0</v>
      </c>
      <c r="J361" s="29"/>
      <c r="K361" s="191"/>
      <c r="L361" s="191"/>
      <c r="M361" s="192" t="e">
        <f t="shared" si="65"/>
        <v>#DIV/0!</v>
      </c>
    </row>
    <row r="362" spans="1:13" ht="30.75" customHeight="1" hidden="1">
      <c r="A362" s="79" t="s">
        <v>162</v>
      </c>
      <c r="B362" s="94">
        <v>951</v>
      </c>
      <c r="C362" s="80" t="s">
        <v>288</v>
      </c>
      <c r="D362" s="80" t="s">
        <v>114</v>
      </c>
      <c r="E362" s="80" t="s">
        <v>544</v>
      </c>
      <c r="F362" s="80" t="s">
        <v>220</v>
      </c>
      <c r="G362" s="81">
        <v>0</v>
      </c>
      <c r="H362" s="23"/>
      <c r="I362" s="23">
        <f>I363+I365</f>
        <v>0</v>
      </c>
      <c r="J362" s="29"/>
      <c r="K362" s="191"/>
      <c r="L362" s="191"/>
      <c r="M362" s="192" t="e">
        <f t="shared" si="65"/>
        <v>#DIV/0!</v>
      </c>
    </row>
    <row r="363" spans="1:13" ht="48" customHeight="1" hidden="1">
      <c r="A363" s="103" t="s">
        <v>608</v>
      </c>
      <c r="B363" s="203">
        <v>951</v>
      </c>
      <c r="C363" s="97" t="s">
        <v>285</v>
      </c>
      <c r="D363" s="97" t="s">
        <v>104</v>
      </c>
      <c r="E363" s="97" t="s">
        <v>243</v>
      </c>
      <c r="F363" s="97" t="s">
        <v>315</v>
      </c>
      <c r="G363" s="172">
        <f>G365</f>
        <v>0</v>
      </c>
      <c r="H363" s="22"/>
      <c r="I363" s="22">
        <f>I364</f>
        <v>0</v>
      </c>
      <c r="J363" s="29"/>
      <c r="K363" s="191"/>
      <c r="L363" s="191"/>
      <c r="M363" s="192" t="e">
        <f t="shared" si="65"/>
        <v>#DIV/0!</v>
      </c>
    </row>
    <row r="364" spans="1:13" ht="31.5" customHeight="1" hidden="1">
      <c r="A364" s="110" t="s">
        <v>595</v>
      </c>
      <c r="B364" s="88" t="s">
        <v>128</v>
      </c>
      <c r="C364" s="88" t="s">
        <v>285</v>
      </c>
      <c r="D364" s="88" t="s">
        <v>285</v>
      </c>
      <c r="E364" s="88" t="s">
        <v>243</v>
      </c>
      <c r="F364" s="88" t="s">
        <v>315</v>
      </c>
      <c r="G364" s="89">
        <f>G365</f>
        <v>0</v>
      </c>
      <c r="H364" s="22"/>
      <c r="I364" s="22">
        <v>0</v>
      </c>
      <c r="J364" s="29"/>
      <c r="K364" s="191"/>
      <c r="L364" s="191"/>
      <c r="M364" s="192" t="e">
        <f t="shared" si="65"/>
        <v>#DIV/0!</v>
      </c>
    </row>
    <row r="365" spans="1:13" ht="27" customHeight="1" hidden="1">
      <c r="A365" s="79" t="s">
        <v>581</v>
      </c>
      <c r="B365" s="112">
        <v>951</v>
      </c>
      <c r="C365" s="83" t="s">
        <v>285</v>
      </c>
      <c r="D365" s="83" t="s">
        <v>285</v>
      </c>
      <c r="E365" s="83" t="s">
        <v>594</v>
      </c>
      <c r="F365" s="80" t="s">
        <v>315</v>
      </c>
      <c r="G365" s="81">
        <f>G366</f>
        <v>0</v>
      </c>
      <c r="H365" s="22"/>
      <c r="I365" s="22">
        <f>I366</f>
        <v>0</v>
      </c>
      <c r="J365" s="29"/>
      <c r="K365" s="191"/>
      <c r="L365" s="191"/>
      <c r="M365" s="192" t="e">
        <f t="shared" si="65"/>
        <v>#DIV/0!</v>
      </c>
    </row>
    <row r="366" spans="1:13" ht="30.75" customHeight="1" hidden="1">
      <c r="A366" s="79" t="s">
        <v>137</v>
      </c>
      <c r="B366" s="112">
        <v>951</v>
      </c>
      <c r="C366" s="83" t="s">
        <v>285</v>
      </c>
      <c r="D366" s="83" t="s">
        <v>285</v>
      </c>
      <c r="E366" s="80" t="s">
        <v>593</v>
      </c>
      <c r="F366" s="80" t="s">
        <v>112</v>
      </c>
      <c r="G366" s="81">
        <f>G367</f>
        <v>0</v>
      </c>
      <c r="H366" s="22"/>
      <c r="I366" s="22">
        <v>0</v>
      </c>
      <c r="J366" s="29"/>
      <c r="K366" s="191"/>
      <c r="L366" s="191"/>
      <c r="M366" s="192" t="e">
        <f t="shared" si="65"/>
        <v>#DIV/0!</v>
      </c>
    </row>
    <row r="367" spans="1:13" ht="35.25" customHeight="1" hidden="1">
      <c r="A367" s="93" t="s">
        <v>138</v>
      </c>
      <c r="B367" s="112">
        <v>951</v>
      </c>
      <c r="C367" s="83" t="s">
        <v>285</v>
      </c>
      <c r="D367" s="83" t="s">
        <v>285</v>
      </c>
      <c r="E367" s="80" t="s">
        <v>596</v>
      </c>
      <c r="F367" s="80" t="s">
        <v>139</v>
      </c>
      <c r="G367" s="81"/>
      <c r="H367" s="23" t="e">
        <f>H368+H370</f>
        <v>#REF!</v>
      </c>
      <c r="I367" s="23"/>
      <c r="J367" s="29"/>
      <c r="K367" s="191"/>
      <c r="L367" s="191"/>
      <c r="M367" s="192" t="e">
        <f t="shared" si="65"/>
        <v>#DIV/0!</v>
      </c>
    </row>
    <row r="368" spans="1:13" ht="35.25" customHeight="1" hidden="1">
      <c r="A368" s="79"/>
      <c r="B368" s="94"/>
      <c r="C368" s="80"/>
      <c r="D368" s="80"/>
      <c r="E368" s="80"/>
      <c r="F368" s="80"/>
      <c r="G368" s="81"/>
      <c r="H368" s="22" t="e">
        <f>H369</f>
        <v>#REF!</v>
      </c>
      <c r="I368" s="22"/>
      <c r="J368" s="29"/>
      <c r="K368" s="191"/>
      <c r="L368" s="191"/>
      <c r="M368" s="192" t="e">
        <f t="shared" si="65"/>
        <v>#DIV/0!</v>
      </c>
    </row>
    <row r="369" spans="1:13" ht="32.25" customHeight="1">
      <c r="A369" s="207" t="s">
        <v>166</v>
      </c>
      <c r="B369" s="212">
        <v>951</v>
      </c>
      <c r="C369" s="77" t="s">
        <v>167</v>
      </c>
      <c r="D369" s="77" t="s">
        <v>104</v>
      </c>
      <c r="E369" s="77" t="s">
        <v>243</v>
      </c>
      <c r="F369" s="77" t="s">
        <v>315</v>
      </c>
      <c r="G369" s="78">
        <f>G370+G375+G390</f>
        <v>23667.71307</v>
      </c>
      <c r="H369" s="78" t="e">
        <f>H370+H375+H390</f>
        <v>#REF!</v>
      </c>
      <c r="I369" s="78">
        <f>I370+I375+I390</f>
        <v>0</v>
      </c>
      <c r="J369" s="78">
        <f>J370+J375+J390</f>
        <v>22384.413140000004</v>
      </c>
      <c r="K369" s="191"/>
      <c r="L369" s="191"/>
      <c r="M369" s="322">
        <f t="shared" si="65"/>
        <v>94.5778456659311</v>
      </c>
    </row>
    <row r="370" spans="1:13" ht="24.75" customHeight="1">
      <c r="A370" s="178" t="s">
        <v>97</v>
      </c>
      <c r="B370" s="193">
        <v>951</v>
      </c>
      <c r="C370" s="194" t="s">
        <v>167</v>
      </c>
      <c r="D370" s="194" t="s">
        <v>103</v>
      </c>
      <c r="E370" s="194" t="s">
        <v>243</v>
      </c>
      <c r="F370" s="194" t="s">
        <v>315</v>
      </c>
      <c r="G370" s="173">
        <f>G371</f>
        <v>1199</v>
      </c>
      <c r="H370" s="173">
        <f aca="true" t="shared" si="68" ref="H370:J373">H371</f>
        <v>30</v>
      </c>
      <c r="I370" s="173">
        <f t="shared" si="68"/>
        <v>0</v>
      </c>
      <c r="J370" s="173">
        <f t="shared" si="68"/>
        <v>1197.87985</v>
      </c>
      <c r="K370" s="191"/>
      <c r="L370" s="191"/>
      <c r="M370" s="263">
        <f t="shared" si="65"/>
        <v>99.90657631359467</v>
      </c>
    </row>
    <row r="371" spans="1:13" ht="31.5" customHeight="1">
      <c r="A371" s="79" t="s">
        <v>437</v>
      </c>
      <c r="B371" s="94">
        <v>951</v>
      </c>
      <c r="C371" s="80" t="s">
        <v>167</v>
      </c>
      <c r="D371" s="80" t="s">
        <v>103</v>
      </c>
      <c r="E371" s="80" t="s">
        <v>76</v>
      </c>
      <c r="F371" s="80" t="s">
        <v>315</v>
      </c>
      <c r="G371" s="81">
        <f>G372</f>
        <v>1199</v>
      </c>
      <c r="H371" s="81">
        <f t="shared" si="68"/>
        <v>30</v>
      </c>
      <c r="I371" s="81">
        <f t="shared" si="68"/>
        <v>0</v>
      </c>
      <c r="J371" s="81">
        <f t="shared" si="68"/>
        <v>1197.87985</v>
      </c>
      <c r="K371" s="191"/>
      <c r="L371" s="191"/>
      <c r="M371" s="192">
        <f t="shared" si="65"/>
        <v>99.90657631359467</v>
      </c>
    </row>
    <row r="372" spans="1:13" ht="47.25">
      <c r="A372" s="79" t="s">
        <v>98</v>
      </c>
      <c r="B372" s="94">
        <v>951</v>
      </c>
      <c r="C372" s="80" t="s">
        <v>167</v>
      </c>
      <c r="D372" s="80" t="s">
        <v>103</v>
      </c>
      <c r="E372" s="80" t="s">
        <v>76</v>
      </c>
      <c r="F372" s="80" t="s">
        <v>315</v>
      </c>
      <c r="G372" s="81">
        <f>G373</f>
        <v>1199</v>
      </c>
      <c r="H372" s="81">
        <f t="shared" si="68"/>
        <v>30</v>
      </c>
      <c r="I372" s="81">
        <f t="shared" si="68"/>
        <v>0</v>
      </c>
      <c r="J372" s="81">
        <f t="shared" si="68"/>
        <v>1197.87985</v>
      </c>
      <c r="K372" s="191"/>
      <c r="L372" s="191"/>
      <c r="M372" s="192">
        <f t="shared" si="65"/>
        <v>99.90657631359467</v>
      </c>
    </row>
    <row r="373" spans="1:13" ht="30" customHeight="1">
      <c r="A373" s="79" t="s">
        <v>151</v>
      </c>
      <c r="B373" s="94">
        <v>951</v>
      </c>
      <c r="C373" s="80" t="s">
        <v>167</v>
      </c>
      <c r="D373" s="80" t="s">
        <v>103</v>
      </c>
      <c r="E373" s="80" t="s">
        <v>76</v>
      </c>
      <c r="F373" s="80" t="s">
        <v>113</v>
      </c>
      <c r="G373" s="81">
        <f>G374</f>
        <v>1199</v>
      </c>
      <c r="H373" s="81">
        <f t="shared" si="68"/>
        <v>30</v>
      </c>
      <c r="I373" s="81">
        <f t="shared" si="68"/>
        <v>0</v>
      </c>
      <c r="J373" s="81">
        <f t="shared" si="68"/>
        <v>1197.87985</v>
      </c>
      <c r="K373" s="191"/>
      <c r="L373" s="191"/>
      <c r="M373" s="192">
        <f t="shared" si="65"/>
        <v>99.90657631359467</v>
      </c>
    </row>
    <row r="374" spans="1:13" ht="42" customHeight="1">
      <c r="A374" s="79" t="s">
        <v>152</v>
      </c>
      <c r="B374" s="94">
        <v>951</v>
      </c>
      <c r="C374" s="80" t="s">
        <v>167</v>
      </c>
      <c r="D374" s="80" t="s">
        <v>103</v>
      </c>
      <c r="E374" s="80" t="s">
        <v>76</v>
      </c>
      <c r="F374" s="80" t="s">
        <v>153</v>
      </c>
      <c r="G374" s="22">
        <f>1080+119</f>
        <v>1199</v>
      </c>
      <c r="H374" s="22">
        <f>153-123</f>
        <v>30</v>
      </c>
      <c r="I374" s="22"/>
      <c r="J374" s="29">
        <v>1197.87985</v>
      </c>
      <c r="K374" s="191"/>
      <c r="L374" s="191"/>
      <c r="M374" s="192">
        <f t="shared" si="65"/>
        <v>99.90657631359467</v>
      </c>
    </row>
    <row r="375" spans="1:13" ht="15.75">
      <c r="A375" s="8" t="s">
        <v>438</v>
      </c>
      <c r="B375" s="2">
        <v>951</v>
      </c>
      <c r="C375" s="3" t="s">
        <v>167</v>
      </c>
      <c r="D375" s="3" t="s">
        <v>110</v>
      </c>
      <c r="E375" s="3" t="s">
        <v>243</v>
      </c>
      <c r="F375" s="3" t="s">
        <v>315</v>
      </c>
      <c r="G375" s="22">
        <f>G376+G382</f>
        <v>1314.286</v>
      </c>
      <c r="H375" s="22" t="e">
        <f>H376+H382</f>
        <v>#REF!</v>
      </c>
      <c r="I375" s="22">
        <f>I376+I382</f>
        <v>0</v>
      </c>
      <c r="J375" s="22">
        <f>J376+J382</f>
        <v>1200</v>
      </c>
      <c r="K375" s="191"/>
      <c r="L375" s="191"/>
      <c r="M375" s="192">
        <f t="shared" si="65"/>
        <v>91.30432797732</v>
      </c>
    </row>
    <row r="376" spans="1:13" ht="63" hidden="1">
      <c r="A376" s="82" t="s">
        <v>529</v>
      </c>
      <c r="B376" s="94">
        <v>951</v>
      </c>
      <c r="C376" s="83" t="s">
        <v>167</v>
      </c>
      <c r="D376" s="83" t="s">
        <v>110</v>
      </c>
      <c r="E376" s="83" t="s">
        <v>77</v>
      </c>
      <c r="F376" s="83" t="s">
        <v>315</v>
      </c>
      <c r="G376" s="84">
        <f>G377</f>
        <v>0</v>
      </c>
      <c r="H376" s="84">
        <f aca="true" t="shared" si="69" ref="H376:J377">H377</f>
        <v>0</v>
      </c>
      <c r="I376" s="84">
        <f t="shared" si="69"/>
        <v>0</v>
      </c>
      <c r="J376" s="84">
        <f t="shared" si="69"/>
        <v>0</v>
      </c>
      <c r="K376" s="191"/>
      <c r="L376" s="191"/>
      <c r="M376" s="192" t="e">
        <f t="shared" si="65"/>
        <v>#DIV/0!</v>
      </c>
    </row>
    <row r="377" spans="1:13" s="195" customFormat="1" ht="31.5" hidden="1">
      <c r="A377" s="79" t="s">
        <v>151</v>
      </c>
      <c r="B377" s="94" t="s">
        <v>128</v>
      </c>
      <c r="C377" s="80" t="s">
        <v>167</v>
      </c>
      <c r="D377" s="80" t="s">
        <v>110</v>
      </c>
      <c r="E377" s="80" t="s">
        <v>78</v>
      </c>
      <c r="F377" s="80" t="s">
        <v>113</v>
      </c>
      <c r="G377" s="81">
        <f>G378</f>
        <v>0</v>
      </c>
      <c r="H377" s="81">
        <f t="shared" si="69"/>
        <v>0</v>
      </c>
      <c r="I377" s="81">
        <f t="shared" si="69"/>
        <v>0</v>
      </c>
      <c r="J377" s="81">
        <f t="shared" si="69"/>
        <v>0</v>
      </c>
      <c r="K377" s="185"/>
      <c r="L377" s="185"/>
      <c r="M377" s="192" t="e">
        <f t="shared" si="65"/>
        <v>#DIV/0!</v>
      </c>
    </row>
    <row r="378" spans="1:13" ht="47.25" hidden="1">
      <c r="A378" s="79" t="s">
        <v>154</v>
      </c>
      <c r="B378" s="94">
        <v>951</v>
      </c>
      <c r="C378" s="80" t="s">
        <v>167</v>
      </c>
      <c r="D378" s="80" t="s">
        <v>110</v>
      </c>
      <c r="E378" s="80" t="s">
        <v>78</v>
      </c>
      <c r="F378" s="80" t="s">
        <v>155</v>
      </c>
      <c r="G378" s="22">
        <f>200-200</f>
        <v>0</v>
      </c>
      <c r="H378" s="22">
        <f>200-200</f>
        <v>0</v>
      </c>
      <c r="I378" s="22">
        <f>200-200</f>
        <v>0</v>
      </c>
      <c r="J378" s="22">
        <f>200-200</f>
        <v>0</v>
      </c>
      <c r="K378" s="191"/>
      <c r="L378" s="191"/>
      <c r="M378" s="192" t="e">
        <f t="shared" si="65"/>
        <v>#DIV/0!</v>
      </c>
    </row>
    <row r="379" spans="1:13" ht="27.75" customHeight="1" hidden="1">
      <c r="A379" s="223" t="s">
        <v>395</v>
      </c>
      <c r="B379" s="200">
        <v>952</v>
      </c>
      <c r="C379" s="80" t="s">
        <v>167</v>
      </c>
      <c r="D379" s="80" t="s">
        <v>110</v>
      </c>
      <c r="E379" s="88" t="s">
        <v>243</v>
      </c>
      <c r="F379" s="88" t="s">
        <v>315</v>
      </c>
      <c r="G379" s="89">
        <f>G380</f>
        <v>0</v>
      </c>
      <c r="H379" s="89" t="e">
        <f aca="true" t="shared" si="70" ref="H379:J380">H380</f>
        <v>#REF!</v>
      </c>
      <c r="I379" s="89">
        <f t="shared" si="70"/>
        <v>0</v>
      </c>
      <c r="J379" s="89">
        <f t="shared" si="70"/>
        <v>0</v>
      </c>
      <c r="K379" s="191"/>
      <c r="L379" s="191"/>
      <c r="M379" s="192" t="e">
        <f t="shared" si="65"/>
        <v>#DIV/0!</v>
      </c>
    </row>
    <row r="380" spans="1:13" ht="44.25" customHeight="1" hidden="1">
      <c r="A380" s="79" t="s">
        <v>151</v>
      </c>
      <c r="B380" s="94">
        <v>953</v>
      </c>
      <c r="C380" s="80" t="s">
        <v>167</v>
      </c>
      <c r="D380" s="80" t="s">
        <v>110</v>
      </c>
      <c r="E380" s="80" t="s">
        <v>396</v>
      </c>
      <c r="F380" s="80" t="s">
        <v>113</v>
      </c>
      <c r="G380" s="81">
        <f>G381</f>
        <v>0</v>
      </c>
      <c r="H380" s="81" t="e">
        <f t="shared" si="70"/>
        <v>#REF!</v>
      </c>
      <c r="I380" s="81">
        <f t="shared" si="70"/>
        <v>0</v>
      </c>
      <c r="J380" s="81">
        <f t="shared" si="70"/>
        <v>0</v>
      </c>
      <c r="K380" s="191"/>
      <c r="L380" s="191"/>
      <c r="M380" s="192" t="e">
        <f t="shared" si="65"/>
        <v>#DIV/0!</v>
      </c>
    </row>
    <row r="381" spans="1:13" ht="59.25" customHeight="1" hidden="1">
      <c r="A381" s="79" t="s">
        <v>154</v>
      </c>
      <c r="B381" s="94">
        <v>954</v>
      </c>
      <c r="C381" s="80" t="s">
        <v>167</v>
      </c>
      <c r="D381" s="80" t="s">
        <v>110</v>
      </c>
      <c r="E381" s="80" t="s">
        <v>396</v>
      </c>
      <c r="F381" s="80" t="s">
        <v>155</v>
      </c>
      <c r="G381" s="81"/>
      <c r="H381" s="23" t="e">
        <f>H382</f>
        <v>#REF!</v>
      </c>
      <c r="I381" s="23"/>
      <c r="J381" s="29"/>
      <c r="K381" s="191"/>
      <c r="L381" s="191"/>
      <c r="M381" s="192" t="e">
        <f t="shared" si="65"/>
        <v>#DIV/0!</v>
      </c>
    </row>
    <row r="382" spans="1:13" ht="36.75" customHeight="1">
      <c r="A382" s="79" t="s">
        <v>106</v>
      </c>
      <c r="B382" s="94" t="s">
        <v>128</v>
      </c>
      <c r="C382" s="80" t="s">
        <v>167</v>
      </c>
      <c r="D382" s="80" t="s">
        <v>110</v>
      </c>
      <c r="E382" s="80" t="s">
        <v>243</v>
      </c>
      <c r="F382" s="80" t="s">
        <v>315</v>
      </c>
      <c r="G382" s="81">
        <f>G383</f>
        <v>1314.286</v>
      </c>
      <c r="H382" s="81" t="e">
        <f>H383</f>
        <v>#REF!</v>
      </c>
      <c r="I382" s="81">
        <f>I383</f>
        <v>0</v>
      </c>
      <c r="J382" s="81">
        <f>J383</f>
        <v>1200</v>
      </c>
      <c r="K382" s="191"/>
      <c r="L382" s="191"/>
      <c r="M382" s="192">
        <f t="shared" si="65"/>
        <v>91.30432797732</v>
      </c>
    </row>
    <row r="383" spans="1:13" ht="47.25">
      <c r="A383" s="79" t="s">
        <v>107</v>
      </c>
      <c r="B383" s="94" t="s">
        <v>128</v>
      </c>
      <c r="C383" s="80" t="s">
        <v>167</v>
      </c>
      <c r="D383" s="80" t="s">
        <v>110</v>
      </c>
      <c r="E383" s="80" t="s">
        <v>243</v>
      </c>
      <c r="F383" s="80" t="s">
        <v>315</v>
      </c>
      <c r="G383" s="81">
        <f>G384+G387</f>
        <v>1314.286</v>
      </c>
      <c r="H383" s="81" t="e">
        <f>H384+H387</f>
        <v>#REF!</v>
      </c>
      <c r="I383" s="81">
        <f>I384+I387</f>
        <v>0</v>
      </c>
      <c r="J383" s="81">
        <f>J384+J387</f>
        <v>1200</v>
      </c>
      <c r="K383" s="191"/>
      <c r="L383" s="191"/>
      <c r="M383" s="192">
        <f t="shared" si="65"/>
        <v>91.30432797732</v>
      </c>
    </row>
    <row r="384" spans="1:13" s="195" customFormat="1" ht="267.75">
      <c r="A384" s="95" t="s">
        <v>574</v>
      </c>
      <c r="B384" s="112" t="s">
        <v>128</v>
      </c>
      <c r="C384" s="83" t="s">
        <v>167</v>
      </c>
      <c r="D384" s="83" t="s">
        <v>110</v>
      </c>
      <c r="E384" s="83" t="s">
        <v>736</v>
      </c>
      <c r="F384" s="83" t="s">
        <v>315</v>
      </c>
      <c r="G384" s="84">
        <f>G385</f>
        <v>114.286</v>
      </c>
      <c r="H384" s="84">
        <f aca="true" t="shared" si="71" ref="H384:L385">H385</f>
        <v>0</v>
      </c>
      <c r="I384" s="84">
        <f t="shared" si="71"/>
        <v>0</v>
      </c>
      <c r="J384" s="84">
        <f t="shared" si="71"/>
        <v>0</v>
      </c>
      <c r="K384" s="84">
        <f t="shared" si="71"/>
        <v>0</v>
      </c>
      <c r="L384" s="84">
        <f t="shared" si="71"/>
        <v>0</v>
      </c>
      <c r="M384" s="192">
        <f t="shared" si="65"/>
        <v>0</v>
      </c>
    </row>
    <row r="385" spans="1:13" ht="15.75">
      <c r="A385" s="93" t="s">
        <v>142</v>
      </c>
      <c r="B385" s="94" t="s">
        <v>128</v>
      </c>
      <c r="C385" s="80" t="s">
        <v>167</v>
      </c>
      <c r="D385" s="80" t="s">
        <v>110</v>
      </c>
      <c r="E385" s="80" t="s">
        <v>736</v>
      </c>
      <c r="F385" s="80" t="s">
        <v>143</v>
      </c>
      <c r="G385" s="81">
        <f>G386</f>
        <v>114.286</v>
      </c>
      <c r="H385" s="81">
        <f t="shared" si="71"/>
        <v>0</v>
      </c>
      <c r="I385" s="81">
        <f t="shared" si="71"/>
        <v>0</v>
      </c>
      <c r="J385" s="81">
        <f t="shared" si="71"/>
        <v>0</v>
      </c>
      <c r="K385" s="191"/>
      <c r="L385" s="191"/>
      <c r="M385" s="192">
        <f t="shared" si="65"/>
        <v>0</v>
      </c>
    </row>
    <row r="386" spans="1:13" ht="78.75">
      <c r="A386" s="93" t="s">
        <v>737</v>
      </c>
      <c r="B386" s="94" t="s">
        <v>128</v>
      </c>
      <c r="C386" s="80" t="s">
        <v>167</v>
      </c>
      <c r="D386" s="80" t="s">
        <v>110</v>
      </c>
      <c r="E386" s="80" t="s">
        <v>736</v>
      </c>
      <c r="F386" s="80" t="s">
        <v>294</v>
      </c>
      <c r="G386" s="81">
        <v>114.286</v>
      </c>
      <c r="H386" s="22"/>
      <c r="I386" s="22">
        <f>I387</f>
        <v>0</v>
      </c>
      <c r="J386" s="29">
        <v>0</v>
      </c>
      <c r="K386" s="191"/>
      <c r="L386" s="191"/>
      <c r="M386" s="192">
        <f t="shared" si="65"/>
        <v>0</v>
      </c>
    </row>
    <row r="387" spans="1:13" ht="68.25" customHeight="1">
      <c r="A387" s="16" t="s">
        <v>653</v>
      </c>
      <c r="B387" s="40" t="s">
        <v>128</v>
      </c>
      <c r="C387" s="9" t="s">
        <v>167</v>
      </c>
      <c r="D387" s="9" t="s">
        <v>110</v>
      </c>
      <c r="E387" s="9" t="s">
        <v>654</v>
      </c>
      <c r="F387" s="9" t="s">
        <v>315</v>
      </c>
      <c r="G387" s="33">
        <f>G388</f>
        <v>1200</v>
      </c>
      <c r="H387" s="33" t="e">
        <f aca="true" t="shared" si="72" ref="H387:J388">H388</f>
        <v>#REF!</v>
      </c>
      <c r="I387" s="33">
        <f t="shared" si="72"/>
        <v>0</v>
      </c>
      <c r="J387" s="33">
        <f t="shared" si="72"/>
        <v>1200</v>
      </c>
      <c r="K387" s="191"/>
      <c r="L387" s="191"/>
      <c r="M387" s="192">
        <f t="shared" si="65"/>
        <v>100</v>
      </c>
    </row>
    <row r="388" spans="1:13" ht="31.5">
      <c r="A388" s="8" t="s">
        <v>151</v>
      </c>
      <c r="B388" s="2" t="s">
        <v>128</v>
      </c>
      <c r="C388" s="3" t="s">
        <v>167</v>
      </c>
      <c r="D388" s="3" t="s">
        <v>110</v>
      </c>
      <c r="E388" s="3" t="s">
        <v>654</v>
      </c>
      <c r="F388" s="3" t="s">
        <v>113</v>
      </c>
      <c r="G388" s="29">
        <f>G389</f>
        <v>1200</v>
      </c>
      <c r="H388" s="29" t="e">
        <f t="shared" si="72"/>
        <v>#REF!</v>
      </c>
      <c r="I388" s="29">
        <f t="shared" si="72"/>
        <v>0</v>
      </c>
      <c r="J388" s="29">
        <f t="shared" si="72"/>
        <v>1200</v>
      </c>
      <c r="K388" s="191"/>
      <c r="L388" s="191"/>
      <c r="M388" s="192">
        <f t="shared" si="65"/>
        <v>100</v>
      </c>
    </row>
    <row r="389" spans="1:13" ht="47.25">
      <c r="A389" s="8" t="s">
        <v>154</v>
      </c>
      <c r="B389" s="2" t="s">
        <v>128</v>
      </c>
      <c r="C389" s="3" t="s">
        <v>167</v>
      </c>
      <c r="D389" s="3" t="s">
        <v>110</v>
      </c>
      <c r="E389" s="3" t="s">
        <v>654</v>
      </c>
      <c r="F389" s="3" t="s">
        <v>155</v>
      </c>
      <c r="G389" s="29">
        <v>1200</v>
      </c>
      <c r="H389" s="22" t="e">
        <f>H390</f>
        <v>#REF!</v>
      </c>
      <c r="I389" s="22"/>
      <c r="J389" s="29">
        <v>1200</v>
      </c>
      <c r="K389" s="191"/>
      <c r="L389" s="191"/>
      <c r="M389" s="192">
        <f t="shared" si="65"/>
        <v>100</v>
      </c>
    </row>
    <row r="390" spans="1:13" ht="15.75">
      <c r="A390" s="178" t="s">
        <v>309</v>
      </c>
      <c r="B390" s="193">
        <v>951</v>
      </c>
      <c r="C390" s="194" t="s">
        <v>167</v>
      </c>
      <c r="D390" s="194" t="s">
        <v>114</v>
      </c>
      <c r="E390" s="194" t="s">
        <v>243</v>
      </c>
      <c r="F390" s="194" t="s">
        <v>315</v>
      </c>
      <c r="G390" s="173">
        <f>G391+G416</f>
        <v>21154.42707</v>
      </c>
      <c r="H390" s="173" t="e">
        <f>H391+H416</f>
        <v>#REF!</v>
      </c>
      <c r="I390" s="173">
        <f>I391+I416</f>
        <v>0</v>
      </c>
      <c r="J390" s="173">
        <f>J391+J416</f>
        <v>19986.533290000003</v>
      </c>
      <c r="K390" s="191"/>
      <c r="L390" s="191"/>
      <c r="M390" s="263">
        <f t="shared" si="65"/>
        <v>94.47919919487568</v>
      </c>
    </row>
    <row r="391" spans="1:13" ht="157.5">
      <c r="A391" s="110" t="s">
        <v>541</v>
      </c>
      <c r="B391" s="200">
        <v>951</v>
      </c>
      <c r="C391" s="88" t="s">
        <v>167</v>
      </c>
      <c r="D391" s="88" t="s">
        <v>114</v>
      </c>
      <c r="E391" s="88" t="s">
        <v>523</v>
      </c>
      <c r="F391" s="88" t="s">
        <v>315</v>
      </c>
      <c r="G391" s="89">
        <f>G392+G405+G411+G397</f>
        <v>21154.42707</v>
      </c>
      <c r="H391" s="89" t="e">
        <f>H392+H405+H411+H397</f>
        <v>#REF!</v>
      </c>
      <c r="I391" s="89">
        <f>I392+I405+I411+I397</f>
        <v>0</v>
      </c>
      <c r="J391" s="89">
        <f>J392+J405+J411+J397</f>
        <v>19986.533290000003</v>
      </c>
      <c r="K391" s="191"/>
      <c r="L391" s="191"/>
      <c r="M391" s="192">
        <f t="shared" si="65"/>
        <v>94.47919919487568</v>
      </c>
    </row>
    <row r="392" spans="1:13" ht="94.5">
      <c r="A392" s="95" t="s">
        <v>586</v>
      </c>
      <c r="B392" s="112">
        <v>951</v>
      </c>
      <c r="C392" s="83" t="s">
        <v>167</v>
      </c>
      <c r="D392" s="83" t="s">
        <v>114</v>
      </c>
      <c r="E392" s="83" t="s">
        <v>526</v>
      </c>
      <c r="F392" s="83" t="s">
        <v>315</v>
      </c>
      <c r="G392" s="84">
        <f>G393+G395</f>
        <v>7746.885799999999</v>
      </c>
      <c r="H392" s="84">
        <f>H393+H395</f>
        <v>0</v>
      </c>
      <c r="I392" s="84">
        <f>I393+I395</f>
        <v>0</v>
      </c>
      <c r="J392" s="84">
        <f>J393+J395</f>
        <v>7584.4463000000005</v>
      </c>
      <c r="K392" s="191"/>
      <c r="L392" s="191"/>
      <c r="M392" s="192">
        <f t="shared" si="65"/>
        <v>97.90316387521811</v>
      </c>
    </row>
    <row r="393" spans="1:13" ht="31.5">
      <c r="A393" s="79" t="s">
        <v>137</v>
      </c>
      <c r="B393" s="94" t="s">
        <v>128</v>
      </c>
      <c r="C393" s="80" t="s">
        <v>167</v>
      </c>
      <c r="D393" s="80" t="s">
        <v>114</v>
      </c>
      <c r="E393" s="80" t="s">
        <v>526</v>
      </c>
      <c r="F393" s="80" t="s">
        <v>112</v>
      </c>
      <c r="G393" s="81">
        <f>G394</f>
        <v>376.71</v>
      </c>
      <c r="H393" s="81">
        <f>H394</f>
        <v>0</v>
      </c>
      <c r="I393" s="81">
        <f>I394</f>
        <v>0</v>
      </c>
      <c r="J393" s="81">
        <f>J394</f>
        <v>319.8023</v>
      </c>
      <c r="K393" s="191"/>
      <c r="L393" s="191"/>
      <c r="M393" s="192">
        <f t="shared" si="65"/>
        <v>84.89349897799369</v>
      </c>
    </row>
    <row r="394" spans="1:13" ht="47.25">
      <c r="A394" s="93" t="s">
        <v>138</v>
      </c>
      <c r="B394" s="94" t="s">
        <v>128</v>
      </c>
      <c r="C394" s="80" t="s">
        <v>167</v>
      </c>
      <c r="D394" s="80" t="s">
        <v>114</v>
      </c>
      <c r="E394" s="80" t="s">
        <v>526</v>
      </c>
      <c r="F394" s="80" t="s">
        <v>139</v>
      </c>
      <c r="G394" s="22">
        <f>250+126.71</f>
        <v>376.71</v>
      </c>
      <c r="H394" s="22"/>
      <c r="I394" s="22"/>
      <c r="J394" s="29">
        <v>319.8023</v>
      </c>
      <c r="K394" s="191"/>
      <c r="L394" s="191"/>
      <c r="M394" s="192">
        <f t="shared" si="65"/>
        <v>84.89349897799369</v>
      </c>
    </row>
    <row r="395" spans="1:13" ht="47.25">
      <c r="A395" s="93" t="s">
        <v>440</v>
      </c>
      <c r="B395" s="94">
        <v>951</v>
      </c>
      <c r="C395" s="80" t="s">
        <v>167</v>
      </c>
      <c r="D395" s="80" t="s">
        <v>114</v>
      </c>
      <c r="E395" s="80" t="s">
        <v>526</v>
      </c>
      <c r="F395" s="80" t="s">
        <v>441</v>
      </c>
      <c r="G395" s="22">
        <f>G396</f>
        <v>7370.175799999999</v>
      </c>
      <c r="H395" s="22">
        <f>H396</f>
        <v>0</v>
      </c>
      <c r="I395" s="22">
        <f>I396</f>
        <v>0</v>
      </c>
      <c r="J395" s="22">
        <f>J396</f>
        <v>7264.644</v>
      </c>
      <c r="K395" s="191"/>
      <c r="L395" s="191"/>
      <c r="M395" s="192">
        <f t="shared" si="65"/>
        <v>98.56812370744265</v>
      </c>
    </row>
    <row r="396" spans="1:13" ht="15.75">
      <c r="A396" s="93" t="s">
        <v>442</v>
      </c>
      <c r="B396" s="94">
        <v>951</v>
      </c>
      <c r="C396" s="80" t="s">
        <v>167</v>
      </c>
      <c r="D396" s="80" t="s">
        <v>114</v>
      </c>
      <c r="E396" s="80" t="s">
        <v>526</v>
      </c>
      <c r="F396" s="80" t="s">
        <v>443</v>
      </c>
      <c r="G396" s="22">
        <f>7085.85586+806.95774-395.9278-126.71</f>
        <v>7370.175799999999</v>
      </c>
      <c r="H396" s="22">
        <f>H397</f>
        <v>0</v>
      </c>
      <c r="I396" s="22"/>
      <c r="J396" s="29">
        <v>7264.644</v>
      </c>
      <c r="K396" s="191"/>
      <c r="L396" s="191"/>
      <c r="M396" s="192">
        <f t="shared" si="65"/>
        <v>98.56812370744265</v>
      </c>
    </row>
    <row r="397" spans="1:13" ht="19.5" customHeight="1" hidden="1">
      <c r="A397" s="95" t="s">
        <v>587</v>
      </c>
      <c r="B397" s="112">
        <v>951</v>
      </c>
      <c r="C397" s="83" t="s">
        <v>167</v>
      </c>
      <c r="D397" s="83" t="s">
        <v>114</v>
      </c>
      <c r="E397" s="83" t="s">
        <v>580</v>
      </c>
      <c r="F397" s="83" t="s">
        <v>315</v>
      </c>
      <c r="G397" s="23">
        <f>G398+G400</f>
        <v>0</v>
      </c>
      <c r="H397" s="22">
        <f>37.5-37.5</f>
        <v>0</v>
      </c>
      <c r="I397" s="22"/>
      <c r="J397" s="29"/>
      <c r="K397" s="191"/>
      <c r="L397" s="191"/>
      <c r="M397" s="192" t="e">
        <f t="shared" si="65"/>
        <v>#DIV/0!</v>
      </c>
    </row>
    <row r="398" spans="1:13" ht="36" customHeight="1" hidden="1">
      <c r="A398" s="93" t="s">
        <v>440</v>
      </c>
      <c r="B398" s="94">
        <v>951</v>
      </c>
      <c r="C398" s="80" t="s">
        <v>167</v>
      </c>
      <c r="D398" s="80" t="s">
        <v>114</v>
      </c>
      <c r="E398" s="80" t="s">
        <v>580</v>
      </c>
      <c r="F398" s="80" t="s">
        <v>441</v>
      </c>
      <c r="G398" s="81">
        <f>G399</f>
        <v>0</v>
      </c>
      <c r="H398" s="30">
        <f aca="true" t="shared" si="73" ref="H398:I402">H399</f>
        <v>82</v>
      </c>
      <c r="I398" s="30">
        <f t="shared" si="73"/>
        <v>0</v>
      </c>
      <c r="J398" s="29"/>
      <c r="K398" s="191"/>
      <c r="L398" s="191"/>
      <c r="M398" s="192" t="e">
        <f t="shared" si="65"/>
        <v>#DIV/0!</v>
      </c>
    </row>
    <row r="399" spans="1:13" ht="15.75" hidden="1">
      <c r="A399" s="93" t="s">
        <v>442</v>
      </c>
      <c r="B399" s="94">
        <v>951</v>
      </c>
      <c r="C399" s="80" t="s">
        <v>167</v>
      </c>
      <c r="D399" s="80" t="s">
        <v>114</v>
      </c>
      <c r="E399" s="80" t="s">
        <v>580</v>
      </c>
      <c r="F399" s="80" t="s">
        <v>443</v>
      </c>
      <c r="G399" s="22">
        <f>12784.77-12784.77</f>
        <v>0</v>
      </c>
      <c r="H399" s="32">
        <f t="shared" si="73"/>
        <v>82</v>
      </c>
      <c r="I399" s="32">
        <f t="shared" si="73"/>
        <v>0</v>
      </c>
      <c r="J399" s="29"/>
      <c r="K399" s="191"/>
      <c r="L399" s="191"/>
      <c r="M399" s="192" t="e">
        <f t="shared" si="65"/>
        <v>#DIV/0!</v>
      </c>
    </row>
    <row r="400" spans="1:13" ht="15.75" hidden="1">
      <c r="A400" s="93"/>
      <c r="B400" s="94"/>
      <c r="C400" s="80"/>
      <c r="D400" s="80"/>
      <c r="E400" s="80"/>
      <c r="F400" s="80"/>
      <c r="G400" s="81"/>
      <c r="H400" s="32">
        <f t="shared" si="73"/>
        <v>82</v>
      </c>
      <c r="I400" s="32">
        <f t="shared" si="73"/>
        <v>0</v>
      </c>
      <c r="J400" s="29"/>
      <c r="K400" s="191"/>
      <c r="L400" s="191"/>
      <c r="M400" s="192" t="e">
        <f t="shared" si="65"/>
        <v>#DIV/0!</v>
      </c>
    </row>
    <row r="401" spans="1:13" ht="15.75" hidden="1">
      <c r="A401" s="93"/>
      <c r="B401" s="94"/>
      <c r="C401" s="80"/>
      <c r="D401" s="80"/>
      <c r="E401" s="80"/>
      <c r="F401" s="80"/>
      <c r="G401" s="81"/>
      <c r="H401" s="32">
        <f t="shared" si="73"/>
        <v>82</v>
      </c>
      <c r="I401" s="32">
        <f t="shared" si="73"/>
        <v>0</v>
      </c>
      <c r="J401" s="29"/>
      <c r="K401" s="191"/>
      <c r="L401" s="191"/>
      <c r="M401" s="192" t="e">
        <f t="shared" si="65"/>
        <v>#DIV/0!</v>
      </c>
    </row>
    <row r="402" spans="1:13" ht="30.75" customHeight="1" hidden="1">
      <c r="A402" s="93"/>
      <c r="B402" s="94"/>
      <c r="C402" s="80"/>
      <c r="D402" s="80"/>
      <c r="E402" s="80"/>
      <c r="F402" s="80"/>
      <c r="G402" s="81"/>
      <c r="H402" s="32">
        <f t="shared" si="73"/>
        <v>82</v>
      </c>
      <c r="I402" s="32">
        <f t="shared" si="73"/>
        <v>0</v>
      </c>
      <c r="J402" s="29"/>
      <c r="K402" s="191"/>
      <c r="L402" s="191"/>
      <c r="M402" s="192" t="e">
        <f t="shared" si="65"/>
        <v>#DIV/0!</v>
      </c>
    </row>
    <row r="403" spans="1:13" ht="18.75" customHeight="1" hidden="1">
      <c r="A403" s="93"/>
      <c r="B403" s="94"/>
      <c r="C403" s="80"/>
      <c r="D403" s="80"/>
      <c r="E403" s="80"/>
      <c r="F403" s="80"/>
      <c r="G403" s="81"/>
      <c r="H403" s="22">
        <f>460-378</f>
        <v>82</v>
      </c>
      <c r="I403" s="32"/>
      <c r="J403" s="29"/>
      <c r="K403" s="191"/>
      <c r="L403" s="191"/>
      <c r="M403" s="192" t="e">
        <f t="shared" si="65"/>
        <v>#DIV/0!</v>
      </c>
    </row>
    <row r="404" spans="1:13" ht="30" customHeight="1" hidden="1">
      <c r="A404" s="93"/>
      <c r="B404" s="94"/>
      <c r="C404" s="80"/>
      <c r="D404" s="80"/>
      <c r="E404" s="80"/>
      <c r="F404" s="80"/>
      <c r="G404" s="81"/>
      <c r="H404" s="30" t="e">
        <f>H405</f>
        <v>#REF!</v>
      </c>
      <c r="I404" s="30">
        <f>I405</f>
        <v>0</v>
      </c>
      <c r="J404" s="51"/>
      <c r="K404" s="51"/>
      <c r="L404" s="185"/>
      <c r="M404" s="192" t="e">
        <f t="shared" si="65"/>
        <v>#DIV/0!</v>
      </c>
    </row>
    <row r="405" spans="1:13" ht="126">
      <c r="A405" s="82" t="s">
        <v>471</v>
      </c>
      <c r="B405" s="94">
        <v>951</v>
      </c>
      <c r="C405" s="80" t="s">
        <v>167</v>
      </c>
      <c r="D405" s="80" t="s">
        <v>114</v>
      </c>
      <c r="E405" s="80" t="s">
        <v>524</v>
      </c>
      <c r="F405" s="83" t="s">
        <v>315</v>
      </c>
      <c r="G405" s="84">
        <f>G406+G408</f>
        <v>13407.541270000002</v>
      </c>
      <c r="H405" s="84" t="e">
        <f>H406+H408</f>
        <v>#REF!</v>
      </c>
      <c r="I405" s="84">
        <f>I406+I408</f>
        <v>0</v>
      </c>
      <c r="J405" s="84">
        <f>J406+J408</f>
        <v>12402.086990000002</v>
      </c>
      <c r="K405" s="191"/>
      <c r="L405" s="191"/>
      <c r="M405" s="192">
        <f t="shared" si="65"/>
        <v>92.50083024357531</v>
      </c>
    </row>
    <row r="406" spans="1:13" ht="31.5">
      <c r="A406" s="79" t="s">
        <v>137</v>
      </c>
      <c r="B406" s="94" t="s">
        <v>128</v>
      </c>
      <c r="C406" s="80" t="s">
        <v>167</v>
      </c>
      <c r="D406" s="80" t="s">
        <v>114</v>
      </c>
      <c r="E406" s="80" t="s">
        <v>524</v>
      </c>
      <c r="F406" s="80" t="s">
        <v>112</v>
      </c>
      <c r="G406" s="81">
        <f>G407</f>
        <v>150</v>
      </c>
      <c r="H406" s="81" t="e">
        <f>H407</f>
        <v>#REF!</v>
      </c>
      <c r="I406" s="81">
        <f>I407</f>
        <v>0</v>
      </c>
      <c r="J406" s="81">
        <f>J407</f>
        <v>115.89262</v>
      </c>
      <c r="K406" s="191"/>
      <c r="L406" s="191"/>
      <c r="M406" s="192">
        <f t="shared" si="65"/>
        <v>77.26174666666667</v>
      </c>
    </row>
    <row r="407" spans="1:13" ht="47.25">
      <c r="A407" s="93" t="s">
        <v>138</v>
      </c>
      <c r="B407" s="94" t="s">
        <v>128</v>
      </c>
      <c r="C407" s="80" t="s">
        <v>167</v>
      </c>
      <c r="D407" s="80" t="s">
        <v>114</v>
      </c>
      <c r="E407" s="80" t="s">
        <v>524</v>
      </c>
      <c r="F407" s="80" t="s">
        <v>139</v>
      </c>
      <c r="G407" s="81">
        <v>150</v>
      </c>
      <c r="H407" s="32" t="e">
        <f>H413+H408</f>
        <v>#REF!</v>
      </c>
      <c r="I407" s="32">
        <f>I413</f>
        <v>0</v>
      </c>
      <c r="J407" s="29">
        <v>115.89262</v>
      </c>
      <c r="K407" s="191"/>
      <c r="L407" s="191"/>
      <c r="M407" s="192">
        <f t="shared" si="65"/>
        <v>77.26174666666667</v>
      </c>
    </row>
    <row r="408" spans="1:13" ht="31.5">
      <c r="A408" s="79" t="s">
        <v>151</v>
      </c>
      <c r="B408" s="94">
        <v>951</v>
      </c>
      <c r="C408" s="80" t="s">
        <v>167</v>
      </c>
      <c r="D408" s="80" t="s">
        <v>114</v>
      </c>
      <c r="E408" s="80" t="s">
        <v>524</v>
      </c>
      <c r="F408" s="80" t="s">
        <v>113</v>
      </c>
      <c r="G408" s="81">
        <f>G409+G410</f>
        <v>13257.541270000002</v>
      </c>
      <c r="H408" s="81">
        <f>H409+H410</f>
        <v>3595.6760600000002</v>
      </c>
      <c r="I408" s="81">
        <f>I409+I410</f>
        <v>0</v>
      </c>
      <c r="J408" s="81">
        <f>J409+J410</f>
        <v>12286.194370000001</v>
      </c>
      <c r="K408" s="29"/>
      <c r="L408" s="191"/>
      <c r="M408" s="192">
        <f t="shared" si="65"/>
        <v>92.67325003771231</v>
      </c>
    </row>
    <row r="409" spans="1:13" ht="31.5">
      <c r="A409" s="79" t="s">
        <v>152</v>
      </c>
      <c r="B409" s="94" t="s">
        <v>128</v>
      </c>
      <c r="C409" s="80" t="s">
        <v>167</v>
      </c>
      <c r="D409" s="80" t="s">
        <v>114</v>
      </c>
      <c r="E409" s="80" t="s">
        <v>524</v>
      </c>
      <c r="F409" s="80" t="s">
        <v>153</v>
      </c>
      <c r="G409" s="22">
        <f>12837.98931-1780.44804</f>
        <v>11057.541270000002</v>
      </c>
      <c r="H409" s="32">
        <f>H410</f>
        <v>1797.8380300000001</v>
      </c>
      <c r="I409" s="32">
        <v>0</v>
      </c>
      <c r="J409" s="29">
        <v>10563.64933</v>
      </c>
      <c r="K409" s="191"/>
      <c r="L409" s="191"/>
      <c r="M409" s="192">
        <f t="shared" si="65"/>
        <v>95.53343796834862</v>
      </c>
    </row>
    <row r="410" spans="1:13" ht="33" customHeight="1">
      <c r="A410" s="79" t="s">
        <v>154</v>
      </c>
      <c r="B410" s="94">
        <v>951</v>
      </c>
      <c r="C410" s="80" t="s">
        <v>167</v>
      </c>
      <c r="D410" s="80" t="s">
        <v>114</v>
      </c>
      <c r="E410" s="80" t="s">
        <v>524</v>
      </c>
      <c r="F410" s="80" t="s">
        <v>155</v>
      </c>
      <c r="G410" s="22">
        <f>2200</f>
        <v>2200</v>
      </c>
      <c r="H410" s="32">
        <f>1749.503-2.5-10+46.72429+14.11074</f>
        <v>1797.8380300000001</v>
      </c>
      <c r="I410" s="32">
        <v>0</v>
      </c>
      <c r="J410" s="29">
        <v>1722.54504</v>
      </c>
      <c r="K410" s="191"/>
      <c r="L410" s="191"/>
      <c r="M410" s="192">
        <f t="shared" si="65"/>
        <v>78.29750181818181</v>
      </c>
    </row>
    <row r="411" spans="1:13" ht="20.25" customHeight="1" hidden="1">
      <c r="A411" s="82" t="s">
        <v>473</v>
      </c>
      <c r="B411" s="94">
        <v>951</v>
      </c>
      <c r="C411" s="80" t="s">
        <v>167</v>
      </c>
      <c r="D411" s="80" t="s">
        <v>114</v>
      </c>
      <c r="E411" s="80" t="s">
        <v>525</v>
      </c>
      <c r="F411" s="83" t="s">
        <v>315</v>
      </c>
      <c r="G411" s="84">
        <f>G412+G414</f>
        <v>0</v>
      </c>
      <c r="H411" s="32">
        <f>H412</f>
        <v>0</v>
      </c>
      <c r="I411" s="32">
        <f>I412</f>
        <v>0</v>
      </c>
      <c r="J411" s="29"/>
      <c r="K411" s="191"/>
      <c r="L411" s="191"/>
      <c r="M411" s="192" t="e">
        <f t="shared" si="65"/>
        <v>#DIV/0!</v>
      </c>
    </row>
    <row r="412" spans="1:13" ht="23.25" customHeight="1" hidden="1">
      <c r="A412" s="79" t="s">
        <v>137</v>
      </c>
      <c r="B412" s="94" t="s">
        <v>128</v>
      </c>
      <c r="C412" s="80" t="s">
        <v>167</v>
      </c>
      <c r="D412" s="80" t="s">
        <v>114</v>
      </c>
      <c r="E412" s="80" t="s">
        <v>525</v>
      </c>
      <c r="F412" s="80" t="s">
        <v>112</v>
      </c>
      <c r="G412" s="81">
        <f>G413</f>
        <v>0</v>
      </c>
      <c r="H412" s="32">
        <f>15-15</f>
        <v>0</v>
      </c>
      <c r="I412" s="32"/>
      <c r="J412" s="29"/>
      <c r="K412" s="191"/>
      <c r="L412" s="191"/>
      <c r="M412" s="192" t="e">
        <f t="shared" si="65"/>
        <v>#DIV/0!</v>
      </c>
    </row>
    <row r="413" spans="1:13" ht="45" customHeight="1" hidden="1">
      <c r="A413" s="93" t="s">
        <v>138</v>
      </c>
      <c r="B413" s="94" t="s">
        <v>128</v>
      </c>
      <c r="C413" s="80" t="s">
        <v>167</v>
      </c>
      <c r="D413" s="80" t="s">
        <v>114</v>
      </c>
      <c r="E413" s="80" t="s">
        <v>525</v>
      </c>
      <c r="F413" s="80" t="s">
        <v>139</v>
      </c>
      <c r="G413" s="81"/>
      <c r="H413" s="32" t="e">
        <f>H414+H416+H418</f>
        <v>#REF!</v>
      </c>
      <c r="I413" s="32">
        <f>I414+I416</f>
        <v>0</v>
      </c>
      <c r="J413" s="29"/>
      <c r="K413" s="29"/>
      <c r="L413" s="191"/>
      <c r="M413" s="192" t="e">
        <f t="shared" si="65"/>
        <v>#DIV/0!</v>
      </c>
    </row>
    <row r="414" spans="1:13" ht="75" customHeight="1" hidden="1">
      <c r="A414" s="79" t="s">
        <v>151</v>
      </c>
      <c r="B414" s="94">
        <v>951</v>
      </c>
      <c r="C414" s="80" t="s">
        <v>167</v>
      </c>
      <c r="D414" s="80" t="s">
        <v>114</v>
      </c>
      <c r="E414" s="80" t="s">
        <v>525</v>
      </c>
      <c r="F414" s="80" t="s">
        <v>113</v>
      </c>
      <c r="G414" s="81">
        <f>G415</f>
        <v>0</v>
      </c>
      <c r="H414" s="32">
        <f>H415</f>
        <v>804.87865</v>
      </c>
      <c r="I414" s="32">
        <f>I415</f>
        <v>0</v>
      </c>
      <c r="J414" s="29"/>
      <c r="K414" s="191"/>
      <c r="L414" s="191"/>
      <c r="M414" s="192" t="e">
        <f t="shared" si="65"/>
        <v>#DIV/0!</v>
      </c>
    </row>
    <row r="415" spans="1:13" ht="31.5" customHeight="1" hidden="1">
      <c r="A415" s="79" t="s">
        <v>152</v>
      </c>
      <c r="B415" s="94">
        <v>951</v>
      </c>
      <c r="C415" s="80" t="s">
        <v>167</v>
      </c>
      <c r="D415" s="80" t="s">
        <v>114</v>
      </c>
      <c r="E415" s="80" t="s">
        <v>525</v>
      </c>
      <c r="F415" s="80" t="s">
        <v>153</v>
      </c>
      <c r="G415" s="81"/>
      <c r="H415" s="22">
        <f>1909.672-679.566-405.104-37-12+20.64259+6.23406+2</f>
        <v>804.87865</v>
      </c>
      <c r="I415" s="32"/>
      <c r="J415" s="29"/>
      <c r="K415" s="191"/>
      <c r="L415" s="191"/>
      <c r="M415" s="192" t="e">
        <f t="shared" si="65"/>
        <v>#DIV/0!</v>
      </c>
    </row>
    <row r="416" spans="1:13" ht="63" hidden="1">
      <c r="A416" s="10" t="s">
        <v>740</v>
      </c>
      <c r="B416" s="112">
        <v>951</v>
      </c>
      <c r="C416" s="83" t="s">
        <v>167</v>
      </c>
      <c r="D416" s="83" t="s">
        <v>114</v>
      </c>
      <c r="E416" s="3" t="s">
        <v>741</v>
      </c>
      <c r="F416" s="3" t="s">
        <v>315</v>
      </c>
      <c r="G416" s="22">
        <f>G417</f>
        <v>0</v>
      </c>
      <c r="H416" s="22">
        <f>H417</f>
        <v>1009.566</v>
      </c>
      <c r="I416" s="32">
        <f>I417</f>
        <v>0</v>
      </c>
      <c r="J416" s="29"/>
      <c r="K416" s="191"/>
      <c r="L416" s="191"/>
      <c r="M416" s="192" t="e">
        <f t="shared" si="65"/>
        <v>#DIV/0!</v>
      </c>
    </row>
    <row r="417" spans="1:13" ht="63" hidden="1">
      <c r="A417" s="224" t="s">
        <v>742</v>
      </c>
      <c r="B417" s="112">
        <v>951</v>
      </c>
      <c r="C417" s="83" t="s">
        <v>167</v>
      </c>
      <c r="D417" s="83" t="s">
        <v>114</v>
      </c>
      <c r="E417" s="3" t="s">
        <v>743</v>
      </c>
      <c r="F417" s="80" t="s">
        <v>113</v>
      </c>
      <c r="G417" s="81">
        <f>G418</f>
        <v>0</v>
      </c>
      <c r="H417" s="22">
        <f>344+679.566-39+25</f>
        <v>1009.566</v>
      </c>
      <c r="I417" s="32"/>
      <c r="J417" s="29"/>
      <c r="K417" s="191"/>
      <c r="L417" s="191"/>
      <c r="M417" s="192" t="e">
        <f t="shared" si="65"/>
        <v>#DIV/0!</v>
      </c>
    </row>
    <row r="418" spans="1:13" ht="47.25" hidden="1">
      <c r="A418" s="79" t="s">
        <v>154</v>
      </c>
      <c r="B418" s="112">
        <v>951</v>
      </c>
      <c r="C418" s="83" t="s">
        <v>167</v>
      </c>
      <c r="D418" s="83" t="s">
        <v>114</v>
      </c>
      <c r="E418" s="3" t="s">
        <v>743</v>
      </c>
      <c r="F418" s="80" t="s">
        <v>155</v>
      </c>
      <c r="G418" s="81">
        <v>0</v>
      </c>
      <c r="H418" s="22" t="e">
        <f>H419</f>
        <v>#REF!</v>
      </c>
      <c r="I418" s="32"/>
      <c r="J418" s="29"/>
      <c r="K418" s="191"/>
      <c r="L418" s="191"/>
      <c r="M418" s="192" t="e">
        <f aca="true" t="shared" si="74" ref="M418:M444">J418/G418*100</f>
        <v>#DIV/0!</v>
      </c>
    </row>
    <row r="419" spans="1:13" ht="15.75">
      <c r="A419" s="76" t="s">
        <v>170</v>
      </c>
      <c r="B419" s="187">
        <v>951</v>
      </c>
      <c r="C419" s="77" t="s">
        <v>120</v>
      </c>
      <c r="D419" s="77" t="s">
        <v>104</v>
      </c>
      <c r="E419" s="77" t="s">
        <v>243</v>
      </c>
      <c r="F419" s="77" t="s">
        <v>315</v>
      </c>
      <c r="G419" s="78">
        <f>G420</f>
        <v>8603</v>
      </c>
      <c r="H419" s="78" t="e">
        <f aca="true" t="shared" si="75" ref="H419:J420">H420</f>
        <v>#REF!</v>
      </c>
      <c r="I419" s="78" t="e">
        <f t="shared" si="75"/>
        <v>#REF!</v>
      </c>
      <c r="J419" s="78">
        <f t="shared" si="75"/>
        <v>8523.524589999999</v>
      </c>
      <c r="K419" s="191"/>
      <c r="L419" s="191"/>
      <c r="M419" s="322">
        <f t="shared" si="74"/>
        <v>99.07618958502846</v>
      </c>
    </row>
    <row r="420" spans="1:13" s="195" customFormat="1" ht="15.75">
      <c r="A420" s="178" t="s">
        <v>260</v>
      </c>
      <c r="B420" s="193">
        <v>951</v>
      </c>
      <c r="C420" s="194" t="s">
        <v>120</v>
      </c>
      <c r="D420" s="194" t="s">
        <v>105</v>
      </c>
      <c r="E420" s="194" t="s">
        <v>243</v>
      </c>
      <c r="F420" s="194" t="s">
        <v>315</v>
      </c>
      <c r="G420" s="173">
        <f>G421</f>
        <v>8603</v>
      </c>
      <c r="H420" s="173" t="e">
        <f t="shared" si="75"/>
        <v>#REF!</v>
      </c>
      <c r="I420" s="173" t="e">
        <f t="shared" si="75"/>
        <v>#REF!</v>
      </c>
      <c r="J420" s="173">
        <f t="shared" si="75"/>
        <v>8523.524589999999</v>
      </c>
      <c r="K420" s="185"/>
      <c r="L420" s="185"/>
      <c r="M420" s="263">
        <f t="shared" si="74"/>
        <v>99.07618958502846</v>
      </c>
    </row>
    <row r="421" spans="1:13" ht="63">
      <c r="A421" s="82" t="s">
        <v>744</v>
      </c>
      <c r="B421" s="112">
        <v>951</v>
      </c>
      <c r="C421" s="83" t="s">
        <v>120</v>
      </c>
      <c r="D421" s="83" t="s">
        <v>105</v>
      </c>
      <c r="E421" s="83" t="s">
        <v>81</v>
      </c>
      <c r="F421" s="83" t="s">
        <v>315</v>
      </c>
      <c r="G421" s="84">
        <f>G422+G425+G428</f>
        <v>8603</v>
      </c>
      <c r="H421" s="84" t="e">
        <f>H422+H425+H428</f>
        <v>#REF!</v>
      </c>
      <c r="I421" s="84" t="e">
        <f>I422+I425+I428</f>
        <v>#REF!</v>
      </c>
      <c r="J421" s="84">
        <f>J422+J425+J428</f>
        <v>8523.524589999999</v>
      </c>
      <c r="K421" s="191"/>
      <c r="L421" s="191"/>
      <c r="M421" s="192">
        <f t="shared" si="74"/>
        <v>99.07618958502846</v>
      </c>
    </row>
    <row r="422" spans="1:13" ht="31.5">
      <c r="A422" s="79" t="s">
        <v>171</v>
      </c>
      <c r="B422" s="94">
        <v>951</v>
      </c>
      <c r="C422" s="80" t="s">
        <v>120</v>
      </c>
      <c r="D422" s="80" t="s">
        <v>105</v>
      </c>
      <c r="E422" s="80" t="s">
        <v>82</v>
      </c>
      <c r="F422" s="80" t="s">
        <v>315</v>
      </c>
      <c r="G422" s="81">
        <f>G423</f>
        <v>212</v>
      </c>
      <c r="H422" s="81" t="e">
        <f aca="true" t="shared" si="76" ref="H422:J423">H423</f>
        <v>#REF!</v>
      </c>
      <c r="I422" s="81" t="e">
        <f t="shared" si="76"/>
        <v>#REF!</v>
      </c>
      <c r="J422" s="81">
        <f t="shared" si="76"/>
        <v>211.2</v>
      </c>
      <c r="K422" s="191"/>
      <c r="L422" s="191"/>
      <c r="M422" s="192">
        <f t="shared" si="74"/>
        <v>99.62264150943396</v>
      </c>
    </row>
    <row r="423" spans="1:13" ht="31.5">
      <c r="A423" s="79" t="s">
        <v>137</v>
      </c>
      <c r="B423" s="94">
        <v>951</v>
      </c>
      <c r="C423" s="80" t="s">
        <v>120</v>
      </c>
      <c r="D423" s="80" t="s">
        <v>105</v>
      </c>
      <c r="E423" s="80" t="s">
        <v>82</v>
      </c>
      <c r="F423" s="80" t="s">
        <v>112</v>
      </c>
      <c r="G423" s="22">
        <f>G424</f>
        <v>212</v>
      </c>
      <c r="H423" s="22" t="e">
        <f t="shared" si="76"/>
        <v>#REF!</v>
      </c>
      <c r="I423" s="22" t="e">
        <f t="shared" si="76"/>
        <v>#REF!</v>
      </c>
      <c r="J423" s="22">
        <f t="shared" si="76"/>
        <v>211.2</v>
      </c>
      <c r="K423" s="29"/>
      <c r="L423" s="191"/>
      <c r="M423" s="192">
        <f t="shared" si="74"/>
        <v>99.62264150943396</v>
      </c>
    </row>
    <row r="424" spans="1:13" ht="47.25">
      <c r="A424" s="93" t="s">
        <v>138</v>
      </c>
      <c r="B424" s="94">
        <v>951</v>
      </c>
      <c r="C424" s="80" t="s">
        <v>120</v>
      </c>
      <c r="D424" s="80" t="s">
        <v>105</v>
      </c>
      <c r="E424" s="80" t="s">
        <v>82</v>
      </c>
      <c r="F424" s="80" t="s">
        <v>139</v>
      </c>
      <c r="G424" s="22">
        <f>150+79-17</f>
        <v>212</v>
      </c>
      <c r="H424" s="32" t="e">
        <f>#REF!</f>
        <v>#REF!</v>
      </c>
      <c r="I424" s="32" t="e">
        <f>#REF!</f>
        <v>#REF!</v>
      </c>
      <c r="J424" s="29">
        <v>211.2</v>
      </c>
      <c r="K424" s="191"/>
      <c r="L424" s="191"/>
      <c r="M424" s="192">
        <f t="shared" si="74"/>
        <v>99.62264150943396</v>
      </c>
    </row>
    <row r="425" spans="1:13" ht="63">
      <c r="A425" s="10" t="s">
        <v>510</v>
      </c>
      <c r="B425" s="40" t="s">
        <v>128</v>
      </c>
      <c r="C425" s="9" t="s">
        <v>120</v>
      </c>
      <c r="D425" s="9" t="s">
        <v>105</v>
      </c>
      <c r="E425" s="9" t="s">
        <v>509</v>
      </c>
      <c r="F425" s="9" t="s">
        <v>315</v>
      </c>
      <c r="G425" s="23">
        <f aca="true" t="shared" si="77" ref="G425:J426">G426</f>
        <v>4284</v>
      </c>
      <c r="H425" s="23">
        <f t="shared" si="77"/>
        <v>0</v>
      </c>
      <c r="I425" s="23">
        <f t="shared" si="77"/>
        <v>0</v>
      </c>
      <c r="J425" s="23">
        <f t="shared" si="77"/>
        <v>4278.45724</v>
      </c>
      <c r="K425" s="23" t="e">
        <f>K426+#REF!</f>
        <v>#REF!</v>
      </c>
      <c r="L425" s="23" t="e">
        <f>L426+#REF!</f>
        <v>#REF!</v>
      </c>
      <c r="M425" s="192">
        <f t="shared" si="74"/>
        <v>99.87061718020541</v>
      </c>
    </row>
    <row r="426" spans="1:13" ht="31.5">
      <c r="A426" s="8" t="s">
        <v>137</v>
      </c>
      <c r="B426" s="2" t="s">
        <v>128</v>
      </c>
      <c r="C426" s="3" t="s">
        <v>120</v>
      </c>
      <c r="D426" s="3" t="s">
        <v>105</v>
      </c>
      <c r="E426" s="3" t="s">
        <v>509</v>
      </c>
      <c r="F426" s="3" t="s">
        <v>112</v>
      </c>
      <c r="G426" s="22">
        <f t="shared" si="77"/>
        <v>4284</v>
      </c>
      <c r="H426" s="22">
        <f t="shared" si="77"/>
        <v>0</v>
      </c>
      <c r="I426" s="22">
        <f t="shared" si="77"/>
        <v>0</v>
      </c>
      <c r="J426" s="22">
        <f t="shared" si="77"/>
        <v>4278.45724</v>
      </c>
      <c r="K426" s="191"/>
      <c r="L426" s="191"/>
      <c r="M426" s="192">
        <f t="shared" si="74"/>
        <v>99.87061718020541</v>
      </c>
    </row>
    <row r="427" spans="1:13" ht="31.5" customHeight="1">
      <c r="A427" s="17" t="s">
        <v>138</v>
      </c>
      <c r="B427" s="2" t="s">
        <v>128</v>
      </c>
      <c r="C427" s="3" t="s">
        <v>120</v>
      </c>
      <c r="D427" s="3" t="s">
        <v>105</v>
      </c>
      <c r="E427" s="3" t="s">
        <v>509</v>
      </c>
      <c r="F427" s="3" t="s">
        <v>139</v>
      </c>
      <c r="G427" s="22">
        <f>500-500+500+4049-79-66-120</f>
        <v>4284</v>
      </c>
      <c r="H427" s="32">
        <v>0</v>
      </c>
      <c r="I427" s="32"/>
      <c r="J427" s="29">
        <v>4278.45724</v>
      </c>
      <c r="K427" s="191"/>
      <c r="L427" s="191"/>
      <c r="M427" s="192">
        <f t="shared" si="74"/>
        <v>99.87061718020541</v>
      </c>
    </row>
    <row r="428" spans="1:13" ht="78.75">
      <c r="A428" s="96" t="s">
        <v>613</v>
      </c>
      <c r="B428" s="203">
        <v>951</v>
      </c>
      <c r="C428" s="97" t="s">
        <v>120</v>
      </c>
      <c r="D428" s="97" t="s">
        <v>105</v>
      </c>
      <c r="E428" s="97" t="s">
        <v>81</v>
      </c>
      <c r="F428" s="97" t="s">
        <v>315</v>
      </c>
      <c r="G428" s="172">
        <f aca="true" t="shared" si="78" ref="G428:L428">G432+G429</f>
        <v>4107</v>
      </c>
      <c r="H428" s="255">
        <f t="shared" si="78"/>
        <v>6247.16648</v>
      </c>
      <c r="I428" s="255">
        <f t="shared" si="78"/>
        <v>0</v>
      </c>
      <c r="J428" s="255">
        <f t="shared" si="78"/>
        <v>4033.86735</v>
      </c>
      <c r="K428" s="255">
        <f t="shared" si="78"/>
        <v>0</v>
      </c>
      <c r="L428" s="255">
        <f t="shared" si="78"/>
        <v>0</v>
      </c>
      <c r="M428" s="264">
        <f t="shared" si="74"/>
        <v>98.21931701972242</v>
      </c>
    </row>
    <row r="429" spans="1:13" ht="94.5">
      <c r="A429" s="93" t="s">
        <v>626</v>
      </c>
      <c r="B429" s="94">
        <v>951</v>
      </c>
      <c r="C429" s="80" t="s">
        <v>120</v>
      </c>
      <c r="D429" s="80" t="s">
        <v>105</v>
      </c>
      <c r="E429" s="80" t="s">
        <v>578</v>
      </c>
      <c r="F429" s="80" t="s">
        <v>315</v>
      </c>
      <c r="G429" s="81">
        <f aca="true" t="shared" si="79" ref="G429:J430">G430</f>
        <v>4065.93</v>
      </c>
      <c r="H429" s="81">
        <f t="shared" si="79"/>
        <v>3123.58324</v>
      </c>
      <c r="I429" s="81">
        <f t="shared" si="79"/>
        <v>0</v>
      </c>
      <c r="J429" s="81">
        <f t="shared" si="79"/>
        <v>3993.52868</v>
      </c>
      <c r="K429" s="191"/>
      <c r="L429" s="191"/>
      <c r="M429" s="192">
        <f t="shared" si="74"/>
        <v>98.2193171058036</v>
      </c>
    </row>
    <row r="430" spans="1:13" ht="31.5">
      <c r="A430" s="79" t="s">
        <v>137</v>
      </c>
      <c r="B430" s="94">
        <v>951</v>
      </c>
      <c r="C430" s="80" t="s">
        <v>120</v>
      </c>
      <c r="D430" s="80" t="s">
        <v>105</v>
      </c>
      <c r="E430" s="80" t="s">
        <v>578</v>
      </c>
      <c r="F430" s="80" t="s">
        <v>112</v>
      </c>
      <c r="G430" s="81">
        <f t="shared" si="79"/>
        <v>4065.93</v>
      </c>
      <c r="H430" s="81">
        <f t="shared" si="79"/>
        <v>3123.58324</v>
      </c>
      <c r="I430" s="81">
        <f t="shared" si="79"/>
        <v>0</v>
      </c>
      <c r="J430" s="81">
        <f t="shared" si="79"/>
        <v>3993.52868</v>
      </c>
      <c r="K430" s="191"/>
      <c r="L430" s="191"/>
      <c r="M430" s="192">
        <f t="shared" si="74"/>
        <v>98.2193171058036</v>
      </c>
    </row>
    <row r="431" spans="1:13" ht="47.25">
      <c r="A431" s="93" t="s">
        <v>138</v>
      </c>
      <c r="B431" s="94">
        <v>951</v>
      </c>
      <c r="C431" s="80" t="s">
        <v>120</v>
      </c>
      <c r="D431" s="80" t="s">
        <v>105</v>
      </c>
      <c r="E431" s="80" t="s">
        <v>578</v>
      </c>
      <c r="F431" s="80" t="s">
        <v>139</v>
      </c>
      <c r="G431" s="81">
        <v>4065.93</v>
      </c>
      <c r="H431" s="23">
        <f>H432</f>
        <v>3123.58324</v>
      </c>
      <c r="I431" s="23">
        <f>I432</f>
        <v>0</v>
      </c>
      <c r="J431" s="29">
        <v>3993.52868</v>
      </c>
      <c r="K431" s="191"/>
      <c r="L431" s="191"/>
      <c r="M431" s="192">
        <f t="shared" si="74"/>
        <v>98.2193171058036</v>
      </c>
    </row>
    <row r="432" spans="1:13" ht="126">
      <c r="A432" s="93" t="s">
        <v>627</v>
      </c>
      <c r="B432" s="94">
        <v>951</v>
      </c>
      <c r="C432" s="80" t="s">
        <v>120</v>
      </c>
      <c r="D432" s="80" t="s">
        <v>105</v>
      </c>
      <c r="E432" s="80" t="s">
        <v>749</v>
      </c>
      <c r="F432" s="80" t="s">
        <v>315</v>
      </c>
      <c r="G432" s="81">
        <f>G433</f>
        <v>41.07</v>
      </c>
      <c r="H432" s="81">
        <f aca="true" t="shared" si="80" ref="H432:J433">H433</f>
        <v>3123.58324</v>
      </c>
      <c r="I432" s="81">
        <f t="shared" si="80"/>
        <v>0</v>
      </c>
      <c r="J432" s="81">
        <f t="shared" si="80"/>
        <v>40.33867</v>
      </c>
      <c r="K432" s="191"/>
      <c r="L432" s="191"/>
      <c r="M432" s="192">
        <f t="shared" si="74"/>
        <v>98.21930849768688</v>
      </c>
    </row>
    <row r="433" spans="1:13" ht="31.5">
      <c r="A433" s="79" t="s">
        <v>137</v>
      </c>
      <c r="B433" s="94">
        <v>951</v>
      </c>
      <c r="C433" s="80" t="s">
        <v>120</v>
      </c>
      <c r="D433" s="80" t="s">
        <v>105</v>
      </c>
      <c r="E433" s="80" t="s">
        <v>749</v>
      </c>
      <c r="F433" s="80" t="s">
        <v>112</v>
      </c>
      <c r="G433" s="81">
        <f>G434</f>
        <v>41.07</v>
      </c>
      <c r="H433" s="81">
        <f t="shared" si="80"/>
        <v>3123.58324</v>
      </c>
      <c r="I433" s="81">
        <f t="shared" si="80"/>
        <v>0</v>
      </c>
      <c r="J433" s="81">
        <f t="shared" si="80"/>
        <v>40.33867</v>
      </c>
      <c r="K433" s="191"/>
      <c r="L433" s="191"/>
      <c r="M433" s="192">
        <f t="shared" si="74"/>
        <v>98.21930849768688</v>
      </c>
    </row>
    <row r="434" spans="1:13" ht="47.25">
      <c r="A434" s="93" t="s">
        <v>138</v>
      </c>
      <c r="B434" s="94">
        <v>951</v>
      </c>
      <c r="C434" s="80" t="s">
        <v>120</v>
      </c>
      <c r="D434" s="80" t="s">
        <v>105</v>
      </c>
      <c r="E434" s="80" t="s">
        <v>749</v>
      </c>
      <c r="F434" s="80" t="s">
        <v>139</v>
      </c>
      <c r="G434" s="22">
        <f>41.07</f>
        <v>41.07</v>
      </c>
      <c r="H434" s="22">
        <f>1100-50-30+800+759.89-12.30676+556</f>
        <v>3123.58324</v>
      </c>
      <c r="I434" s="22"/>
      <c r="J434" s="29">
        <v>40.33867</v>
      </c>
      <c r="K434" s="191"/>
      <c r="L434" s="191"/>
      <c r="M434" s="192">
        <f t="shared" si="74"/>
        <v>98.21930849768688</v>
      </c>
    </row>
    <row r="435" spans="1:14" ht="43.5" customHeight="1">
      <c r="A435" s="76" t="s">
        <v>172</v>
      </c>
      <c r="B435" s="187">
        <v>951</v>
      </c>
      <c r="C435" s="77" t="s">
        <v>121</v>
      </c>
      <c r="D435" s="77" t="s">
        <v>104</v>
      </c>
      <c r="E435" s="77" t="s">
        <v>243</v>
      </c>
      <c r="F435" s="77" t="s">
        <v>315</v>
      </c>
      <c r="G435" s="78">
        <f>G436</f>
        <v>7.954610000000002</v>
      </c>
      <c r="H435" s="78">
        <f>H436</f>
        <v>0</v>
      </c>
      <c r="I435" s="78">
        <f>I436</f>
        <v>0</v>
      </c>
      <c r="J435" s="78">
        <f>J436</f>
        <v>6.8033</v>
      </c>
      <c r="K435" s="191"/>
      <c r="L435" s="191"/>
      <c r="M435" s="322">
        <f t="shared" si="74"/>
        <v>85.52650601349404</v>
      </c>
      <c r="N435" s="189"/>
    </row>
    <row r="436" spans="1:13" ht="78.75">
      <c r="A436" s="82" t="s">
        <v>582</v>
      </c>
      <c r="B436" s="205">
        <v>951</v>
      </c>
      <c r="C436" s="80" t="s">
        <v>121</v>
      </c>
      <c r="D436" s="80" t="s">
        <v>103</v>
      </c>
      <c r="E436" s="80" t="s">
        <v>243</v>
      </c>
      <c r="F436" s="80" t="s">
        <v>315</v>
      </c>
      <c r="G436" s="111">
        <f>G437</f>
        <v>7.954610000000002</v>
      </c>
      <c r="H436" s="111">
        <f aca="true" t="shared" si="81" ref="H436:J439">H437</f>
        <v>0</v>
      </c>
      <c r="I436" s="111">
        <f t="shared" si="81"/>
        <v>0</v>
      </c>
      <c r="J436" s="111">
        <f t="shared" si="81"/>
        <v>6.8033</v>
      </c>
      <c r="K436" s="191"/>
      <c r="L436" s="191"/>
      <c r="M436" s="192">
        <f t="shared" si="74"/>
        <v>85.52650601349404</v>
      </c>
    </row>
    <row r="437" spans="1:13" ht="31.5">
      <c r="A437" s="79" t="s">
        <v>270</v>
      </c>
      <c r="B437" s="205">
        <v>951</v>
      </c>
      <c r="C437" s="80" t="s">
        <v>121</v>
      </c>
      <c r="D437" s="80" t="s">
        <v>103</v>
      </c>
      <c r="E437" s="80" t="s">
        <v>383</v>
      </c>
      <c r="F437" s="80" t="s">
        <v>315</v>
      </c>
      <c r="G437" s="32">
        <f>G438</f>
        <v>7.954610000000002</v>
      </c>
      <c r="H437" s="32">
        <f t="shared" si="81"/>
        <v>0</v>
      </c>
      <c r="I437" s="32">
        <f t="shared" si="81"/>
        <v>0</v>
      </c>
      <c r="J437" s="32">
        <f t="shared" si="81"/>
        <v>6.8033</v>
      </c>
      <c r="K437" s="191"/>
      <c r="L437" s="191"/>
      <c r="M437" s="192">
        <f t="shared" si="74"/>
        <v>85.52650601349404</v>
      </c>
    </row>
    <row r="438" spans="1:13" ht="31.5">
      <c r="A438" s="79" t="s">
        <v>173</v>
      </c>
      <c r="B438" s="205">
        <v>951</v>
      </c>
      <c r="C438" s="80" t="s">
        <v>121</v>
      </c>
      <c r="D438" s="80" t="s">
        <v>103</v>
      </c>
      <c r="E438" s="80" t="s">
        <v>383</v>
      </c>
      <c r="F438" s="80" t="s">
        <v>315</v>
      </c>
      <c r="G438" s="32">
        <f>G439</f>
        <v>7.954610000000002</v>
      </c>
      <c r="H438" s="32">
        <f t="shared" si="81"/>
        <v>0</v>
      </c>
      <c r="I438" s="32">
        <f t="shared" si="81"/>
        <v>0</v>
      </c>
      <c r="J438" s="32">
        <f t="shared" si="81"/>
        <v>6.8033</v>
      </c>
      <c r="K438" s="191"/>
      <c r="L438" s="191"/>
      <c r="M438" s="192">
        <f t="shared" si="74"/>
        <v>85.52650601349404</v>
      </c>
    </row>
    <row r="439" spans="1:13" ht="35.25" customHeight="1">
      <c r="A439" s="79" t="s">
        <v>156</v>
      </c>
      <c r="B439" s="205">
        <v>951</v>
      </c>
      <c r="C439" s="80" t="s">
        <v>121</v>
      </c>
      <c r="D439" s="80" t="s">
        <v>103</v>
      </c>
      <c r="E439" s="80" t="s">
        <v>383</v>
      </c>
      <c r="F439" s="80" t="s">
        <v>157</v>
      </c>
      <c r="G439" s="32">
        <f>G440</f>
        <v>7.954610000000002</v>
      </c>
      <c r="H439" s="32">
        <f t="shared" si="81"/>
        <v>0</v>
      </c>
      <c r="I439" s="32">
        <f t="shared" si="81"/>
        <v>0</v>
      </c>
      <c r="J439" s="32">
        <f t="shared" si="81"/>
        <v>6.8033</v>
      </c>
      <c r="K439" s="185"/>
      <c r="L439" s="185"/>
      <c r="M439" s="192">
        <f t="shared" si="74"/>
        <v>85.52650601349404</v>
      </c>
    </row>
    <row r="440" spans="1:13" ht="15.75">
      <c r="A440" s="79" t="s">
        <v>174</v>
      </c>
      <c r="B440" s="205">
        <v>951</v>
      </c>
      <c r="C440" s="80" t="s">
        <v>121</v>
      </c>
      <c r="D440" s="80" t="s">
        <v>103</v>
      </c>
      <c r="E440" s="80" t="s">
        <v>383</v>
      </c>
      <c r="F440" s="80" t="s">
        <v>250</v>
      </c>
      <c r="G440" s="22">
        <f>110-31.04539-71</f>
        <v>7.954610000000002</v>
      </c>
      <c r="H440" s="22"/>
      <c r="I440" s="32"/>
      <c r="J440" s="29">
        <v>6.8033</v>
      </c>
      <c r="K440" s="191"/>
      <c r="L440" s="191"/>
      <c r="M440" s="192">
        <f t="shared" si="74"/>
        <v>85.52650601349404</v>
      </c>
    </row>
    <row r="441" spans="1:13" ht="31.5">
      <c r="A441" s="183" t="s">
        <v>304</v>
      </c>
      <c r="B441" s="184" t="s">
        <v>316</v>
      </c>
      <c r="C441" s="184" t="s">
        <v>104</v>
      </c>
      <c r="D441" s="184" t="s">
        <v>104</v>
      </c>
      <c r="E441" s="184" t="s">
        <v>243</v>
      </c>
      <c r="F441" s="184" t="s">
        <v>315</v>
      </c>
      <c r="G441" s="227">
        <f>G442</f>
        <v>4497.21</v>
      </c>
      <c r="H441" s="227" t="e">
        <f aca="true" t="shared" si="82" ref="H441:J443">H442</f>
        <v>#REF!</v>
      </c>
      <c r="I441" s="227" t="e">
        <f t="shared" si="82"/>
        <v>#REF!</v>
      </c>
      <c r="J441" s="227">
        <f t="shared" si="82"/>
        <v>4405.60958</v>
      </c>
      <c r="K441" s="191"/>
      <c r="L441" s="191"/>
      <c r="M441" s="321">
        <f t="shared" si="74"/>
        <v>97.96317227792343</v>
      </c>
    </row>
    <row r="442" spans="1:13" ht="78.75">
      <c r="A442" s="79" t="s">
        <v>109</v>
      </c>
      <c r="B442" s="205" t="s">
        <v>316</v>
      </c>
      <c r="C442" s="80" t="s">
        <v>103</v>
      </c>
      <c r="D442" s="80" t="s">
        <v>110</v>
      </c>
      <c r="E442" s="80" t="s">
        <v>243</v>
      </c>
      <c r="F442" s="80" t="s">
        <v>315</v>
      </c>
      <c r="G442" s="81">
        <f>G443</f>
        <v>4497.21</v>
      </c>
      <c r="H442" s="81" t="e">
        <f t="shared" si="82"/>
        <v>#REF!</v>
      </c>
      <c r="I442" s="81" t="e">
        <f t="shared" si="82"/>
        <v>#REF!</v>
      </c>
      <c r="J442" s="81">
        <f t="shared" si="82"/>
        <v>4405.60958</v>
      </c>
      <c r="K442" s="191"/>
      <c r="L442" s="191"/>
      <c r="M442" s="192">
        <f t="shared" si="74"/>
        <v>97.96317227792343</v>
      </c>
    </row>
    <row r="443" spans="1:13" ht="47.25">
      <c r="A443" s="79" t="s">
        <v>106</v>
      </c>
      <c r="B443" s="205" t="s">
        <v>316</v>
      </c>
      <c r="C443" s="80" t="s">
        <v>103</v>
      </c>
      <c r="D443" s="80" t="s">
        <v>110</v>
      </c>
      <c r="E443" s="80" t="s">
        <v>7</v>
      </c>
      <c r="F443" s="80" t="s">
        <v>315</v>
      </c>
      <c r="G443" s="111">
        <f>G444</f>
        <v>4497.21</v>
      </c>
      <c r="H443" s="111" t="e">
        <f t="shared" si="82"/>
        <v>#REF!</v>
      </c>
      <c r="I443" s="111" t="e">
        <f t="shared" si="82"/>
        <v>#REF!</v>
      </c>
      <c r="J443" s="111">
        <f t="shared" si="82"/>
        <v>4405.60958</v>
      </c>
      <c r="K443" s="191"/>
      <c r="L443" s="191"/>
      <c r="M443" s="192">
        <f t="shared" si="74"/>
        <v>97.96317227792343</v>
      </c>
    </row>
    <row r="444" spans="1:13" ht="47.25">
      <c r="A444" s="79" t="s">
        <v>107</v>
      </c>
      <c r="B444" s="205" t="s">
        <v>316</v>
      </c>
      <c r="C444" s="80" t="s">
        <v>103</v>
      </c>
      <c r="D444" s="80" t="s">
        <v>110</v>
      </c>
      <c r="E444" s="80" t="s">
        <v>8</v>
      </c>
      <c r="F444" s="80" t="s">
        <v>315</v>
      </c>
      <c r="G444" s="111">
        <f>G450+G445</f>
        <v>4497.21</v>
      </c>
      <c r="H444" s="111" t="e">
        <f>H450+H445</f>
        <v>#REF!</v>
      </c>
      <c r="I444" s="111" t="e">
        <f>I450+I445</f>
        <v>#REF!</v>
      </c>
      <c r="J444" s="111">
        <f>J450+J445</f>
        <v>4405.60958</v>
      </c>
      <c r="K444" s="191"/>
      <c r="L444" s="191"/>
      <c r="M444" s="192">
        <f t="shared" si="74"/>
        <v>97.96317227792343</v>
      </c>
    </row>
    <row r="445" spans="1:13" ht="31.5">
      <c r="A445" s="79" t="s">
        <v>130</v>
      </c>
      <c r="B445" s="205" t="s">
        <v>316</v>
      </c>
      <c r="C445" s="80" t="s">
        <v>103</v>
      </c>
      <c r="D445" s="80" t="s">
        <v>110</v>
      </c>
      <c r="E445" s="80" t="s">
        <v>10</v>
      </c>
      <c r="F445" s="80" t="s">
        <v>315</v>
      </c>
      <c r="G445" s="32">
        <f>G446+G448</f>
        <v>2149.7</v>
      </c>
      <c r="H445" s="32" t="e">
        <f>H446+H448</f>
        <v>#REF!</v>
      </c>
      <c r="I445" s="32">
        <f>I446+I448</f>
        <v>0</v>
      </c>
      <c r="J445" s="32">
        <f>J446+J448</f>
        <v>2103.67925</v>
      </c>
      <c r="K445" s="191"/>
      <c r="L445" s="191"/>
      <c r="M445" s="192">
        <f aca="true" t="shared" si="83" ref="M445:M491">J445/G445*100</f>
        <v>97.8592012839001</v>
      </c>
    </row>
    <row r="446" spans="1:13" ht="94.5">
      <c r="A446" s="79" t="s">
        <v>134</v>
      </c>
      <c r="B446" s="205" t="s">
        <v>316</v>
      </c>
      <c r="C446" s="80" t="s">
        <v>103</v>
      </c>
      <c r="D446" s="80" t="s">
        <v>110</v>
      </c>
      <c r="E446" s="80" t="s">
        <v>10</v>
      </c>
      <c r="F446" s="80" t="s">
        <v>108</v>
      </c>
      <c r="G446" s="32">
        <f>G447</f>
        <v>2149.7</v>
      </c>
      <c r="H446" s="32">
        <f>H447</f>
        <v>0</v>
      </c>
      <c r="I446" s="32">
        <f>I447</f>
        <v>0</v>
      </c>
      <c r="J446" s="32">
        <f>J447</f>
        <v>2103.67925</v>
      </c>
      <c r="K446" s="191"/>
      <c r="L446" s="191"/>
      <c r="M446" s="192">
        <f t="shared" si="83"/>
        <v>97.8592012839001</v>
      </c>
    </row>
    <row r="447" spans="1:13" ht="47.25">
      <c r="A447" s="79" t="s">
        <v>136</v>
      </c>
      <c r="B447" s="205" t="s">
        <v>316</v>
      </c>
      <c r="C447" s="80" t="s">
        <v>103</v>
      </c>
      <c r="D447" s="80" t="s">
        <v>110</v>
      </c>
      <c r="E447" s="80" t="s">
        <v>10</v>
      </c>
      <c r="F447" s="80" t="s">
        <v>135</v>
      </c>
      <c r="G447" s="32">
        <f>'[1]3'!F25</f>
        <v>2149.7</v>
      </c>
      <c r="H447" s="22"/>
      <c r="I447" s="22"/>
      <c r="J447" s="29">
        <v>2103.67925</v>
      </c>
      <c r="K447" s="191"/>
      <c r="L447" s="191"/>
      <c r="M447" s="192">
        <f t="shared" si="83"/>
        <v>97.8592012839001</v>
      </c>
    </row>
    <row r="448" spans="1:13" ht="31.5" hidden="1">
      <c r="A448" s="79" t="s">
        <v>137</v>
      </c>
      <c r="B448" s="205" t="s">
        <v>316</v>
      </c>
      <c r="C448" s="80" t="s">
        <v>103</v>
      </c>
      <c r="D448" s="80" t="s">
        <v>110</v>
      </c>
      <c r="E448" s="80" t="s">
        <v>10</v>
      </c>
      <c r="F448" s="80" t="s">
        <v>112</v>
      </c>
      <c r="G448" s="32">
        <f>G449</f>
        <v>0</v>
      </c>
      <c r="H448" s="22" t="e">
        <f>H449</f>
        <v>#REF!</v>
      </c>
      <c r="I448" s="22"/>
      <c r="J448" s="29"/>
      <c r="K448" s="191"/>
      <c r="L448" s="191"/>
      <c r="M448" s="192" t="e">
        <f t="shared" si="83"/>
        <v>#DIV/0!</v>
      </c>
    </row>
    <row r="449" spans="1:13" ht="47.25" hidden="1">
      <c r="A449" s="79" t="s">
        <v>138</v>
      </c>
      <c r="B449" s="205" t="s">
        <v>316</v>
      </c>
      <c r="C449" s="80" t="s">
        <v>103</v>
      </c>
      <c r="D449" s="80" t="s">
        <v>110</v>
      </c>
      <c r="E449" s="80" t="s">
        <v>10</v>
      </c>
      <c r="F449" s="80" t="s">
        <v>139</v>
      </c>
      <c r="G449" s="32">
        <f>'[1]3'!F27</f>
        <v>0</v>
      </c>
      <c r="H449" s="22" t="e">
        <f>H450</f>
        <v>#REF!</v>
      </c>
      <c r="I449" s="22"/>
      <c r="J449" s="29"/>
      <c r="K449" s="191"/>
      <c r="L449" s="191"/>
      <c r="M449" s="192" t="e">
        <f t="shared" si="83"/>
        <v>#DIV/0!</v>
      </c>
    </row>
    <row r="450" spans="1:13" ht="47.25">
      <c r="A450" s="79" t="s">
        <v>111</v>
      </c>
      <c r="B450" s="205" t="s">
        <v>316</v>
      </c>
      <c r="C450" s="80" t="s">
        <v>103</v>
      </c>
      <c r="D450" s="80" t="s">
        <v>110</v>
      </c>
      <c r="E450" s="80" t="s">
        <v>11</v>
      </c>
      <c r="F450" s="80" t="s">
        <v>315</v>
      </c>
      <c r="G450" s="111">
        <f>G451+G453+G455</f>
        <v>2347.51</v>
      </c>
      <c r="H450" s="111" t="e">
        <f>H451+H453+H455</f>
        <v>#REF!</v>
      </c>
      <c r="I450" s="111" t="e">
        <f>I451+I453+I455</f>
        <v>#REF!</v>
      </c>
      <c r="J450" s="111">
        <f>J451+J453+J455</f>
        <v>2301.93033</v>
      </c>
      <c r="K450" s="191"/>
      <c r="L450" s="191"/>
      <c r="M450" s="192">
        <f t="shared" si="83"/>
        <v>98.05838228591145</v>
      </c>
    </row>
    <row r="451" spans="1:13" ht="94.5">
      <c r="A451" s="79" t="s">
        <v>134</v>
      </c>
      <c r="B451" s="205" t="s">
        <v>316</v>
      </c>
      <c r="C451" s="80" t="s">
        <v>103</v>
      </c>
      <c r="D451" s="80" t="s">
        <v>110</v>
      </c>
      <c r="E451" s="80" t="s">
        <v>11</v>
      </c>
      <c r="F451" s="80" t="s">
        <v>108</v>
      </c>
      <c r="G451" s="32">
        <f>G452</f>
        <v>1088.1309999999999</v>
      </c>
      <c r="H451" s="32">
        <f>H452</f>
        <v>0</v>
      </c>
      <c r="I451" s="32">
        <f>I452</f>
        <v>0</v>
      </c>
      <c r="J451" s="32">
        <f>J452</f>
        <v>1048.87963</v>
      </c>
      <c r="K451" s="191"/>
      <c r="L451" s="191"/>
      <c r="M451" s="192">
        <f t="shared" si="83"/>
        <v>96.39277164238497</v>
      </c>
    </row>
    <row r="452" spans="1:13" ht="47.25">
      <c r="A452" s="79" t="s">
        <v>136</v>
      </c>
      <c r="B452" s="205" t="s">
        <v>316</v>
      </c>
      <c r="C452" s="80" t="s">
        <v>103</v>
      </c>
      <c r="D452" s="80" t="s">
        <v>110</v>
      </c>
      <c r="E452" s="80" t="s">
        <v>11</v>
      </c>
      <c r="F452" s="80" t="s">
        <v>135</v>
      </c>
      <c r="G452" s="22">
        <f>'[1]3'!F30</f>
        <v>1088.1309999999999</v>
      </c>
      <c r="H452" s="22">
        <v>0</v>
      </c>
      <c r="I452" s="22"/>
      <c r="J452" s="29">
        <v>1048.87963</v>
      </c>
      <c r="K452" s="191"/>
      <c r="L452" s="191"/>
      <c r="M452" s="192">
        <f t="shared" si="83"/>
        <v>96.39277164238497</v>
      </c>
    </row>
    <row r="453" spans="1:13" s="195" customFormat="1" ht="31.5">
      <c r="A453" s="79" t="s">
        <v>137</v>
      </c>
      <c r="B453" s="205" t="s">
        <v>316</v>
      </c>
      <c r="C453" s="80" t="s">
        <v>103</v>
      </c>
      <c r="D453" s="80" t="s">
        <v>110</v>
      </c>
      <c r="E453" s="80" t="s">
        <v>11</v>
      </c>
      <c r="F453" s="80" t="s">
        <v>112</v>
      </c>
      <c r="G453" s="22">
        <f>G454</f>
        <v>1254.3790000000001</v>
      </c>
      <c r="H453" s="22" t="e">
        <f>H454</f>
        <v>#REF!</v>
      </c>
      <c r="I453" s="22" t="e">
        <f>I454</f>
        <v>#REF!</v>
      </c>
      <c r="J453" s="22">
        <f>J454</f>
        <v>1249.5507</v>
      </c>
      <c r="K453" s="185"/>
      <c r="L453" s="185"/>
      <c r="M453" s="192">
        <f t="shared" si="83"/>
        <v>99.61508443620308</v>
      </c>
    </row>
    <row r="454" spans="1:13" ht="47.25">
      <c r="A454" s="79" t="s">
        <v>138</v>
      </c>
      <c r="B454" s="205" t="s">
        <v>316</v>
      </c>
      <c r="C454" s="80" t="s">
        <v>103</v>
      </c>
      <c r="D454" s="80" t="s">
        <v>110</v>
      </c>
      <c r="E454" s="80" t="s">
        <v>11</v>
      </c>
      <c r="F454" s="80" t="s">
        <v>139</v>
      </c>
      <c r="G454" s="22">
        <f>'[1]3'!F32</f>
        <v>1254.3790000000001</v>
      </c>
      <c r="H454" s="213" t="e">
        <f>H455+#REF!+#REF!</f>
        <v>#REF!</v>
      </c>
      <c r="I454" s="213" t="e">
        <f>I455+I459+#REF!+#REF!</f>
        <v>#REF!</v>
      </c>
      <c r="J454" s="29">
        <v>1249.5507</v>
      </c>
      <c r="K454" s="191"/>
      <c r="L454" s="191"/>
      <c r="M454" s="192">
        <f t="shared" si="83"/>
        <v>99.61508443620308</v>
      </c>
    </row>
    <row r="455" spans="1:18" ht="15.75">
      <c r="A455" s="79" t="s">
        <v>142</v>
      </c>
      <c r="B455" s="94" t="s">
        <v>316</v>
      </c>
      <c r="C455" s="80" t="s">
        <v>103</v>
      </c>
      <c r="D455" s="80" t="s">
        <v>110</v>
      </c>
      <c r="E455" s="80" t="s">
        <v>11</v>
      </c>
      <c r="F455" s="80" t="s">
        <v>143</v>
      </c>
      <c r="G455" s="22">
        <f>G456</f>
        <v>5</v>
      </c>
      <c r="H455" s="22" t="e">
        <f>H456</f>
        <v>#REF!</v>
      </c>
      <c r="I455" s="22" t="e">
        <f>I456</f>
        <v>#REF!</v>
      </c>
      <c r="J455" s="22">
        <f>J456</f>
        <v>3.5</v>
      </c>
      <c r="K455" s="191"/>
      <c r="L455" s="191"/>
      <c r="M455" s="192">
        <f t="shared" si="83"/>
        <v>70</v>
      </c>
      <c r="O455" s="189"/>
      <c r="P455" s="189"/>
      <c r="Q455" s="189"/>
      <c r="R455" s="189"/>
    </row>
    <row r="456" spans="1:19" ht="15.75">
      <c r="A456" s="79" t="s">
        <v>140</v>
      </c>
      <c r="B456" s="94" t="s">
        <v>316</v>
      </c>
      <c r="C456" s="80" t="s">
        <v>103</v>
      </c>
      <c r="D456" s="80" t="s">
        <v>110</v>
      </c>
      <c r="E456" s="80" t="s">
        <v>11</v>
      </c>
      <c r="F456" s="80" t="s">
        <v>141</v>
      </c>
      <c r="G456" s="81">
        <v>5</v>
      </c>
      <c r="H456" s="22" t="e">
        <f>H457</f>
        <v>#REF!</v>
      </c>
      <c r="I456" s="32" t="e">
        <f>I457</f>
        <v>#REF!</v>
      </c>
      <c r="J456" s="29">
        <v>3.5</v>
      </c>
      <c r="K456" s="191"/>
      <c r="L456" s="191"/>
      <c r="M456" s="192">
        <f t="shared" si="83"/>
        <v>70</v>
      </c>
      <c r="O456" s="189"/>
      <c r="P456" s="189"/>
      <c r="Q456" s="189"/>
      <c r="R456" s="189"/>
      <c r="S456" s="189"/>
    </row>
    <row r="457" spans="1:15" ht="47.25">
      <c r="A457" s="183" t="s">
        <v>453</v>
      </c>
      <c r="B457" s="184" t="s">
        <v>319</v>
      </c>
      <c r="C457" s="184" t="s">
        <v>104</v>
      </c>
      <c r="D457" s="184" t="s">
        <v>104</v>
      </c>
      <c r="E457" s="184" t="s">
        <v>243</v>
      </c>
      <c r="F457" s="184" t="s">
        <v>315</v>
      </c>
      <c r="G457" s="227">
        <f>G458+G469+G467</f>
        <v>30561.562789999996</v>
      </c>
      <c r="H457" s="227" t="e">
        <f>H458+H469+H467</f>
        <v>#REF!</v>
      </c>
      <c r="I457" s="227" t="e">
        <f>I458+I469+I467</f>
        <v>#REF!</v>
      </c>
      <c r="J457" s="227">
        <f>J458+J469+J467</f>
        <v>30525.821649999998</v>
      </c>
      <c r="K457" s="191"/>
      <c r="L457" s="191"/>
      <c r="M457" s="321">
        <f t="shared" si="83"/>
        <v>99.88305198838951</v>
      </c>
      <c r="O457" s="189"/>
    </row>
    <row r="458" spans="1:13" ht="63">
      <c r="A458" s="190" t="s">
        <v>305</v>
      </c>
      <c r="B458" s="205" t="s">
        <v>319</v>
      </c>
      <c r="C458" s="80" t="s">
        <v>103</v>
      </c>
      <c r="D458" s="80" t="s">
        <v>116</v>
      </c>
      <c r="E458" s="80" t="s">
        <v>243</v>
      </c>
      <c r="F458" s="80" t="s">
        <v>315</v>
      </c>
      <c r="G458" s="111">
        <f>G459</f>
        <v>7578.451439999999</v>
      </c>
      <c r="H458" s="111" t="e">
        <f aca="true" t="shared" si="84" ref="H458:J459">H459</f>
        <v>#REF!</v>
      </c>
      <c r="I458" s="111" t="e">
        <f t="shared" si="84"/>
        <v>#REF!</v>
      </c>
      <c r="J458" s="111">
        <f t="shared" si="84"/>
        <v>7542.710300000001</v>
      </c>
      <c r="K458" s="191"/>
      <c r="L458" s="191"/>
      <c r="M458" s="192">
        <f t="shared" si="83"/>
        <v>99.52838465373873</v>
      </c>
    </row>
    <row r="459" spans="1:13" ht="47.25">
      <c r="A459" s="190" t="s">
        <v>107</v>
      </c>
      <c r="B459" s="205" t="s">
        <v>319</v>
      </c>
      <c r="C459" s="80" t="s">
        <v>103</v>
      </c>
      <c r="D459" s="80" t="s">
        <v>116</v>
      </c>
      <c r="E459" s="80" t="s">
        <v>7</v>
      </c>
      <c r="F459" s="80" t="s">
        <v>315</v>
      </c>
      <c r="G459" s="111">
        <f>G460</f>
        <v>7578.451439999999</v>
      </c>
      <c r="H459" s="111" t="e">
        <f t="shared" si="84"/>
        <v>#REF!</v>
      </c>
      <c r="I459" s="111" t="e">
        <f t="shared" si="84"/>
        <v>#REF!</v>
      </c>
      <c r="J459" s="111">
        <f t="shared" si="84"/>
        <v>7542.710300000001</v>
      </c>
      <c r="K459" s="191"/>
      <c r="L459" s="191"/>
      <c r="M459" s="192">
        <f t="shared" si="83"/>
        <v>99.52838465373873</v>
      </c>
    </row>
    <row r="460" spans="1:13" ht="47.25">
      <c r="A460" s="79" t="s">
        <v>224</v>
      </c>
      <c r="B460" s="205" t="s">
        <v>319</v>
      </c>
      <c r="C460" s="80" t="s">
        <v>103</v>
      </c>
      <c r="D460" s="80" t="s">
        <v>116</v>
      </c>
      <c r="E460" s="80" t="s">
        <v>8</v>
      </c>
      <c r="F460" s="80" t="s">
        <v>315</v>
      </c>
      <c r="G460" s="111">
        <f>G461+G463+G465</f>
        <v>7578.451439999999</v>
      </c>
      <c r="H460" s="111" t="e">
        <f>H461+H463+H465</f>
        <v>#REF!</v>
      </c>
      <c r="I460" s="111" t="e">
        <f>I461+I463+I465</f>
        <v>#REF!</v>
      </c>
      <c r="J460" s="111">
        <f>J461+J463+J465</f>
        <v>7542.710300000001</v>
      </c>
      <c r="K460" s="191"/>
      <c r="L460" s="191"/>
      <c r="M460" s="192">
        <f t="shared" si="83"/>
        <v>99.52838465373873</v>
      </c>
    </row>
    <row r="461" spans="1:13" ht="94.5">
      <c r="A461" s="79" t="s">
        <v>134</v>
      </c>
      <c r="B461" s="205" t="s">
        <v>319</v>
      </c>
      <c r="C461" s="80" t="s">
        <v>103</v>
      </c>
      <c r="D461" s="80" t="s">
        <v>116</v>
      </c>
      <c r="E461" s="80" t="s">
        <v>11</v>
      </c>
      <c r="F461" s="80" t="s">
        <v>108</v>
      </c>
      <c r="G461" s="32">
        <f>G462</f>
        <v>6494.682</v>
      </c>
      <c r="H461" s="32">
        <f>H462</f>
        <v>0</v>
      </c>
      <c r="I461" s="32">
        <f>I462</f>
        <v>0</v>
      </c>
      <c r="J461" s="32">
        <f>J462</f>
        <v>6477.06241</v>
      </c>
      <c r="K461" s="191"/>
      <c r="L461" s="191"/>
      <c r="M461" s="192">
        <f t="shared" si="83"/>
        <v>99.72870742555217</v>
      </c>
    </row>
    <row r="462" spans="1:13" ht="47.25">
      <c r="A462" s="79" t="s">
        <v>136</v>
      </c>
      <c r="B462" s="205" t="s">
        <v>319</v>
      </c>
      <c r="C462" s="80" t="s">
        <v>103</v>
      </c>
      <c r="D462" s="80" t="s">
        <v>116</v>
      </c>
      <c r="E462" s="80" t="s">
        <v>11</v>
      </c>
      <c r="F462" s="80" t="s">
        <v>135</v>
      </c>
      <c r="G462" s="22">
        <f>'[1]3'!F53</f>
        <v>6494.682</v>
      </c>
      <c r="H462" s="22"/>
      <c r="I462" s="32"/>
      <c r="J462" s="29">
        <v>6477.06241</v>
      </c>
      <c r="K462" s="191"/>
      <c r="L462" s="191"/>
      <c r="M462" s="192">
        <f t="shared" si="83"/>
        <v>99.72870742555217</v>
      </c>
    </row>
    <row r="463" spans="1:13" ht="31.5">
      <c r="A463" s="79" t="s">
        <v>137</v>
      </c>
      <c r="B463" s="205" t="s">
        <v>319</v>
      </c>
      <c r="C463" s="80" t="s">
        <v>103</v>
      </c>
      <c r="D463" s="80" t="s">
        <v>116</v>
      </c>
      <c r="E463" s="80" t="s">
        <v>11</v>
      </c>
      <c r="F463" s="80" t="s">
        <v>112</v>
      </c>
      <c r="G463" s="32">
        <f>G464</f>
        <v>1079.36944</v>
      </c>
      <c r="H463" s="32" t="e">
        <f>H464</f>
        <v>#REF!</v>
      </c>
      <c r="I463" s="32">
        <f>I464</f>
        <v>0</v>
      </c>
      <c r="J463" s="32">
        <f>J464</f>
        <v>1061.24789</v>
      </c>
      <c r="K463" s="191"/>
      <c r="L463" s="191"/>
      <c r="M463" s="192">
        <f t="shared" si="83"/>
        <v>98.32109847393865</v>
      </c>
    </row>
    <row r="464" spans="1:13" ht="47.25">
      <c r="A464" s="79" t="s">
        <v>138</v>
      </c>
      <c r="B464" s="205" t="s">
        <v>319</v>
      </c>
      <c r="C464" s="80" t="s">
        <v>103</v>
      </c>
      <c r="D464" s="80" t="s">
        <v>116</v>
      </c>
      <c r="E464" s="80" t="s">
        <v>11</v>
      </c>
      <c r="F464" s="80" t="s">
        <v>139</v>
      </c>
      <c r="G464" s="22">
        <f>'[1]3'!F55</f>
        <v>1079.36944</v>
      </c>
      <c r="H464" s="22" t="e">
        <f>#REF!</f>
        <v>#REF!</v>
      </c>
      <c r="I464" s="22"/>
      <c r="J464" s="29">
        <v>1061.24789</v>
      </c>
      <c r="K464" s="191"/>
      <c r="L464" s="191"/>
      <c r="M464" s="192">
        <f t="shared" si="83"/>
        <v>98.32109847393865</v>
      </c>
    </row>
    <row r="465" spans="1:13" ht="15.75">
      <c r="A465" s="79" t="s">
        <v>142</v>
      </c>
      <c r="B465" s="205" t="s">
        <v>319</v>
      </c>
      <c r="C465" s="80" t="s">
        <v>103</v>
      </c>
      <c r="D465" s="80" t="s">
        <v>116</v>
      </c>
      <c r="E465" s="80" t="s">
        <v>11</v>
      </c>
      <c r="F465" s="80" t="s">
        <v>143</v>
      </c>
      <c r="G465" s="32">
        <f>G466</f>
        <v>4.4</v>
      </c>
      <c r="H465" s="32" t="e">
        <f>H466</f>
        <v>#REF!</v>
      </c>
      <c r="I465" s="32" t="e">
        <f>I466</f>
        <v>#REF!</v>
      </c>
      <c r="J465" s="32">
        <f>J466</f>
        <v>4.4</v>
      </c>
      <c r="K465" s="191"/>
      <c r="L465" s="191"/>
      <c r="M465" s="192">
        <f t="shared" si="83"/>
        <v>100</v>
      </c>
    </row>
    <row r="466" spans="1:13" s="199" customFormat="1" ht="15.75">
      <c r="A466" s="79" t="s">
        <v>140</v>
      </c>
      <c r="B466" s="205" t="s">
        <v>319</v>
      </c>
      <c r="C466" s="80" t="s">
        <v>103</v>
      </c>
      <c r="D466" s="80" t="s">
        <v>116</v>
      </c>
      <c r="E466" s="80" t="s">
        <v>11</v>
      </c>
      <c r="F466" s="80" t="s">
        <v>141</v>
      </c>
      <c r="G466" s="22">
        <f>'[1]3'!F57</f>
        <v>4.4</v>
      </c>
      <c r="H466" s="28" t="e">
        <f>#REF!</f>
        <v>#REF!</v>
      </c>
      <c r="I466" s="28" t="e">
        <f>#REF!</f>
        <v>#REF!</v>
      </c>
      <c r="J466" s="52">
        <v>4.4</v>
      </c>
      <c r="K466" s="198"/>
      <c r="L466" s="198"/>
      <c r="M466" s="256">
        <f t="shared" si="83"/>
        <v>100</v>
      </c>
    </row>
    <row r="467" spans="1:13" ht="31.5">
      <c r="A467" s="17" t="s">
        <v>668</v>
      </c>
      <c r="B467" s="228" t="s">
        <v>319</v>
      </c>
      <c r="C467" s="3" t="s">
        <v>103</v>
      </c>
      <c r="D467" s="3" t="s">
        <v>121</v>
      </c>
      <c r="E467" s="3" t="s">
        <v>11</v>
      </c>
      <c r="F467" s="3" t="s">
        <v>112</v>
      </c>
      <c r="G467" s="22">
        <f>G468</f>
        <v>1150</v>
      </c>
      <c r="H467" s="22">
        <f>H468</f>
        <v>0</v>
      </c>
      <c r="I467" s="22">
        <f>I468</f>
        <v>0</v>
      </c>
      <c r="J467" s="22">
        <f>J468</f>
        <v>1150</v>
      </c>
      <c r="K467" s="191"/>
      <c r="L467" s="191"/>
      <c r="M467" s="192">
        <f t="shared" si="83"/>
        <v>100</v>
      </c>
    </row>
    <row r="468" spans="1:13" ht="47.25">
      <c r="A468" s="79" t="s">
        <v>138</v>
      </c>
      <c r="B468" s="205" t="s">
        <v>319</v>
      </c>
      <c r="C468" s="80" t="s">
        <v>103</v>
      </c>
      <c r="D468" s="80" t="s">
        <v>121</v>
      </c>
      <c r="E468" s="80" t="s">
        <v>11</v>
      </c>
      <c r="F468" s="3" t="s">
        <v>139</v>
      </c>
      <c r="G468" s="22">
        <v>1150</v>
      </c>
      <c r="H468" s="22"/>
      <c r="I468" s="32"/>
      <c r="J468" s="29">
        <v>1150</v>
      </c>
      <c r="K468" s="191"/>
      <c r="L468" s="191"/>
      <c r="M468" s="192">
        <f t="shared" si="83"/>
        <v>100</v>
      </c>
    </row>
    <row r="469" spans="1:13" ht="94.5">
      <c r="A469" s="229" t="s">
        <v>582</v>
      </c>
      <c r="B469" s="230" t="s">
        <v>319</v>
      </c>
      <c r="C469" s="231" t="s">
        <v>176</v>
      </c>
      <c r="D469" s="231" t="s">
        <v>104</v>
      </c>
      <c r="E469" s="231" t="s">
        <v>386</v>
      </c>
      <c r="F469" s="231" t="s">
        <v>315</v>
      </c>
      <c r="G469" s="232">
        <f>G470+G478+G480+G484+G471+G488+G490+G493</f>
        <v>21833.11135</v>
      </c>
      <c r="H469" s="232">
        <f>H470+H478+H480+H484+H471+H488+H490+H493</f>
        <v>4729468.802150003</v>
      </c>
      <c r="I469" s="232">
        <f>I470+I478+I480+I484+I471+I488+I490+I493</f>
        <v>82980.3107</v>
      </c>
      <c r="J469" s="232">
        <f>J470+J478+J480+J484+J471+J488+J490+J493</f>
        <v>21833.11135</v>
      </c>
      <c r="K469" s="191"/>
      <c r="L469" s="191"/>
      <c r="M469" s="322">
        <f t="shared" si="83"/>
        <v>100</v>
      </c>
    </row>
    <row r="470" spans="1:13" ht="48" customHeight="1">
      <c r="A470" s="178" t="s">
        <v>177</v>
      </c>
      <c r="B470" s="233" t="s">
        <v>319</v>
      </c>
      <c r="C470" s="194" t="s">
        <v>176</v>
      </c>
      <c r="D470" s="194" t="s">
        <v>103</v>
      </c>
      <c r="E470" s="194" t="s">
        <v>386</v>
      </c>
      <c r="F470" s="194" t="s">
        <v>315</v>
      </c>
      <c r="G470" s="173">
        <f>G475</f>
        <v>7872.032</v>
      </c>
      <c r="H470" s="173">
        <f>H475</f>
        <v>7872.032</v>
      </c>
      <c r="I470" s="173">
        <f>I475</f>
        <v>7872.032</v>
      </c>
      <c r="J470" s="173">
        <f>J475</f>
        <v>7872.032</v>
      </c>
      <c r="K470" s="191"/>
      <c r="L470" s="191"/>
      <c r="M470" s="263">
        <f t="shared" si="83"/>
        <v>100</v>
      </c>
    </row>
    <row r="471" spans="1:13" ht="47.25">
      <c r="A471" s="82" t="s">
        <v>178</v>
      </c>
      <c r="B471" s="205" t="s">
        <v>319</v>
      </c>
      <c r="C471" s="83" t="s">
        <v>176</v>
      </c>
      <c r="D471" s="83" t="s">
        <v>103</v>
      </c>
      <c r="E471" s="83" t="s">
        <v>380</v>
      </c>
      <c r="F471" s="83" t="s">
        <v>315</v>
      </c>
      <c r="G471" s="84">
        <f>G472</f>
        <v>10728.88</v>
      </c>
      <c r="H471" s="84">
        <f aca="true" t="shared" si="85" ref="H471:J473">H472</f>
        <v>10728.88</v>
      </c>
      <c r="I471" s="84">
        <f t="shared" si="85"/>
        <v>10728.88</v>
      </c>
      <c r="J471" s="84">
        <f t="shared" si="85"/>
        <v>10728.88</v>
      </c>
      <c r="K471" s="191"/>
      <c r="L471" s="191"/>
      <c r="M471" s="192">
        <f t="shared" si="83"/>
        <v>100</v>
      </c>
    </row>
    <row r="472" spans="1:13" ht="15.75">
      <c r="A472" s="79" t="s">
        <v>148</v>
      </c>
      <c r="B472" s="205" t="s">
        <v>319</v>
      </c>
      <c r="C472" s="80" t="s">
        <v>176</v>
      </c>
      <c r="D472" s="80" t="s">
        <v>103</v>
      </c>
      <c r="E472" s="80" t="s">
        <v>380</v>
      </c>
      <c r="F472" s="80" t="s">
        <v>315</v>
      </c>
      <c r="G472" s="81">
        <f>G473</f>
        <v>10728.88</v>
      </c>
      <c r="H472" s="81">
        <f t="shared" si="85"/>
        <v>10728.88</v>
      </c>
      <c r="I472" s="81">
        <f t="shared" si="85"/>
        <v>10728.88</v>
      </c>
      <c r="J472" s="81">
        <f t="shared" si="85"/>
        <v>10728.88</v>
      </c>
      <c r="K472" s="191"/>
      <c r="L472" s="191"/>
      <c r="M472" s="192">
        <f t="shared" si="83"/>
        <v>100</v>
      </c>
    </row>
    <row r="473" spans="1:13" ht="126">
      <c r="A473" s="82" t="s">
        <v>252</v>
      </c>
      <c r="B473" s="205" t="s">
        <v>319</v>
      </c>
      <c r="C473" s="80" t="s">
        <v>176</v>
      </c>
      <c r="D473" s="80" t="s">
        <v>103</v>
      </c>
      <c r="E473" s="80" t="s">
        <v>380</v>
      </c>
      <c r="F473" s="80" t="s">
        <v>315</v>
      </c>
      <c r="G473" s="81">
        <f>G474</f>
        <v>10728.88</v>
      </c>
      <c r="H473" s="81">
        <f t="shared" si="85"/>
        <v>10728.88</v>
      </c>
      <c r="I473" s="81">
        <f t="shared" si="85"/>
        <v>10728.88</v>
      </c>
      <c r="J473" s="81">
        <f t="shared" si="85"/>
        <v>10728.88</v>
      </c>
      <c r="K473" s="191"/>
      <c r="L473" s="191"/>
      <c r="M473" s="192">
        <f t="shared" si="83"/>
        <v>100</v>
      </c>
    </row>
    <row r="474" spans="1:13" ht="15.75">
      <c r="A474" s="79" t="s">
        <v>158</v>
      </c>
      <c r="B474" s="205" t="s">
        <v>319</v>
      </c>
      <c r="C474" s="80" t="s">
        <v>176</v>
      </c>
      <c r="D474" s="80" t="s">
        <v>103</v>
      </c>
      <c r="E474" s="80" t="s">
        <v>380</v>
      </c>
      <c r="F474" s="80" t="s">
        <v>159</v>
      </c>
      <c r="G474" s="81">
        <v>10728.88</v>
      </c>
      <c r="H474" s="81">
        <v>10728.88</v>
      </c>
      <c r="I474" s="81">
        <v>10728.88</v>
      </c>
      <c r="J474" s="81">
        <v>10728.88</v>
      </c>
      <c r="K474" s="191"/>
      <c r="L474" s="191"/>
      <c r="M474" s="192">
        <f t="shared" si="83"/>
        <v>100</v>
      </c>
    </row>
    <row r="475" spans="1:13" ht="47.25">
      <c r="A475" s="82" t="s">
        <v>237</v>
      </c>
      <c r="B475" s="205" t="s">
        <v>319</v>
      </c>
      <c r="C475" s="83" t="s">
        <v>176</v>
      </c>
      <c r="D475" s="83" t="s">
        <v>103</v>
      </c>
      <c r="E475" s="83" t="s">
        <v>381</v>
      </c>
      <c r="F475" s="83" t="s">
        <v>315</v>
      </c>
      <c r="G475" s="84">
        <f>G476</f>
        <v>7872.032</v>
      </c>
      <c r="H475" s="84">
        <f>H476</f>
        <v>7872.032</v>
      </c>
      <c r="I475" s="84">
        <f>I476</f>
        <v>7872.032</v>
      </c>
      <c r="J475" s="84">
        <f>J476</f>
        <v>7872.032</v>
      </c>
      <c r="K475" s="191"/>
      <c r="L475" s="191"/>
      <c r="M475" s="192">
        <f t="shared" si="83"/>
        <v>100</v>
      </c>
    </row>
    <row r="476" spans="1:13" ht="15.75">
      <c r="A476" s="79" t="s">
        <v>158</v>
      </c>
      <c r="B476" s="205" t="s">
        <v>319</v>
      </c>
      <c r="C476" s="80" t="s">
        <v>176</v>
      </c>
      <c r="D476" s="80" t="s">
        <v>103</v>
      </c>
      <c r="E476" s="80" t="s">
        <v>381</v>
      </c>
      <c r="F476" s="80" t="s">
        <v>159</v>
      </c>
      <c r="G476" s="81">
        <v>7872.032</v>
      </c>
      <c r="H476" s="81">
        <v>7872.032</v>
      </c>
      <c r="I476" s="81">
        <v>7872.032</v>
      </c>
      <c r="J476" s="81">
        <v>7872.032</v>
      </c>
      <c r="K476" s="191"/>
      <c r="L476" s="191"/>
      <c r="M476" s="192">
        <f t="shared" si="83"/>
        <v>100</v>
      </c>
    </row>
    <row r="477" spans="1:13" ht="69.75" customHeight="1" hidden="1">
      <c r="A477" s="79" t="s">
        <v>237</v>
      </c>
      <c r="B477" s="205" t="s">
        <v>319</v>
      </c>
      <c r="C477" s="80" t="s">
        <v>176</v>
      </c>
      <c r="D477" s="80" t="s">
        <v>103</v>
      </c>
      <c r="E477" s="80" t="s">
        <v>15</v>
      </c>
      <c r="F477" s="80" t="s">
        <v>315</v>
      </c>
      <c r="G477" s="81">
        <f>G478</f>
        <v>0</v>
      </c>
      <c r="H477" s="23">
        <v>0</v>
      </c>
      <c r="I477" s="23">
        <f>I478</f>
        <v>41842.199349999995</v>
      </c>
      <c r="J477" s="29"/>
      <c r="K477" s="191"/>
      <c r="L477" s="191"/>
      <c r="M477" s="192" t="e">
        <f t="shared" si="83"/>
        <v>#DIV/0!</v>
      </c>
    </row>
    <row r="478" spans="1:13" ht="15.75" hidden="1">
      <c r="A478" s="79" t="s">
        <v>146</v>
      </c>
      <c r="B478" s="205" t="s">
        <v>319</v>
      </c>
      <c r="C478" s="80" t="s">
        <v>176</v>
      </c>
      <c r="D478" s="80" t="s">
        <v>103</v>
      </c>
      <c r="E478" s="80" t="s">
        <v>15</v>
      </c>
      <c r="F478" s="80" t="s">
        <v>159</v>
      </c>
      <c r="G478" s="81"/>
      <c r="H478" s="22"/>
      <c r="I478" s="22">
        <f>I479</f>
        <v>41842.199349999995</v>
      </c>
      <c r="J478" s="29"/>
      <c r="K478" s="191"/>
      <c r="L478" s="191"/>
      <c r="M478" s="192" t="e">
        <f t="shared" si="83"/>
        <v>#DIV/0!</v>
      </c>
    </row>
    <row r="479" spans="1:13" ht="31.5">
      <c r="A479" s="234" t="s">
        <v>261</v>
      </c>
      <c r="B479" s="233" t="s">
        <v>319</v>
      </c>
      <c r="C479" s="235" t="s">
        <v>176</v>
      </c>
      <c r="D479" s="235" t="s">
        <v>110</v>
      </c>
      <c r="E479" s="235" t="s">
        <v>386</v>
      </c>
      <c r="F479" s="235" t="s">
        <v>315</v>
      </c>
      <c r="G479" s="175">
        <f>G480+G485+G484</f>
        <v>3232.19935</v>
      </c>
      <c r="H479" s="175">
        <f>H480+H485+H484</f>
        <v>3232.19935</v>
      </c>
      <c r="I479" s="175">
        <f>I480+I485+I484</f>
        <v>41842.199349999995</v>
      </c>
      <c r="J479" s="175">
        <f>J480+J485+J484</f>
        <v>3232.19935</v>
      </c>
      <c r="K479" s="191"/>
      <c r="L479" s="191"/>
      <c r="M479" s="263">
        <f t="shared" si="83"/>
        <v>100</v>
      </c>
    </row>
    <row r="480" spans="1:13" ht="31.5">
      <c r="A480" s="79" t="s">
        <v>348</v>
      </c>
      <c r="B480" s="205" t="s">
        <v>319</v>
      </c>
      <c r="C480" s="80" t="s">
        <v>176</v>
      </c>
      <c r="D480" s="80" t="s">
        <v>110</v>
      </c>
      <c r="E480" s="80" t="s">
        <v>382</v>
      </c>
      <c r="F480" s="80" t="s">
        <v>315</v>
      </c>
      <c r="G480" s="81">
        <f>G481</f>
        <v>2830.63935</v>
      </c>
      <c r="H480" s="81">
        <f>H481</f>
        <v>2830.63935</v>
      </c>
      <c r="I480" s="81">
        <f>I481</f>
        <v>22135.63935</v>
      </c>
      <c r="J480" s="81">
        <f>J481</f>
        <v>2830.63935</v>
      </c>
      <c r="K480" s="191"/>
      <c r="L480" s="191"/>
      <c r="M480" s="192">
        <f t="shared" si="83"/>
        <v>100</v>
      </c>
    </row>
    <row r="481" spans="1:13" ht="15.75">
      <c r="A481" s="79" t="s">
        <v>148</v>
      </c>
      <c r="B481" s="205" t="s">
        <v>319</v>
      </c>
      <c r="C481" s="80" t="s">
        <v>176</v>
      </c>
      <c r="D481" s="80" t="s">
        <v>110</v>
      </c>
      <c r="E481" s="80" t="s">
        <v>382</v>
      </c>
      <c r="F481" s="80" t="s">
        <v>149</v>
      </c>
      <c r="G481" s="81">
        <f>G482+G485</f>
        <v>2830.63935</v>
      </c>
      <c r="H481" s="81">
        <f>H482+H485</f>
        <v>2830.63935</v>
      </c>
      <c r="I481" s="81">
        <f>I482+I485</f>
        <v>22135.63935</v>
      </c>
      <c r="J481" s="81">
        <f>J482+J485</f>
        <v>2830.63935</v>
      </c>
      <c r="K481" s="191"/>
      <c r="L481" s="191"/>
      <c r="M481" s="192">
        <f t="shared" si="83"/>
        <v>100</v>
      </c>
    </row>
    <row r="482" spans="1:13" ht="15.75">
      <c r="A482" s="79" t="s">
        <v>226</v>
      </c>
      <c r="B482" s="205" t="s">
        <v>319</v>
      </c>
      <c r="C482" s="80" t="s">
        <v>176</v>
      </c>
      <c r="D482" s="80" t="s">
        <v>110</v>
      </c>
      <c r="E482" s="80" t="s">
        <v>382</v>
      </c>
      <c r="F482" s="80" t="s">
        <v>347</v>
      </c>
      <c r="G482" s="22">
        <f>864+2580-(70.72/1000)-329.28993-784+500</f>
        <v>2830.63935</v>
      </c>
      <c r="H482" s="22">
        <f>864+2580-(70.72/1000)-329.28993-784+500</f>
        <v>2830.63935</v>
      </c>
      <c r="I482" s="22">
        <f>864+2580-(70.72/1000)-329.28993-784+500</f>
        <v>2830.63935</v>
      </c>
      <c r="J482" s="22">
        <f>864+2580-(70.72/1000)-329.28993-784+500</f>
        <v>2830.63935</v>
      </c>
      <c r="K482" s="191"/>
      <c r="L482" s="191"/>
      <c r="M482" s="192">
        <f t="shared" si="83"/>
        <v>100</v>
      </c>
    </row>
    <row r="483" spans="1:13" s="202" customFormat="1" ht="15.75">
      <c r="A483" s="79" t="s">
        <v>148</v>
      </c>
      <c r="B483" s="205" t="s">
        <v>319</v>
      </c>
      <c r="C483" s="80" t="s">
        <v>176</v>
      </c>
      <c r="D483" s="80" t="s">
        <v>110</v>
      </c>
      <c r="E483" s="80" t="s">
        <v>651</v>
      </c>
      <c r="F483" s="80" t="s">
        <v>149</v>
      </c>
      <c r="G483" s="81">
        <f>G484</f>
        <v>401.56</v>
      </c>
      <c r="H483" s="81">
        <f>H484</f>
        <v>401.56</v>
      </c>
      <c r="I483" s="81">
        <f>I484</f>
        <v>401.56</v>
      </c>
      <c r="J483" s="81">
        <f>J484</f>
        <v>401.56</v>
      </c>
      <c r="K483" s="201"/>
      <c r="L483" s="201"/>
      <c r="M483" s="192">
        <f t="shared" si="83"/>
        <v>100</v>
      </c>
    </row>
    <row r="484" spans="1:13" ht="126">
      <c r="A484" s="79" t="s">
        <v>652</v>
      </c>
      <c r="B484" s="205" t="s">
        <v>319</v>
      </c>
      <c r="C484" s="80" t="s">
        <v>176</v>
      </c>
      <c r="D484" s="80" t="s">
        <v>110</v>
      </c>
      <c r="E484" s="3" t="s">
        <v>651</v>
      </c>
      <c r="F484" s="3" t="s">
        <v>347</v>
      </c>
      <c r="G484" s="22">
        <f>20.7+380.86</f>
        <v>401.56</v>
      </c>
      <c r="H484" s="22">
        <f>20.7+380.86</f>
        <v>401.56</v>
      </c>
      <c r="I484" s="22">
        <f>20.7+380.86</f>
        <v>401.56</v>
      </c>
      <c r="J484" s="22">
        <f>20.7+380.86</f>
        <v>401.56</v>
      </c>
      <c r="K484" s="191"/>
      <c r="L484" s="191"/>
      <c r="M484" s="192">
        <f t="shared" si="83"/>
        <v>100</v>
      </c>
    </row>
    <row r="485" spans="1:13" ht="78.75" hidden="1">
      <c r="A485" s="79" t="s">
        <v>483</v>
      </c>
      <c r="B485" s="205" t="s">
        <v>319</v>
      </c>
      <c r="C485" s="80" t="s">
        <v>176</v>
      </c>
      <c r="D485" s="80" t="s">
        <v>110</v>
      </c>
      <c r="E485" s="80" t="s">
        <v>501</v>
      </c>
      <c r="F485" s="80" t="s">
        <v>347</v>
      </c>
      <c r="G485" s="81"/>
      <c r="H485" s="22"/>
      <c r="I485" s="22">
        <v>19305</v>
      </c>
      <c r="J485" s="29"/>
      <c r="K485" s="191"/>
      <c r="L485" s="191"/>
      <c r="M485" s="192" t="e">
        <f t="shared" si="83"/>
        <v>#DIV/0!</v>
      </c>
    </row>
    <row r="486" spans="1:13" ht="31.5" hidden="1">
      <c r="A486" s="178" t="s">
        <v>423</v>
      </c>
      <c r="B486" s="193" t="s">
        <v>319</v>
      </c>
      <c r="C486" s="194" t="s">
        <v>176</v>
      </c>
      <c r="D486" s="194" t="s">
        <v>103</v>
      </c>
      <c r="E486" s="194" t="s">
        <v>752</v>
      </c>
      <c r="F486" s="194" t="s">
        <v>315</v>
      </c>
      <c r="G486" s="173">
        <f>G487+G490+G492</f>
        <v>0</v>
      </c>
      <c r="H486" s="23">
        <f>H487</f>
        <v>0</v>
      </c>
      <c r="I486" s="23">
        <f>I487</f>
        <v>0</v>
      </c>
      <c r="J486" s="29"/>
      <c r="K486" s="191"/>
      <c r="L486" s="191"/>
      <c r="M486" s="192" t="e">
        <f t="shared" si="83"/>
        <v>#DIV/0!</v>
      </c>
    </row>
    <row r="487" spans="1:13" ht="15.75" hidden="1">
      <c r="A487" s="79" t="s">
        <v>148</v>
      </c>
      <c r="B487" s="205"/>
      <c r="C487" s="80"/>
      <c r="D487" s="80"/>
      <c r="E487" s="80" t="s">
        <v>752</v>
      </c>
      <c r="F487" s="80" t="s">
        <v>315</v>
      </c>
      <c r="G487" s="81">
        <f>G488</f>
        <v>0</v>
      </c>
      <c r="H487" s="22">
        <f>H488</f>
        <v>0</v>
      </c>
      <c r="I487" s="22">
        <f>I488</f>
        <v>0</v>
      </c>
      <c r="J487" s="29"/>
      <c r="K487" s="191"/>
      <c r="L487" s="191"/>
      <c r="M487" s="192" t="e">
        <f t="shared" si="83"/>
        <v>#DIV/0!</v>
      </c>
    </row>
    <row r="488" spans="1:13" ht="126" hidden="1">
      <c r="A488" s="82" t="s">
        <v>252</v>
      </c>
      <c r="B488" s="112" t="s">
        <v>319</v>
      </c>
      <c r="C488" s="83" t="s">
        <v>176</v>
      </c>
      <c r="D488" s="83" t="s">
        <v>103</v>
      </c>
      <c r="E488" s="83" t="s">
        <v>752</v>
      </c>
      <c r="F488" s="83" t="s">
        <v>149</v>
      </c>
      <c r="G488" s="84">
        <f>G489</f>
        <v>0</v>
      </c>
      <c r="H488" s="22">
        <v>0</v>
      </c>
      <c r="I488" s="22"/>
      <c r="J488" s="29"/>
      <c r="K488" s="191"/>
      <c r="L488" s="191"/>
      <c r="M488" s="192" t="e">
        <f t="shared" si="83"/>
        <v>#DIV/0!</v>
      </c>
    </row>
    <row r="489" spans="1:17" ht="15.75" hidden="1">
      <c r="A489" s="79" t="s">
        <v>158</v>
      </c>
      <c r="B489" s="205" t="s">
        <v>319</v>
      </c>
      <c r="C489" s="83" t="s">
        <v>176</v>
      </c>
      <c r="D489" s="83" t="s">
        <v>103</v>
      </c>
      <c r="E489" s="80" t="s">
        <v>752</v>
      </c>
      <c r="F489" s="83" t="s">
        <v>159</v>
      </c>
      <c r="G489" s="84">
        <v>0</v>
      </c>
      <c r="H489" s="23">
        <f>H490</f>
        <v>4707555.690800003</v>
      </c>
      <c r="I489" s="23">
        <f>I490</f>
        <v>0</v>
      </c>
      <c r="J489" s="29"/>
      <c r="K489" s="191"/>
      <c r="L489" s="191"/>
      <c r="M489" s="192" t="e">
        <f t="shared" si="83"/>
        <v>#DIV/0!</v>
      </c>
      <c r="N489" s="189"/>
      <c r="O489" s="189"/>
      <c r="Q489" s="236"/>
    </row>
    <row r="490" spans="1:13" ht="33" customHeight="1" hidden="1">
      <c r="A490" s="82" t="s">
        <v>237</v>
      </c>
      <c r="B490" s="205" t="s">
        <v>319</v>
      </c>
      <c r="C490" s="80" t="s">
        <v>176</v>
      </c>
      <c r="D490" s="80" t="s">
        <v>103</v>
      </c>
      <c r="E490" s="80" t="s">
        <v>753</v>
      </c>
      <c r="F490" s="80" t="s">
        <v>149</v>
      </c>
      <c r="G490" s="81">
        <f>G491</f>
        <v>0</v>
      </c>
      <c r="H490" s="32">
        <f>H491</f>
        <v>4707555.690800003</v>
      </c>
      <c r="I490" s="32">
        <f>I491</f>
        <v>0</v>
      </c>
      <c r="J490" s="29"/>
      <c r="K490" s="191"/>
      <c r="L490" s="191"/>
      <c r="M490" s="192" t="e">
        <f t="shared" si="83"/>
        <v>#DIV/0!</v>
      </c>
    </row>
    <row r="491" spans="1:13" ht="15.75" hidden="1">
      <c r="A491" s="79" t="s">
        <v>158</v>
      </c>
      <c r="B491" s="205" t="s">
        <v>319</v>
      </c>
      <c r="C491" s="80" t="s">
        <v>176</v>
      </c>
      <c r="D491" s="80" t="s">
        <v>103</v>
      </c>
      <c r="E491" s="80" t="s">
        <v>753</v>
      </c>
      <c r="F491" s="80" t="s">
        <v>159</v>
      </c>
      <c r="G491" s="81">
        <v>0</v>
      </c>
      <c r="H491" s="22">
        <f>H494+H495+H499+H498+H492+H502+H503+H493</f>
        <v>4707555.690800003</v>
      </c>
      <c r="I491" s="22"/>
      <c r="J491" s="29"/>
      <c r="K491" s="191"/>
      <c r="L491" s="191"/>
      <c r="M491" s="192" t="e">
        <f t="shared" si="83"/>
        <v>#DIV/0!</v>
      </c>
    </row>
    <row r="492" spans="1:13" ht="48.75" customHeight="1" hidden="1">
      <c r="A492" s="82" t="s">
        <v>261</v>
      </c>
      <c r="B492" s="112" t="s">
        <v>319</v>
      </c>
      <c r="C492" s="83" t="s">
        <v>176</v>
      </c>
      <c r="D492" s="83" t="s">
        <v>110</v>
      </c>
      <c r="E492" s="83" t="s">
        <v>754</v>
      </c>
      <c r="F492" s="83" t="s">
        <v>149</v>
      </c>
      <c r="G492" s="84">
        <f>G493</f>
        <v>0</v>
      </c>
      <c r="H492" s="22">
        <v>80</v>
      </c>
      <c r="I492" s="22">
        <v>0</v>
      </c>
      <c r="J492" s="29"/>
      <c r="K492" s="191"/>
      <c r="L492" s="191"/>
      <c r="M492" s="192" t="e">
        <f aca="true" t="shared" si="86" ref="M492:M555">J492/G492*100</f>
        <v>#DIV/0!</v>
      </c>
    </row>
    <row r="493" spans="1:13" ht="31.5" customHeight="1" hidden="1">
      <c r="A493" s="79" t="s">
        <v>226</v>
      </c>
      <c r="B493" s="94" t="s">
        <v>319</v>
      </c>
      <c r="C493" s="80" t="s">
        <v>176</v>
      </c>
      <c r="D493" s="80" t="s">
        <v>110</v>
      </c>
      <c r="E493" s="80" t="s">
        <v>754</v>
      </c>
      <c r="F493" s="80" t="s">
        <v>347</v>
      </c>
      <c r="G493" s="81">
        <v>0</v>
      </c>
      <c r="H493" s="22">
        <v>80</v>
      </c>
      <c r="I493" s="22"/>
      <c r="J493" s="29"/>
      <c r="K493" s="191"/>
      <c r="L493" s="191"/>
      <c r="M493" s="192" t="e">
        <f t="shared" si="86"/>
        <v>#DIV/0!</v>
      </c>
    </row>
    <row r="494" spans="1:13" ht="33.75" customHeight="1">
      <c r="A494" s="183" t="s">
        <v>329</v>
      </c>
      <c r="B494" s="184" t="s">
        <v>318</v>
      </c>
      <c r="C494" s="184" t="s">
        <v>104</v>
      </c>
      <c r="D494" s="184" t="s">
        <v>104</v>
      </c>
      <c r="E494" s="184" t="s">
        <v>243</v>
      </c>
      <c r="F494" s="184" t="s">
        <v>315</v>
      </c>
      <c r="G494" s="227">
        <f>G495+G680+G699</f>
        <v>539986.7968800002</v>
      </c>
      <c r="H494" s="227">
        <f>H495+H680+H699</f>
        <v>2208302.496900001</v>
      </c>
      <c r="I494" s="227">
        <f>I495+I680+I699</f>
        <v>315233.46807</v>
      </c>
      <c r="J494" s="227">
        <f>J495+J680+J699</f>
        <v>525316.7666</v>
      </c>
      <c r="K494" s="191"/>
      <c r="L494" s="191"/>
      <c r="M494" s="321">
        <f t="shared" si="86"/>
        <v>97.28326130106099</v>
      </c>
    </row>
    <row r="495" spans="1:13" ht="15.75">
      <c r="A495" s="207" t="s">
        <v>298</v>
      </c>
      <c r="B495" s="187" t="s">
        <v>318</v>
      </c>
      <c r="C495" s="77" t="s">
        <v>299</v>
      </c>
      <c r="D495" s="77" t="s">
        <v>104</v>
      </c>
      <c r="E495" s="77" t="s">
        <v>243</v>
      </c>
      <c r="F495" s="77" t="s">
        <v>315</v>
      </c>
      <c r="G495" s="219">
        <f>G496+G522+G583+G609+G614+G624+G632+G606</f>
        <v>535579.8880600001</v>
      </c>
      <c r="H495" s="219">
        <f>H496+H522+H583+H609+H614+H624+H632+H606</f>
        <v>2205127.885900001</v>
      </c>
      <c r="I495" s="219">
        <f>I496+I522+I583+I609+I614+I624+I632+I606</f>
        <v>312058.85707</v>
      </c>
      <c r="J495" s="219">
        <f>J496+J522+J583+J609+J614+J624+J632+J606</f>
        <v>521457.7613</v>
      </c>
      <c r="K495" s="191"/>
      <c r="L495" s="191"/>
      <c r="M495" s="322">
        <f t="shared" si="86"/>
        <v>97.36320816467664</v>
      </c>
    </row>
    <row r="496" spans="1:13" ht="15.75">
      <c r="A496" s="178" t="s">
        <v>307</v>
      </c>
      <c r="B496" s="193" t="s">
        <v>318</v>
      </c>
      <c r="C496" s="194" t="s">
        <v>299</v>
      </c>
      <c r="D496" s="194" t="s">
        <v>103</v>
      </c>
      <c r="E496" s="194" t="s">
        <v>243</v>
      </c>
      <c r="F496" s="194" t="s">
        <v>315</v>
      </c>
      <c r="G496" s="173">
        <f>G497+G507+G510+G517</f>
        <v>95562.87797000002</v>
      </c>
      <c r="H496" s="173">
        <f>H497+H507+H510+H517</f>
        <v>196046.87200000003</v>
      </c>
      <c r="I496" s="173">
        <f>I497+I507+I510+I517</f>
        <v>97988.43600000002</v>
      </c>
      <c r="J496" s="173">
        <f>J497+J507+J510+J517</f>
        <v>93203.95827</v>
      </c>
      <c r="K496" s="191"/>
      <c r="L496" s="191"/>
      <c r="M496" s="263">
        <f t="shared" si="86"/>
        <v>97.53155226160042</v>
      </c>
    </row>
    <row r="497" spans="1:13" ht="47.25">
      <c r="A497" s="82" t="s">
        <v>673</v>
      </c>
      <c r="B497" s="226" t="s">
        <v>318</v>
      </c>
      <c r="C497" s="83" t="s">
        <v>299</v>
      </c>
      <c r="D497" s="83" t="s">
        <v>103</v>
      </c>
      <c r="E497" s="83" t="s">
        <v>22</v>
      </c>
      <c r="F497" s="83" t="s">
        <v>315</v>
      </c>
      <c r="G497" s="237">
        <f>G498</f>
        <v>46568.65997000001</v>
      </c>
      <c r="H497" s="237">
        <f>H498</f>
        <v>146982.65400000004</v>
      </c>
      <c r="I497" s="237">
        <f>I498</f>
        <v>48994.21800000001</v>
      </c>
      <c r="J497" s="237">
        <f>J498</f>
        <v>44209.74027</v>
      </c>
      <c r="K497" s="191"/>
      <c r="L497" s="191"/>
      <c r="M497" s="192">
        <f t="shared" si="86"/>
        <v>94.93453386565204</v>
      </c>
    </row>
    <row r="498" spans="1:13" ht="47.25">
      <c r="A498" s="101" t="s">
        <v>193</v>
      </c>
      <c r="B498" s="205" t="s">
        <v>318</v>
      </c>
      <c r="C498" s="80" t="s">
        <v>299</v>
      </c>
      <c r="D498" s="80" t="s">
        <v>103</v>
      </c>
      <c r="E498" s="80" t="s">
        <v>34</v>
      </c>
      <c r="F498" s="80" t="s">
        <v>315</v>
      </c>
      <c r="G498" s="111">
        <f aca="true" t="shared" si="87" ref="G498:L498">G499+G504+G502</f>
        <v>46568.65997000001</v>
      </c>
      <c r="H498" s="111">
        <f t="shared" si="87"/>
        <v>146982.65400000004</v>
      </c>
      <c r="I498" s="111">
        <f t="shared" si="87"/>
        <v>48994.21800000001</v>
      </c>
      <c r="J498" s="111">
        <f t="shared" si="87"/>
        <v>44209.74027</v>
      </c>
      <c r="K498" s="111">
        <f t="shared" si="87"/>
        <v>0</v>
      </c>
      <c r="L498" s="111">
        <f t="shared" si="87"/>
        <v>0</v>
      </c>
      <c r="M498" s="192">
        <f t="shared" si="86"/>
        <v>94.93453386565204</v>
      </c>
    </row>
    <row r="499" spans="1:13" ht="47.25">
      <c r="A499" s="79" t="s">
        <v>160</v>
      </c>
      <c r="B499" s="205" t="s">
        <v>318</v>
      </c>
      <c r="C499" s="80" t="s">
        <v>299</v>
      </c>
      <c r="D499" s="80" t="s">
        <v>103</v>
      </c>
      <c r="E499" s="80" t="s">
        <v>36</v>
      </c>
      <c r="F499" s="80" t="s">
        <v>161</v>
      </c>
      <c r="G499" s="111">
        <f>G500</f>
        <v>5031.425</v>
      </c>
      <c r="H499" s="111">
        <f>H500</f>
        <v>48994.21800000001</v>
      </c>
      <c r="I499" s="111">
        <f>I500</f>
        <v>0</v>
      </c>
      <c r="J499" s="111">
        <f>J500</f>
        <v>4992.94994</v>
      </c>
      <c r="K499" s="191"/>
      <c r="L499" s="191"/>
      <c r="M499" s="192">
        <f t="shared" si="86"/>
        <v>99.23530490864914</v>
      </c>
    </row>
    <row r="500" spans="1:13" ht="15.75">
      <c r="A500" s="93" t="s">
        <v>162</v>
      </c>
      <c r="B500" s="205" t="s">
        <v>318</v>
      </c>
      <c r="C500" s="80" t="s">
        <v>299</v>
      </c>
      <c r="D500" s="80" t="s">
        <v>103</v>
      </c>
      <c r="E500" s="80" t="s">
        <v>35</v>
      </c>
      <c r="F500" s="80" t="s">
        <v>220</v>
      </c>
      <c r="G500" s="22">
        <f>'[1]5'!D41</f>
        <v>5031.425</v>
      </c>
      <c r="H500" s="22">
        <f>H501</f>
        <v>48994.21800000001</v>
      </c>
      <c r="I500" s="22"/>
      <c r="J500" s="29">
        <v>4992.94994</v>
      </c>
      <c r="K500" s="191"/>
      <c r="L500" s="191"/>
      <c r="M500" s="192">
        <f t="shared" si="86"/>
        <v>99.23530490864914</v>
      </c>
    </row>
    <row r="501" spans="1:13" ht="47.25">
      <c r="A501" s="8" t="s">
        <v>694</v>
      </c>
      <c r="B501" s="2" t="s">
        <v>318</v>
      </c>
      <c r="C501" s="3" t="s">
        <v>299</v>
      </c>
      <c r="D501" s="3" t="s">
        <v>103</v>
      </c>
      <c r="E501" s="3" t="s">
        <v>538</v>
      </c>
      <c r="F501" s="3" t="s">
        <v>315</v>
      </c>
      <c r="G501" s="22">
        <f>G502</f>
        <v>298.798</v>
      </c>
      <c r="H501" s="22">
        <f aca="true" t="shared" si="88" ref="H501:J502">H502</f>
        <v>48994.21800000001</v>
      </c>
      <c r="I501" s="22">
        <f t="shared" si="88"/>
        <v>0</v>
      </c>
      <c r="J501" s="22">
        <f t="shared" si="88"/>
        <v>292.597</v>
      </c>
      <c r="K501" s="191"/>
      <c r="L501" s="191"/>
      <c r="M501" s="192">
        <f t="shared" si="86"/>
        <v>97.92468490418275</v>
      </c>
    </row>
    <row r="502" spans="1:13" ht="47.25">
      <c r="A502" s="8" t="s">
        <v>160</v>
      </c>
      <c r="B502" s="2" t="s">
        <v>318</v>
      </c>
      <c r="C502" s="3" t="s">
        <v>299</v>
      </c>
      <c r="D502" s="3" t="s">
        <v>103</v>
      </c>
      <c r="E502" s="3" t="s">
        <v>538</v>
      </c>
      <c r="F502" s="3" t="s">
        <v>161</v>
      </c>
      <c r="G502" s="22">
        <f>G503</f>
        <v>298.798</v>
      </c>
      <c r="H502" s="22">
        <f t="shared" si="88"/>
        <v>48994.21800000001</v>
      </c>
      <c r="I502" s="22">
        <f t="shared" si="88"/>
        <v>0</v>
      </c>
      <c r="J502" s="22">
        <f t="shared" si="88"/>
        <v>292.597</v>
      </c>
      <c r="K502" s="191"/>
      <c r="L502" s="191"/>
      <c r="M502" s="192">
        <f t="shared" si="86"/>
        <v>97.92468490418275</v>
      </c>
    </row>
    <row r="503" spans="1:13" ht="15.75">
      <c r="A503" s="8" t="s">
        <v>127</v>
      </c>
      <c r="B503" s="2" t="s">
        <v>318</v>
      </c>
      <c r="C503" s="3" t="s">
        <v>299</v>
      </c>
      <c r="D503" s="3" t="s">
        <v>103</v>
      </c>
      <c r="E503" s="3" t="s">
        <v>538</v>
      </c>
      <c r="F503" s="3" t="s">
        <v>220</v>
      </c>
      <c r="G503" s="22">
        <v>298.798</v>
      </c>
      <c r="H503" s="30">
        <f>H504</f>
        <v>48994.21800000001</v>
      </c>
      <c r="I503" s="30"/>
      <c r="J503" s="29">
        <v>292.597</v>
      </c>
      <c r="K503" s="191"/>
      <c r="L503" s="191"/>
      <c r="M503" s="192">
        <f t="shared" si="86"/>
        <v>97.92468490418275</v>
      </c>
    </row>
    <row r="504" spans="1:13" ht="110.25">
      <c r="A504" s="82" t="s">
        <v>570</v>
      </c>
      <c r="B504" s="205" t="s">
        <v>318</v>
      </c>
      <c r="C504" s="80" t="s">
        <v>299</v>
      </c>
      <c r="D504" s="80" t="s">
        <v>103</v>
      </c>
      <c r="E504" s="80" t="s">
        <v>36</v>
      </c>
      <c r="F504" s="80" t="s">
        <v>315</v>
      </c>
      <c r="G504" s="111">
        <f>G505</f>
        <v>41238.43697</v>
      </c>
      <c r="H504" s="111">
        <f aca="true" t="shared" si="89" ref="H504:J505">H505</f>
        <v>48994.21800000001</v>
      </c>
      <c r="I504" s="111">
        <f t="shared" si="89"/>
        <v>48994.21800000001</v>
      </c>
      <c r="J504" s="111">
        <f t="shared" si="89"/>
        <v>38924.19333</v>
      </c>
      <c r="K504" s="191"/>
      <c r="L504" s="191"/>
      <c r="M504" s="192">
        <f t="shared" si="86"/>
        <v>94.38813929421342</v>
      </c>
    </row>
    <row r="505" spans="1:13" ht="47.25">
      <c r="A505" s="79" t="s">
        <v>160</v>
      </c>
      <c r="B505" s="205" t="s">
        <v>318</v>
      </c>
      <c r="C505" s="80" t="s">
        <v>299</v>
      </c>
      <c r="D505" s="80" t="s">
        <v>103</v>
      </c>
      <c r="E505" s="80" t="s">
        <v>36</v>
      </c>
      <c r="F505" s="80" t="s">
        <v>161</v>
      </c>
      <c r="G505" s="111">
        <f>G506</f>
        <v>41238.43697</v>
      </c>
      <c r="H505" s="111">
        <f t="shared" si="89"/>
        <v>48994.21800000001</v>
      </c>
      <c r="I505" s="111">
        <f t="shared" si="89"/>
        <v>48994.21800000001</v>
      </c>
      <c r="J505" s="111">
        <f t="shared" si="89"/>
        <v>38924.19333</v>
      </c>
      <c r="K505" s="191"/>
      <c r="L505" s="191"/>
      <c r="M505" s="192">
        <f t="shared" si="86"/>
        <v>94.38813929421342</v>
      </c>
    </row>
    <row r="506" spans="1:13" ht="15.75">
      <c r="A506" s="79" t="s">
        <v>127</v>
      </c>
      <c r="B506" s="205" t="s">
        <v>318</v>
      </c>
      <c r="C506" s="80" t="s">
        <v>299</v>
      </c>
      <c r="D506" s="80" t="s">
        <v>103</v>
      </c>
      <c r="E506" s="80" t="s">
        <v>37</v>
      </c>
      <c r="F506" s="80" t="s">
        <v>220</v>
      </c>
      <c r="G506" s="22">
        <f>29402.527+298.10997-544+3206.4+3780.6+300+410+323.8+3891+170</f>
        <v>41238.43697</v>
      </c>
      <c r="H506" s="23">
        <f aca="true" t="shared" si="90" ref="H506:J508">H507</f>
        <v>48994.21800000001</v>
      </c>
      <c r="I506" s="23">
        <f t="shared" si="90"/>
        <v>48994.21800000001</v>
      </c>
      <c r="J506" s="29">
        <v>38924.19333</v>
      </c>
      <c r="K506" s="191"/>
      <c r="L506" s="191"/>
      <c r="M506" s="192">
        <f t="shared" si="86"/>
        <v>94.38813929421342</v>
      </c>
    </row>
    <row r="507" spans="1:13" ht="94.5">
      <c r="A507" s="82" t="s">
        <v>303</v>
      </c>
      <c r="B507" s="205" t="s">
        <v>318</v>
      </c>
      <c r="C507" s="80" t="s">
        <v>299</v>
      </c>
      <c r="D507" s="94" t="s">
        <v>103</v>
      </c>
      <c r="E507" s="80" t="s">
        <v>38</v>
      </c>
      <c r="F507" s="80" t="s">
        <v>315</v>
      </c>
      <c r="G507" s="111">
        <f>G508</f>
        <v>48994.21800000001</v>
      </c>
      <c r="H507" s="111">
        <f t="shared" si="90"/>
        <v>48994.21800000001</v>
      </c>
      <c r="I507" s="111">
        <f t="shared" si="90"/>
        <v>48994.21800000001</v>
      </c>
      <c r="J507" s="111">
        <f t="shared" si="90"/>
        <v>48994.21800000001</v>
      </c>
      <c r="K507" s="191"/>
      <c r="L507" s="191"/>
      <c r="M507" s="192">
        <f t="shared" si="86"/>
        <v>100</v>
      </c>
    </row>
    <row r="508" spans="1:13" ht="47.25">
      <c r="A508" s="79" t="s">
        <v>160</v>
      </c>
      <c r="B508" s="205" t="s">
        <v>318</v>
      </c>
      <c r="C508" s="80" t="s">
        <v>299</v>
      </c>
      <c r="D508" s="80" t="s">
        <v>103</v>
      </c>
      <c r="E508" s="80" t="s">
        <v>38</v>
      </c>
      <c r="F508" s="80" t="s">
        <v>161</v>
      </c>
      <c r="G508" s="81">
        <f>G509</f>
        <v>48994.21800000001</v>
      </c>
      <c r="H508" s="81">
        <f t="shared" si="90"/>
        <v>48994.21800000001</v>
      </c>
      <c r="I508" s="81">
        <f t="shared" si="90"/>
        <v>48994.21800000001</v>
      </c>
      <c r="J508" s="81">
        <f t="shared" si="90"/>
        <v>48994.21800000001</v>
      </c>
      <c r="K508" s="191"/>
      <c r="L508" s="191"/>
      <c r="M508" s="192">
        <f t="shared" si="86"/>
        <v>100</v>
      </c>
    </row>
    <row r="509" spans="1:13" ht="15.75">
      <c r="A509" s="79" t="s">
        <v>162</v>
      </c>
      <c r="B509" s="205" t="s">
        <v>318</v>
      </c>
      <c r="C509" s="80" t="s">
        <v>299</v>
      </c>
      <c r="D509" s="80" t="s">
        <v>103</v>
      </c>
      <c r="E509" s="80" t="s">
        <v>38</v>
      </c>
      <c r="F509" s="80" t="s">
        <v>220</v>
      </c>
      <c r="G509" s="22">
        <f>46890.66+1499.976+603.582</f>
        <v>48994.21800000001</v>
      </c>
      <c r="H509" s="22">
        <f>46890.66+1499.976+603.582</f>
        <v>48994.21800000001</v>
      </c>
      <c r="I509" s="22">
        <f>46890.66+1499.976+603.582</f>
        <v>48994.21800000001</v>
      </c>
      <c r="J509" s="22">
        <f>46890.66+1499.976+603.582</f>
        <v>48994.21800000001</v>
      </c>
      <c r="K509" s="191"/>
      <c r="L509" s="191"/>
      <c r="M509" s="192">
        <f t="shared" si="86"/>
        <v>100</v>
      </c>
    </row>
    <row r="510" spans="1:13" ht="31.5" hidden="1">
      <c r="A510" s="82" t="s">
        <v>423</v>
      </c>
      <c r="B510" s="205" t="s">
        <v>318</v>
      </c>
      <c r="C510" s="80" t="s">
        <v>299</v>
      </c>
      <c r="D510" s="80" t="s">
        <v>103</v>
      </c>
      <c r="E510" s="83" t="s">
        <v>243</v>
      </c>
      <c r="F510" s="83" t="s">
        <v>315</v>
      </c>
      <c r="G510" s="89">
        <f>G511+G514</f>
        <v>0</v>
      </c>
      <c r="H510" s="32">
        <f aca="true" t="shared" si="91" ref="H510:I512">H511</f>
        <v>70</v>
      </c>
      <c r="I510" s="32">
        <f t="shared" si="91"/>
        <v>0</v>
      </c>
      <c r="J510" s="29"/>
      <c r="K510" s="191"/>
      <c r="L510" s="191"/>
      <c r="M510" s="192" t="e">
        <f t="shared" si="86"/>
        <v>#DIV/0!</v>
      </c>
    </row>
    <row r="511" spans="1:13" ht="31.5" hidden="1">
      <c r="A511" s="79" t="s">
        <v>424</v>
      </c>
      <c r="B511" s="205" t="s">
        <v>318</v>
      </c>
      <c r="C511" s="80" t="s">
        <v>299</v>
      </c>
      <c r="D511" s="80" t="s">
        <v>103</v>
      </c>
      <c r="E511" s="80" t="s">
        <v>425</v>
      </c>
      <c r="F511" s="80" t="s">
        <v>315</v>
      </c>
      <c r="G511" s="81">
        <f>G512</f>
        <v>0</v>
      </c>
      <c r="H511" s="32">
        <f t="shared" si="91"/>
        <v>70</v>
      </c>
      <c r="I511" s="32">
        <f t="shared" si="91"/>
        <v>0</v>
      </c>
      <c r="J511" s="29"/>
      <c r="K511" s="191"/>
      <c r="L511" s="191"/>
      <c r="M511" s="192" t="e">
        <f t="shared" si="86"/>
        <v>#DIV/0!</v>
      </c>
    </row>
    <row r="512" spans="1:13" ht="47.25" hidden="1">
      <c r="A512" s="79" t="s">
        <v>160</v>
      </c>
      <c r="B512" s="205" t="s">
        <v>318</v>
      </c>
      <c r="C512" s="80" t="s">
        <v>299</v>
      </c>
      <c r="D512" s="80" t="s">
        <v>103</v>
      </c>
      <c r="E512" s="80" t="s">
        <v>425</v>
      </c>
      <c r="F512" s="80" t="s">
        <v>161</v>
      </c>
      <c r="G512" s="81">
        <f>G513</f>
        <v>0</v>
      </c>
      <c r="H512" s="22">
        <f t="shared" si="91"/>
        <v>70</v>
      </c>
      <c r="I512" s="22">
        <f t="shared" si="91"/>
        <v>0</v>
      </c>
      <c r="J512" s="29"/>
      <c r="K512" s="191"/>
      <c r="L512" s="191"/>
      <c r="M512" s="192" t="e">
        <f t="shared" si="86"/>
        <v>#DIV/0!</v>
      </c>
    </row>
    <row r="513" spans="1:13" ht="15.75" hidden="1">
      <c r="A513" s="79" t="s">
        <v>162</v>
      </c>
      <c r="B513" s="205" t="s">
        <v>318</v>
      </c>
      <c r="C513" s="80" t="s">
        <v>299</v>
      </c>
      <c r="D513" s="80" t="s">
        <v>103</v>
      </c>
      <c r="E513" s="80" t="s">
        <v>425</v>
      </c>
      <c r="F513" s="80" t="s">
        <v>220</v>
      </c>
      <c r="G513" s="81"/>
      <c r="H513" s="32">
        <f>30+20+20</f>
        <v>70</v>
      </c>
      <c r="I513" s="32"/>
      <c r="J513" s="29"/>
      <c r="K513" s="191"/>
      <c r="L513" s="191"/>
      <c r="M513" s="192" t="e">
        <f t="shared" si="86"/>
        <v>#DIV/0!</v>
      </c>
    </row>
    <row r="514" spans="1:13" ht="31.5" hidden="1">
      <c r="A514" s="82" t="s">
        <v>536</v>
      </c>
      <c r="B514" s="205" t="s">
        <v>318</v>
      </c>
      <c r="C514" s="80" t="s">
        <v>299</v>
      </c>
      <c r="D514" s="80" t="s">
        <v>103</v>
      </c>
      <c r="E514" s="238" t="s">
        <v>8</v>
      </c>
      <c r="F514" s="83" t="s">
        <v>315</v>
      </c>
      <c r="G514" s="84">
        <f>G515</f>
        <v>0</v>
      </c>
      <c r="H514" s="23">
        <f>H515+H523</f>
        <v>3231467.857380001</v>
      </c>
      <c r="I514" s="23">
        <f>I515+I523</f>
        <v>0</v>
      </c>
      <c r="J514" s="29"/>
      <c r="K514" s="191"/>
      <c r="L514" s="191"/>
      <c r="M514" s="192" t="e">
        <f t="shared" si="86"/>
        <v>#DIV/0!</v>
      </c>
    </row>
    <row r="515" spans="1:13" ht="47.25" hidden="1">
      <c r="A515" s="79" t="s">
        <v>160</v>
      </c>
      <c r="B515" s="205" t="s">
        <v>318</v>
      </c>
      <c r="C515" s="80" t="s">
        <v>299</v>
      </c>
      <c r="D515" s="80" t="s">
        <v>103</v>
      </c>
      <c r="E515" s="239" t="s">
        <v>8</v>
      </c>
      <c r="F515" s="80" t="s">
        <v>161</v>
      </c>
      <c r="G515" s="81">
        <f>G516</f>
        <v>0</v>
      </c>
      <c r="H515" s="22">
        <f>H516</f>
        <v>1998941.5232900004</v>
      </c>
      <c r="I515" s="22">
        <f>I516</f>
        <v>0</v>
      </c>
      <c r="J515" s="29"/>
      <c r="K515" s="191"/>
      <c r="L515" s="191"/>
      <c r="M515" s="192" t="e">
        <f t="shared" si="86"/>
        <v>#DIV/0!</v>
      </c>
    </row>
    <row r="516" spans="1:13" ht="15.75" hidden="1">
      <c r="A516" s="79" t="s">
        <v>162</v>
      </c>
      <c r="B516" s="205" t="s">
        <v>318</v>
      </c>
      <c r="C516" s="80" t="s">
        <v>299</v>
      </c>
      <c r="D516" s="80" t="s">
        <v>103</v>
      </c>
      <c r="E516" s="239" t="s">
        <v>8</v>
      </c>
      <c r="F516" s="80" t="s">
        <v>220</v>
      </c>
      <c r="G516" s="81"/>
      <c r="H516" s="23">
        <f>H520</f>
        <v>1998941.5232900004</v>
      </c>
      <c r="I516" s="23">
        <f>I517</f>
        <v>0</v>
      </c>
      <c r="J516" s="29"/>
      <c r="K516" s="191"/>
      <c r="L516" s="191"/>
      <c r="M516" s="192" t="e">
        <f t="shared" si="86"/>
        <v>#DIV/0!</v>
      </c>
    </row>
    <row r="517" spans="1:13" ht="47.25" hidden="1">
      <c r="A517" s="79" t="s">
        <v>106</v>
      </c>
      <c r="B517" s="94" t="s">
        <v>318</v>
      </c>
      <c r="C517" s="80" t="s">
        <v>299</v>
      </c>
      <c r="D517" s="80" t="s">
        <v>103</v>
      </c>
      <c r="E517" s="80" t="s">
        <v>7</v>
      </c>
      <c r="F517" s="80" t="s">
        <v>315</v>
      </c>
      <c r="G517" s="81">
        <f>G518</f>
        <v>0</v>
      </c>
      <c r="H517" s="22"/>
      <c r="I517" s="22">
        <f>I518</f>
        <v>0</v>
      </c>
      <c r="J517" s="29"/>
      <c r="K517" s="191"/>
      <c r="L517" s="191"/>
      <c r="M517" s="192" t="e">
        <f t="shared" si="86"/>
        <v>#DIV/0!</v>
      </c>
    </row>
    <row r="518" spans="1:13" ht="47.25" hidden="1">
      <c r="A518" s="79" t="s">
        <v>107</v>
      </c>
      <c r="B518" s="94" t="s">
        <v>318</v>
      </c>
      <c r="C518" s="80" t="s">
        <v>299</v>
      </c>
      <c r="D518" s="80" t="s">
        <v>103</v>
      </c>
      <c r="E518" s="80" t="s">
        <v>8</v>
      </c>
      <c r="F518" s="80" t="s">
        <v>315</v>
      </c>
      <c r="G518" s="81">
        <f>G519</f>
        <v>0</v>
      </c>
      <c r="H518" s="22"/>
      <c r="I518" s="22">
        <f>I519</f>
        <v>0</v>
      </c>
      <c r="J518" s="29"/>
      <c r="K518" s="191"/>
      <c r="L518" s="191"/>
      <c r="M518" s="192" t="e">
        <f t="shared" si="86"/>
        <v>#DIV/0!</v>
      </c>
    </row>
    <row r="519" spans="1:13" ht="31.5" hidden="1">
      <c r="A519" s="102" t="s">
        <v>455</v>
      </c>
      <c r="B519" s="94" t="s">
        <v>318</v>
      </c>
      <c r="C519" s="80" t="s">
        <v>299</v>
      </c>
      <c r="D519" s="80" t="s">
        <v>103</v>
      </c>
      <c r="E519" s="80" t="s">
        <v>425</v>
      </c>
      <c r="F519" s="80" t="s">
        <v>315</v>
      </c>
      <c r="G519" s="81">
        <f>G520</f>
        <v>0</v>
      </c>
      <c r="H519" s="22"/>
      <c r="I519" s="22">
        <v>0</v>
      </c>
      <c r="J519" s="29"/>
      <c r="K519" s="191"/>
      <c r="L519" s="191"/>
      <c r="M519" s="192" t="e">
        <f t="shared" si="86"/>
        <v>#DIV/0!</v>
      </c>
    </row>
    <row r="520" spans="1:13" ht="47.25" hidden="1">
      <c r="A520" s="79" t="s">
        <v>160</v>
      </c>
      <c r="B520" s="94" t="s">
        <v>318</v>
      </c>
      <c r="C520" s="80" t="s">
        <v>299</v>
      </c>
      <c r="D520" s="80" t="s">
        <v>103</v>
      </c>
      <c r="E520" s="80" t="s">
        <v>425</v>
      </c>
      <c r="F520" s="80" t="s">
        <v>161</v>
      </c>
      <c r="G520" s="81">
        <f>G521</f>
        <v>0</v>
      </c>
      <c r="H520" s="22">
        <f>H521</f>
        <v>1998941.5232900004</v>
      </c>
      <c r="I520" s="22"/>
      <c r="J520" s="29"/>
      <c r="K520" s="191"/>
      <c r="L520" s="191"/>
      <c r="M520" s="192" t="e">
        <f t="shared" si="86"/>
        <v>#DIV/0!</v>
      </c>
    </row>
    <row r="521" spans="1:13" ht="15.75" hidden="1">
      <c r="A521" s="79" t="s">
        <v>162</v>
      </c>
      <c r="B521" s="94" t="s">
        <v>318</v>
      </c>
      <c r="C521" s="80" t="s">
        <v>299</v>
      </c>
      <c r="D521" s="80" t="s">
        <v>103</v>
      </c>
      <c r="E521" s="80" t="s">
        <v>425</v>
      </c>
      <c r="F521" s="80" t="s">
        <v>220</v>
      </c>
      <c r="G521" s="81"/>
      <c r="H521" s="22">
        <f>H522</f>
        <v>1998941.5232900004</v>
      </c>
      <c r="I521" s="22"/>
      <c r="J521" s="29"/>
      <c r="K521" s="191"/>
      <c r="L521" s="191"/>
      <c r="M521" s="192" t="e">
        <f t="shared" si="86"/>
        <v>#DIV/0!</v>
      </c>
    </row>
    <row r="522" spans="1:13" ht="15.75">
      <c r="A522" s="178" t="s">
        <v>338</v>
      </c>
      <c r="B522" s="193" t="s">
        <v>318</v>
      </c>
      <c r="C522" s="194" t="s">
        <v>299</v>
      </c>
      <c r="D522" s="194" t="s">
        <v>105</v>
      </c>
      <c r="E522" s="194" t="s">
        <v>243</v>
      </c>
      <c r="F522" s="194" t="s">
        <v>315</v>
      </c>
      <c r="G522" s="173">
        <f aca="true" t="shared" si="92" ref="G522:L522">G523+G565+G580+G577</f>
        <v>356801.03705000004</v>
      </c>
      <c r="H522" s="173">
        <f t="shared" si="92"/>
        <v>1998941.5232900004</v>
      </c>
      <c r="I522" s="173">
        <f t="shared" si="92"/>
        <v>205730.71648000003</v>
      </c>
      <c r="J522" s="173">
        <f t="shared" si="92"/>
        <v>346060.51502</v>
      </c>
      <c r="K522" s="173">
        <f t="shared" si="92"/>
        <v>0</v>
      </c>
      <c r="L522" s="173">
        <f t="shared" si="92"/>
        <v>0</v>
      </c>
      <c r="M522" s="263">
        <f t="shared" si="86"/>
        <v>96.98977275436144</v>
      </c>
    </row>
    <row r="523" spans="1:13" ht="47.25">
      <c r="A523" s="82" t="s">
        <v>673</v>
      </c>
      <c r="B523" s="226" t="s">
        <v>318</v>
      </c>
      <c r="C523" s="83" t="s">
        <v>299</v>
      </c>
      <c r="D523" s="83" t="s">
        <v>105</v>
      </c>
      <c r="E523" s="83" t="s">
        <v>22</v>
      </c>
      <c r="F523" s="83" t="s">
        <v>315</v>
      </c>
      <c r="G523" s="237">
        <f>G524+G552+G559</f>
        <v>122114.98505</v>
      </c>
      <c r="H523" s="237">
        <f>H524+H552+H559</f>
        <v>1232526.3340900003</v>
      </c>
      <c r="I523" s="237">
        <f>I524+I552+I559</f>
        <v>0</v>
      </c>
      <c r="J523" s="237">
        <f>J524+J552+J559</f>
        <v>115440.58532</v>
      </c>
      <c r="K523" s="191"/>
      <c r="L523" s="191"/>
      <c r="M523" s="192">
        <f t="shared" si="86"/>
        <v>94.53433194356354</v>
      </c>
    </row>
    <row r="524" spans="1:13" ht="63">
      <c r="A524" s="101" t="s">
        <v>196</v>
      </c>
      <c r="B524" s="205" t="s">
        <v>318</v>
      </c>
      <c r="C524" s="80" t="s">
        <v>299</v>
      </c>
      <c r="D524" s="80" t="s">
        <v>105</v>
      </c>
      <c r="E524" s="80" t="s">
        <v>39</v>
      </c>
      <c r="F524" s="80" t="s">
        <v>315</v>
      </c>
      <c r="G524" s="111">
        <f>G525+G528+G535+G532+G538+G545</f>
        <v>120424.98505</v>
      </c>
      <c r="H524" s="111">
        <f>H525+H528+H535+H532+H538+H545</f>
        <v>1231825.3340900003</v>
      </c>
      <c r="I524" s="111">
        <f>I525+I528+I535+I532+I538+I545</f>
        <v>0</v>
      </c>
      <c r="J524" s="111">
        <f>J525+J528+J535+J532+J538+J545</f>
        <v>113895.07794</v>
      </c>
      <c r="K524" s="191"/>
      <c r="L524" s="191"/>
      <c r="M524" s="192">
        <f t="shared" si="86"/>
        <v>94.57761434864301</v>
      </c>
    </row>
    <row r="525" spans="1:13" ht="31.5">
      <c r="A525" s="79" t="s">
        <v>189</v>
      </c>
      <c r="B525" s="205" t="s">
        <v>318</v>
      </c>
      <c r="C525" s="80" t="s">
        <v>299</v>
      </c>
      <c r="D525" s="80" t="s">
        <v>105</v>
      </c>
      <c r="E525" s="80" t="s">
        <v>40</v>
      </c>
      <c r="F525" s="80" t="s">
        <v>315</v>
      </c>
      <c r="G525" s="81">
        <f>G526</f>
        <v>10211.085000000001</v>
      </c>
      <c r="H525" s="81">
        <f aca="true" t="shared" si="93" ref="H525:J526">H526</f>
        <v>0</v>
      </c>
      <c r="I525" s="81">
        <f t="shared" si="93"/>
        <v>0</v>
      </c>
      <c r="J525" s="81">
        <f t="shared" si="93"/>
        <v>10209.04418</v>
      </c>
      <c r="K525" s="191"/>
      <c r="L525" s="191"/>
      <c r="M525" s="192">
        <f t="shared" si="86"/>
        <v>99.98001368121018</v>
      </c>
    </row>
    <row r="526" spans="1:13" ht="47.25">
      <c r="A526" s="79" t="s">
        <v>160</v>
      </c>
      <c r="B526" s="205" t="s">
        <v>318</v>
      </c>
      <c r="C526" s="80" t="s">
        <v>299</v>
      </c>
      <c r="D526" s="80" t="s">
        <v>105</v>
      </c>
      <c r="E526" s="80" t="s">
        <v>40</v>
      </c>
      <c r="F526" s="80" t="s">
        <v>161</v>
      </c>
      <c r="G526" s="32">
        <f>G527</f>
        <v>10211.085000000001</v>
      </c>
      <c r="H526" s="32">
        <f t="shared" si="93"/>
        <v>0</v>
      </c>
      <c r="I526" s="32">
        <f t="shared" si="93"/>
        <v>0</v>
      </c>
      <c r="J526" s="32">
        <f t="shared" si="93"/>
        <v>10209.04418</v>
      </c>
      <c r="K526" s="29"/>
      <c r="L526" s="191"/>
      <c r="M526" s="192">
        <f t="shared" si="86"/>
        <v>99.98001368121018</v>
      </c>
    </row>
    <row r="527" spans="1:13" ht="15.75">
      <c r="A527" s="17" t="s">
        <v>162</v>
      </c>
      <c r="B527" s="228" t="s">
        <v>318</v>
      </c>
      <c r="C527" s="3" t="s">
        <v>299</v>
      </c>
      <c r="D527" s="3" t="s">
        <v>105</v>
      </c>
      <c r="E527" s="3" t="s">
        <v>41</v>
      </c>
      <c r="F527" s="3" t="s">
        <v>220</v>
      </c>
      <c r="G527" s="32">
        <f>'[1]5'!D14</f>
        <v>10211.085000000001</v>
      </c>
      <c r="H527" s="32"/>
      <c r="I527" s="32">
        <f>I528</f>
        <v>0</v>
      </c>
      <c r="J527" s="29">
        <v>10209.04418</v>
      </c>
      <c r="K527" s="191"/>
      <c r="L527" s="191"/>
      <c r="M527" s="192">
        <f t="shared" si="86"/>
        <v>99.98001368121018</v>
      </c>
    </row>
    <row r="528" spans="1:13" ht="94.5">
      <c r="A528" s="8" t="s">
        <v>569</v>
      </c>
      <c r="B528" s="2" t="s">
        <v>318</v>
      </c>
      <c r="C528" s="3" t="s">
        <v>299</v>
      </c>
      <c r="D528" s="3" t="s">
        <v>105</v>
      </c>
      <c r="E528" s="3" t="s">
        <v>40</v>
      </c>
      <c r="F528" s="3" t="s">
        <v>315</v>
      </c>
      <c r="G528" s="22">
        <f>G529</f>
        <v>109544.05404999999</v>
      </c>
      <c r="H528" s="22">
        <f aca="true" t="shared" si="94" ref="H528:J529">H529</f>
        <v>0</v>
      </c>
      <c r="I528" s="22">
        <f t="shared" si="94"/>
        <v>0</v>
      </c>
      <c r="J528" s="22">
        <f t="shared" si="94"/>
        <v>103017.21576</v>
      </c>
      <c r="K528" s="191"/>
      <c r="L528" s="191"/>
      <c r="M528" s="192">
        <f t="shared" si="86"/>
        <v>94.04181418461938</v>
      </c>
    </row>
    <row r="529" spans="1:13" ht="47.25">
      <c r="A529" s="8" t="s">
        <v>160</v>
      </c>
      <c r="B529" s="228" t="s">
        <v>318</v>
      </c>
      <c r="C529" s="3" t="s">
        <v>299</v>
      </c>
      <c r="D529" s="3" t="s">
        <v>105</v>
      </c>
      <c r="E529" s="3" t="s">
        <v>40</v>
      </c>
      <c r="F529" s="3" t="s">
        <v>161</v>
      </c>
      <c r="G529" s="32">
        <f>G530</f>
        <v>109544.05404999999</v>
      </c>
      <c r="H529" s="32">
        <f t="shared" si="94"/>
        <v>0</v>
      </c>
      <c r="I529" s="32">
        <f t="shared" si="94"/>
        <v>0</v>
      </c>
      <c r="J529" s="32">
        <f t="shared" si="94"/>
        <v>103017.21576</v>
      </c>
      <c r="K529" s="191"/>
      <c r="L529" s="191"/>
      <c r="M529" s="192">
        <f t="shared" si="86"/>
        <v>94.04181418461938</v>
      </c>
    </row>
    <row r="530" spans="1:13" ht="20.25" customHeight="1">
      <c r="A530" s="8" t="s">
        <v>162</v>
      </c>
      <c r="B530" s="228" t="s">
        <v>318</v>
      </c>
      <c r="C530" s="3" t="s">
        <v>299</v>
      </c>
      <c r="D530" s="3" t="s">
        <v>105</v>
      </c>
      <c r="E530" s="3" t="s">
        <v>42</v>
      </c>
      <c r="F530" s="3" t="s">
        <v>220</v>
      </c>
      <c r="G530" s="32">
        <f>'[1]5'!D31</f>
        <v>109544.05404999999</v>
      </c>
      <c r="H530" s="22">
        <f>H531</f>
        <v>0</v>
      </c>
      <c r="I530" s="22"/>
      <c r="J530" s="29">
        <v>103017.21576</v>
      </c>
      <c r="K530" s="191"/>
      <c r="L530" s="191"/>
      <c r="M530" s="192">
        <f t="shared" si="86"/>
        <v>94.04181418461938</v>
      </c>
    </row>
    <row r="531" spans="1:13" ht="15.75" hidden="1">
      <c r="A531" s="8"/>
      <c r="B531" s="228" t="s">
        <v>318</v>
      </c>
      <c r="C531" s="3" t="s">
        <v>299</v>
      </c>
      <c r="D531" s="3" t="s">
        <v>105</v>
      </c>
      <c r="E531" s="3" t="s">
        <v>42</v>
      </c>
      <c r="F531" s="3" t="s">
        <v>220</v>
      </c>
      <c r="G531" s="22"/>
      <c r="H531" s="22">
        <v>0</v>
      </c>
      <c r="I531" s="22"/>
      <c r="J531" s="29"/>
      <c r="K531" s="191"/>
      <c r="L531" s="191"/>
      <c r="M531" s="192" t="e">
        <f t="shared" si="86"/>
        <v>#DIV/0!</v>
      </c>
    </row>
    <row r="532" spans="1:14" s="195" customFormat="1" ht="18" customHeight="1" hidden="1">
      <c r="A532" s="8" t="s">
        <v>485</v>
      </c>
      <c r="B532" s="2" t="s">
        <v>318</v>
      </c>
      <c r="C532" s="3" t="s">
        <v>299</v>
      </c>
      <c r="D532" s="3" t="s">
        <v>105</v>
      </c>
      <c r="E532" s="3" t="s">
        <v>479</v>
      </c>
      <c r="F532" s="3" t="s">
        <v>315</v>
      </c>
      <c r="G532" s="22">
        <f>G533</f>
        <v>0</v>
      </c>
      <c r="H532" s="215">
        <f>H533+H548+H554+H558+H563+H568</f>
        <v>1184397.95167</v>
      </c>
      <c r="I532" s="215">
        <f>I533</f>
        <v>0</v>
      </c>
      <c r="J532" s="51"/>
      <c r="K532" s="185"/>
      <c r="L532" s="185"/>
      <c r="M532" s="192" t="e">
        <f t="shared" si="86"/>
        <v>#DIV/0!</v>
      </c>
      <c r="N532" s="195">
        <v>49349.88244</v>
      </c>
    </row>
    <row r="533" spans="1:14" ht="47.25" hidden="1">
      <c r="A533" s="8" t="s">
        <v>160</v>
      </c>
      <c r="B533" s="2" t="s">
        <v>318</v>
      </c>
      <c r="C533" s="3" t="s">
        <v>299</v>
      </c>
      <c r="D533" s="3" t="s">
        <v>105</v>
      </c>
      <c r="E533" s="3" t="s">
        <v>479</v>
      </c>
      <c r="F533" s="3" t="s">
        <v>161</v>
      </c>
      <c r="G533" s="22">
        <f>G534</f>
        <v>0</v>
      </c>
      <c r="H533" s="213">
        <f>H534</f>
        <v>40338.09767</v>
      </c>
      <c r="I533" s="213"/>
      <c r="J533" s="29"/>
      <c r="K533" s="191"/>
      <c r="L533" s="191"/>
      <c r="M533" s="192" t="e">
        <f t="shared" si="86"/>
        <v>#DIV/0!</v>
      </c>
      <c r="N533" s="189">
        <f>N532-J532</f>
        <v>49349.88244</v>
      </c>
    </row>
    <row r="534" spans="1:13" ht="31.5" customHeight="1" hidden="1">
      <c r="A534" s="8" t="s">
        <v>162</v>
      </c>
      <c r="B534" s="2" t="s">
        <v>318</v>
      </c>
      <c r="C534" s="3" t="s">
        <v>299</v>
      </c>
      <c r="D534" s="3" t="s">
        <v>105</v>
      </c>
      <c r="E534" s="3" t="s">
        <v>479</v>
      </c>
      <c r="F534" s="3" t="s">
        <v>220</v>
      </c>
      <c r="G534" s="22"/>
      <c r="H534" s="32">
        <f>H535+H543</f>
        <v>40338.09767</v>
      </c>
      <c r="I534" s="32"/>
      <c r="J534" s="29"/>
      <c r="K534" s="191"/>
      <c r="L534" s="191"/>
      <c r="M534" s="192" t="e">
        <f t="shared" si="86"/>
        <v>#DIV/0!</v>
      </c>
    </row>
    <row r="535" spans="1:13" ht="47.25">
      <c r="A535" s="8" t="s">
        <v>540</v>
      </c>
      <c r="B535" s="2" t="s">
        <v>318</v>
      </c>
      <c r="C535" s="3" t="s">
        <v>299</v>
      </c>
      <c r="D535" s="3" t="s">
        <v>105</v>
      </c>
      <c r="E535" s="3" t="s">
        <v>537</v>
      </c>
      <c r="F535" s="3" t="s">
        <v>315</v>
      </c>
      <c r="G535" s="22">
        <f>G537</f>
        <v>669.846</v>
      </c>
      <c r="H535" s="22">
        <f>H537</f>
        <v>38384.65758</v>
      </c>
      <c r="I535" s="22">
        <f>I537</f>
        <v>0</v>
      </c>
      <c r="J535" s="22">
        <f>J537</f>
        <v>668.818</v>
      </c>
      <c r="K535" s="29"/>
      <c r="L535" s="191"/>
      <c r="M535" s="192">
        <f t="shared" si="86"/>
        <v>99.84653188941935</v>
      </c>
    </row>
    <row r="536" spans="1:16" ht="47.25">
      <c r="A536" s="8" t="s">
        <v>160</v>
      </c>
      <c r="B536" s="2" t="s">
        <v>318</v>
      </c>
      <c r="C536" s="3" t="s">
        <v>299</v>
      </c>
      <c r="D536" s="3" t="s">
        <v>105</v>
      </c>
      <c r="E536" s="3" t="s">
        <v>537</v>
      </c>
      <c r="F536" s="3" t="s">
        <v>161</v>
      </c>
      <c r="G536" s="22">
        <f>G537</f>
        <v>669.846</v>
      </c>
      <c r="H536" s="22">
        <f>H537</f>
        <v>38384.65758</v>
      </c>
      <c r="I536" s="22">
        <f>I537</f>
        <v>0</v>
      </c>
      <c r="J536" s="22">
        <f>J537</f>
        <v>668.818</v>
      </c>
      <c r="K536" s="191"/>
      <c r="L536" s="191"/>
      <c r="M536" s="192">
        <f t="shared" si="86"/>
        <v>99.84653188941935</v>
      </c>
      <c r="N536" s="189">
        <f>J536+J543</f>
        <v>668.818</v>
      </c>
      <c r="P536" s="35">
        <v>47061.10284</v>
      </c>
    </row>
    <row r="537" spans="1:16" ht="15.75">
      <c r="A537" s="8" t="s">
        <v>162</v>
      </c>
      <c r="B537" s="2" t="s">
        <v>318</v>
      </c>
      <c r="C537" s="3" t="s">
        <v>299</v>
      </c>
      <c r="D537" s="3" t="s">
        <v>105</v>
      </c>
      <c r="E537" s="3" t="s">
        <v>537</v>
      </c>
      <c r="F537" s="3" t="s">
        <v>220</v>
      </c>
      <c r="G537" s="22">
        <v>669.846</v>
      </c>
      <c r="H537" s="22">
        <f>37435.178+500+150+289.47958+10</f>
        <v>38384.65758</v>
      </c>
      <c r="I537" s="32"/>
      <c r="J537" s="22">
        <v>668.818</v>
      </c>
      <c r="K537" s="191"/>
      <c r="L537" s="191"/>
      <c r="M537" s="192">
        <f t="shared" si="86"/>
        <v>99.84653188941935</v>
      </c>
      <c r="N537" s="189">
        <f>J535+J543</f>
        <v>668.818</v>
      </c>
      <c r="P537" s="189">
        <f>P536-J544-J542-J539</f>
        <v>47061.10284</v>
      </c>
    </row>
    <row r="538" spans="1:13" ht="47.25" hidden="1">
      <c r="A538" s="110" t="s">
        <v>588</v>
      </c>
      <c r="B538" s="200" t="s">
        <v>318</v>
      </c>
      <c r="C538" s="88" t="s">
        <v>299</v>
      </c>
      <c r="D538" s="88" t="s">
        <v>105</v>
      </c>
      <c r="E538" s="88" t="s">
        <v>39</v>
      </c>
      <c r="F538" s="88" t="s">
        <v>315</v>
      </c>
      <c r="G538" s="89">
        <f>G542+G540</f>
        <v>0</v>
      </c>
      <c r="H538" s="22">
        <f>H539</f>
        <v>7089.28475</v>
      </c>
      <c r="I538" s="32">
        <f>I539</f>
        <v>0</v>
      </c>
      <c r="J538" s="29"/>
      <c r="K538" s="29"/>
      <c r="L538" s="191"/>
      <c r="M538" s="192" t="e">
        <f t="shared" si="86"/>
        <v>#DIV/0!</v>
      </c>
    </row>
    <row r="539" spans="1:13" ht="47.25" hidden="1">
      <c r="A539" s="79" t="s">
        <v>575</v>
      </c>
      <c r="B539" s="94" t="s">
        <v>318</v>
      </c>
      <c r="C539" s="80" t="s">
        <v>299</v>
      </c>
      <c r="D539" s="80" t="s">
        <v>105</v>
      </c>
      <c r="E539" s="80" t="s">
        <v>576</v>
      </c>
      <c r="F539" s="80" t="s">
        <v>315</v>
      </c>
      <c r="G539" s="81">
        <f>G540</f>
        <v>0</v>
      </c>
      <c r="H539" s="22">
        <f>7363.647-300-95.044-312.224+663.39-230.48425-17.8+17.8</f>
        <v>7089.28475</v>
      </c>
      <c r="I539" s="32"/>
      <c r="J539" s="29"/>
      <c r="K539" s="191"/>
      <c r="L539" s="191"/>
      <c r="M539" s="192" t="e">
        <f t="shared" si="86"/>
        <v>#DIV/0!</v>
      </c>
    </row>
    <row r="540" spans="1:13" ht="47.25" hidden="1">
      <c r="A540" s="79" t="s">
        <v>160</v>
      </c>
      <c r="B540" s="205" t="s">
        <v>318</v>
      </c>
      <c r="C540" s="80" t="s">
        <v>299</v>
      </c>
      <c r="D540" s="80" t="s">
        <v>105</v>
      </c>
      <c r="E540" s="80" t="s">
        <v>576</v>
      </c>
      <c r="F540" s="80" t="s">
        <v>161</v>
      </c>
      <c r="G540" s="81">
        <f>G541</f>
        <v>0</v>
      </c>
      <c r="H540" s="22">
        <f>H541+H542</f>
        <v>16.67184</v>
      </c>
      <c r="I540" s="32">
        <f>I542</f>
        <v>0</v>
      </c>
      <c r="J540" s="29"/>
      <c r="K540" s="191"/>
      <c r="L540" s="191"/>
      <c r="M540" s="192" t="e">
        <f t="shared" si="86"/>
        <v>#DIV/0!</v>
      </c>
    </row>
    <row r="541" spans="1:13" ht="15.75" hidden="1">
      <c r="A541" s="79" t="s">
        <v>162</v>
      </c>
      <c r="B541" s="205" t="s">
        <v>318</v>
      </c>
      <c r="C541" s="80" t="s">
        <v>299</v>
      </c>
      <c r="D541" s="80" t="s">
        <v>105</v>
      </c>
      <c r="E541" s="80" t="s">
        <v>576</v>
      </c>
      <c r="F541" s="80" t="s">
        <v>220</v>
      </c>
      <c r="G541" s="81">
        <v>0</v>
      </c>
      <c r="H541" s="22"/>
      <c r="I541" s="32"/>
      <c r="J541" s="29"/>
      <c r="K541" s="191"/>
      <c r="L541" s="191"/>
      <c r="M541" s="192" t="e">
        <f t="shared" si="86"/>
        <v>#DIV/0!</v>
      </c>
    </row>
    <row r="542" spans="1:13" ht="78.75" hidden="1">
      <c r="A542" s="79" t="s">
        <v>527</v>
      </c>
      <c r="B542" s="205" t="s">
        <v>318</v>
      </c>
      <c r="C542" s="80" t="s">
        <v>299</v>
      </c>
      <c r="D542" s="80" t="s">
        <v>105</v>
      </c>
      <c r="E542" s="94" t="s">
        <v>695</v>
      </c>
      <c r="F542" s="80" t="s">
        <v>315</v>
      </c>
      <c r="G542" s="81">
        <f>G543</f>
        <v>0</v>
      </c>
      <c r="H542" s="22">
        <f>24.6-15.72816+7.8</f>
        <v>16.67184</v>
      </c>
      <c r="I542" s="32"/>
      <c r="J542" s="29"/>
      <c r="K542" s="191"/>
      <c r="L542" s="191"/>
      <c r="M542" s="192" t="e">
        <f t="shared" si="86"/>
        <v>#DIV/0!</v>
      </c>
    </row>
    <row r="543" spans="1:13" ht="47.25" hidden="1">
      <c r="A543" s="79" t="s">
        <v>160</v>
      </c>
      <c r="B543" s="205" t="s">
        <v>318</v>
      </c>
      <c r="C543" s="80" t="s">
        <v>299</v>
      </c>
      <c r="D543" s="80" t="s">
        <v>105</v>
      </c>
      <c r="E543" s="94" t="s">
        <v>695</v>
      </c>
      <c r="F543" s="80" t="s">
        <v>161</v>
      </c>
      <c r="G543" s="81">
        <f>G544</f>
        <v>0</v>
      </c>
      <c r="H543" s="22">
        <f>H544+H546</f>
        <v>1953.44009</v>
      </c>
      <c r="I543" s="22"/>
      <c r="J543" s="29"/>
      <c r="K543" s="191"/>
      <c r="L543" s="191"/>
      <c r="M543" s="192" t="e">
        <f t="shared" si="86"/>
        <v>#DIV/0!</v>
      </c>
    </row>
    <row r="544" spans="1:13" ht="15.75" hidden="1">
      <c r="A544" s="79" t="s">
        <v>162</v>
      </c>
      <c r="B544" s="205" t="s">
        <v>318</v>
      </c>
      <c r="C544" s="80" t="s">
        <v>299</v>
      </c>
      <c r="D544" s="80" t="s">
        <v>105</v>
      </c>
      <c r="E544" s="94" t="s">
        <v>695</v>
      </c>
      <c r="F544" s="80" t="s">
        <v>220</v>
      </c>
      <c r="G544" s="22">
        <f>53-39.9-13.1</f>
        <v>0</v>
      </c>
      <c r="H544" s="22">
        <f>H545</f>
        <v>1953.44009</v>
      </c>
      <c r="I544" s="22"/>
      <c r="J544" s="29"/>
      <c r="K544" s="191"/>
      <c r="L544" s="191"/>
      <c r="M544" s="192" t="e">
        <f t="shared" si="86"/>
        <v>#DIV/0!</v>
      </c>
    </row>
    <row r="545" spans="1:13" ht="29.25" customHeight="1" hidden="1">
      <c r="A545" s="21" t="s">
        <v>631</v>
      </c>
      <c r="B545" s="113" t="s">
        <v>318</v>
      </c>
      <c r="C545" s="5" t="s">
        <v>299</v>
      </c>
      <c r="D545" s="5" t="s">
        <v>105</v>
      </c>
      <c r="E545" s="113" t="s">
        <v>39</v>
      </c>
      <c r="F545" s="5" t="s">
        <v>315</v>
      </c>
      <c r="G545" s="30">
        <f>G546+G549</f>
        <v>0</v>
      </c>
      <c r="H545" s="22">
        <f>975.2+766.189+277.646+83.851-114.03218-35.41373</f>
        <v>1953.44009</v>
      </c>
      <c r="I545" s="22"/>
      <c r="J545" s="22"/>
      <c r="K545" s="29"/>
      <c r="L545" s="191"/>
      <c r="M545" s="192" t="e">
        <f t="shared" si="86"/>
        <v>#DIV/0!</v>
      </c>
    </row>
    <row r="546" spans="1:13" ht="94.5" hidden="1">
      <c r="A546" s="8" t="s">
        <v>628</v>
      </c>
      <c r="B546" s="2" t="s">
        <v>318</v>
      </c>
      <c r="C546" s="3" t="s">
        <v>299</v>
      </c>
      <c r="D546" s="3" t="s">
        <v>105</v>
      </c>
      <c r="E546" s="2" t="s">
        <v>696</v>
      </c>
      <c r="F546" s="3" t="s">
        <v>315</v>
      </c>
      <c r="G546" s="22">
        <f>G547</f>
        <v>0</v>
      </c>
      <c r="H546" s="22">
        <f>H547</f>
        <v>0</v>
      </c>
      <c r="I546" s="22"/>
      <c r="J546" s="29"/>
      <c r="K546" s="191"/>
      <c r="L546" s="191"/>
      <c r="M546" s="192" t="e">
        <f t="shared" si="86"/>
        <v>#DIV/0!</v>
      </c>
    </row>
    <row r="547" spans="1:13" ht="47.25" hidden="1">
      <c r="A547" s="8" t="s">
        <v>160</v>
      </c>
      <c r="B547" s="2" t="s">
        <v>318</v>
      </c>
      <c r="C547" s="3" t="s">
        <v>299</v>
      </c>
      <c r="D547" s="3" t="s">
        <v>105</v>
      </c>
      <c r="E547" s="2" t="s">
        <v>696</v>
      </c>
      <c r="F547" s="3" t="s">
        <v>161</v>
      </c>
      <c r="G547" s="22">
        <f>G548</f>
        <v>0</v>
      </c>
      <c r="H547" s="22">
        <f>30-30</f>
        <v>0</v>
      </c>
      <c r="I547" s="22"/>
      <c r="J547" s="29"/>
      <c r="K547" s="191"/>
      <c r="L547" s="191"/>
      <c r="M547" s="192" t="e">
        <f t="shared" si="86"/>
        <v>#DIV/0!</v>
      </c>
    </row>
    <row r="548" spans="1:13" ht="15.75" hidden="1">
      <c r="A548" s="8" t="s">
        <v>162</v>
      </c>
      <c r="B548" s="2" t="s">
        <v>318</v>
      </c>
      <c r="C548" s="3" t="s">
        <v>299</v>
      </c>
      <c r="D548" s="3" t="s">
        <v>105</v>
      </c>
      <c r="E548" s="2" t="s">
        <v>696</v>
      </c>
      <c r="F548" s="3" t="s">
        <v>220</v>
      </c>
      <c r="G548" s="22">
        <f>2970-89.1-2880.9</f>
        <v>0</v>
      </c>
      <c r="H548" s="23">
        <f>H549+H552</f>
        <v>1239.9</v>
      </c>
      <c r="I548" s="213">
        <f>I549+I552</f>
        <v>0</v>
      </c>
      <c r="J548" s="29"/>
      <c r="K548" s="191"/>
      <c r="L548" s="191"/>
      <c r="M548" s="192" t="e">
        <f t="shared" si="86"/>
        <v>#DIV/0!</v>
      </c>
    </row>
    <row r="549" spans="1:13" ht="94.5" hidden="1">
      <c r="A549" s="8" t="s">
        <v>629</v>
      </c>
      <c r="B549" s="2" t="s">
        <v>318</v>
      </c>
      <c r="C549" s="3" t="s">
        <v>299</v>
      </c>
      <c r="D549" s="3" t="s">
        <v>105</v>
      </c>
      <c r="E549" s="2" t="s">
        <v>697</v>
      </c>
      <c r="F549" s="3" t="s">
        <v>315</v>
      </c>
      <c r="G549" s="22">
        <f aca="true" t="shared" si="95" ref="G549:I550">G550</f>
        <v>0</v>
      </c>
      <c r="H549" s="32">
        <f t="shared" si="95"/>
        <v>538.9</v>
      </c>
      <c r="I549" s="32">
        <f t="shared" si="95"/>
        <v>0</v>
      </c>
      <c r="J549" s="29"/>
      <c r="K549" s="191"/>
      <c r="L549" s="191"/>
      <c r="M549" s="192" t="e">
        <f t="shared" si="86"/>
        <v>#DIV/0!</v>
      </c>
    </row>
    <row r="550" spans="1:13" ht="47.25" hidden="1">
      <c r="A550" s="8" t="s">
        <v>160</v>
      </c>
      <c r="B550" s="2" t="s">
        <v>318</v>
      </c>
      <c r="C550" s="3" t="s">
        <v>299</v>
      </c>
      <c r="D550" s="3" t="s">
        <v>105</v>
      </c>
      <c r="E550" s="2" t="s">
        <v>697</v>
      </c>
      <c r="F550" s="3" t="s">
        <v>161</v>
      </c>
      <c r="G550" s="22">
        <f t="shared" si="95"/>
        <v>0</v>
      </c>
      <c r="H550" s="32">
        <f t="shared" si="95"/>
        <v>538.9</v>
      </c>
      <c r="I550" s="32">
        <f t="shared" si="95"/>
        <v>0</v>
      </c>
      <c r="J550" s="29"/>
      <c r="K550" s="191"/>
      <c r="L550" s="191"/>
      <c r="M550" s="192" t="e">
        <f t="shared" si="86"/>
        <v>#DIV/0!</v>
      </c>
    </row>
    <row r="551" spans="1:13" ht="15.75" hidden="1">
      <c r="A551" s="8" t="s">
        <v>162</v>
      </c>
      <c r="B551" s="2" t="s">
        <v>318</v>
      </c>
      <c r="C551" s="3" t="s">
        <v>299</v>
      </c>
      <c r="D551" s="3" t="s">
        <v>105</v>
      </c>
      <c r="E551" s="2" t="s">
        <v>697</v>
      </c>
      <c r="F551" s="3" t="s">
        <v>220</v>
      </c>
      <c r="G551" s="22">
        <f>30-30</f>
        <v>0</v>
      </c>
      <c r="H551" s="22">
        <f>320+3+18+150+47.9</f>
        <v>538.9</v>
      </c>
      <c r="I551" s="32"/>
      <c r="J551" s="29"/>
      <c r="K551" s="191"/>
      <c r="L551" s="191"/>
      <c r="M551" s="192" t="e">
        <f t="shared" si="86"/>
        <v>#DIV/0!</v>
      </c>
    </row>
    <row r="552" spans="1:13" ht="31.5">
      <c r="A552" s="101" t="s">
        <v>194</v>
      </c>
      <c r="B552" s="205" t="s">
        <v>318</v>
      </c>
      <c r="C552" s="80" t="s">
        <v>299</v>
      </c>
      <c r="D552" s="80" t="s">
        <v>105</v>
      </c>
      <c r="E552" s="80" t="s">
        <v>43</v>
      </c>
      <c r="F552" s="80" t="s">
        <v>315</v>
      </c>
      <c r="G552" s="22">
        <f aca="true" t="shared" si="96" ref="G552:L552">G553+G556</f>
        <v>1690</v>
      </c>
      <c r="H552" s="22">
        <f t="shared" si="96"/>
        <v>701</v>
      </c>
      <c r="I552" s="22">
        <f t="shared" si="96"/>
        <v>0</v>
      </c>
      <c r="J552" s="22">
        <f t="shared" si="96"/>
        <v>1545.50738</v>
      </c>
      <c r="K552" s="22">
        <f t="shared" si="96"/>
        <v>0</v>
      </c>
      <c r="L552" s="22">
        <f t="shared" si="96"/>
        <v>0</v>
      </c>
      <c r="M552" s="192">
        <f t="shared" si="86"/>
        <v>91.45014082840237</v>
      </c>
    </row>
    <row r="553" spans="1:13" ht="47.25">
      <c r="A553" s="82" t="s">
        <v>195</v>
      </c>
      <c r="B553" s="226" t="s">
        <v>318</v>
      </c>
      <c r="C553" s="83" t="s">
        <v>299</v>
      </c>
      <c r="D553" s="83" t="s">
        <v>105</v>
      </c>
      <c r="E553" s="83" t="s">
        <v>44</v>
      </c>
      <c r="F553" s="83" t="s">
        <v>315</v>
      </c>
      <c r="G553" s="213">
        <f>G554</f>
        <v>250</v>
      </c>
      <c r="H553" s="213">
        <f aca="true" t="shared" si="97" ref="H553:J554">H554</f>
        <v>701</v>
      </c>
      <c r="I553" s="213">
        <f t="shared" si="97"/>
        <v>0</v>
      </c>
      <c r="J553" s="213">
        <f t="shared" si="97"/>
        <v>220.21358</v>
      </c>
      <c r="K553" s="191"/>
      <c r="L553" s="191"/>
      <c r="M553" s="192">
        <f t="shared" si="86"/>
        <v>88.08543200000001</v>
      </c>
    </row>
    <row r="554" spans="1:13" ht="45" customHeight="1">
      <c r="A554" s="79" t="s">
        <v>160</v>
      </c>
      <c r="B554" s="205" t="s">
        <v>318</v>
      </c>
      <c r="C554" s="80" t="s">
        <v>299</v>
      </c>
      <c r="D554" s="80" t="s">
        <v>105</v>
      </c>
      <c r="E554" s="80" t="s">
        <v>44</v>
      </c>
      <c r="F554" s="80" t="s">
        <v>161</v>
      </c>
      <c r="G554" s="111">
        <f>G555</f>
        <v>250</v>
      </c>
      <c r="H554" s="111">
        <f t="shared" si="97"/>
        <v>701</v>
      </c>
      <c r="I554" s="111">
        <f t="shared" si="97"/>
        <v>0</v>
      </c>
      <c r="J554" s="111">
        <f t="shared" si="97"/>
        <v>220.21358</v>
      </c>
      <c r="K554" s="111">
        <f>K555</f>
        <v>0</v>
      </c>
      <c r="L554" s="111">
        <f>L555</f>
        <v>0</v>
      </c>
      <c r="M554" s="192">
        <f t="shared" si="86"/>
        <v>88.08543200000001</v>
      </c>
    </row>
    <row r="555" spans="1:13" ht="15.75">
      <c r="A555" s="93" t="s">
        <v>162</v>
      </c>
      <c r="B555" s="205" t="s">
        <v>318</v>
      </c>
      <c r="C555" s="80" t="s">
        <v>299</v>
      </c>
      <c r="D555" s="80" t="s">
        <v>105</v>
      </c>
      <c r="E555" s="80" t="s">
        <v>45</v>
      </c>
      <c r="F555" s="80" t="s">
        <v>220</v>
      </c>
      <c r="G555" s="81">
        <v>250</v>
      </c>
      <c r="H555" s="32">
        <f>H556+H561</f>
        <v>701</v>
      </c>
      <c r="I555" s="32">
        <f>I556</f>
        <v>0</v>
      </c>
      <c r="J555" s="29">
        <v>220.21358</v>
      </c>
      <c r="K555" s="191"/>
      <c r="L555" s="191"/>
      <c r="M555" s="192">
        <f t="shared" si="86"/>
        <v>88.08543200000001</v>
      </c>
    </row>
    <row r="556" spans="1:13" ht="31.5">
      <c r="A556" s="82" t="s">
        <v>190</v>
      </c>
      <c r="B556" s="226" t="s">
        <v>318</v>
      </c>
      <c r="C556" s="83" t="s">
        <v>299</v>
      </c>
      <c r="D556" s="83" t="s">
        <v>105</v>
      </c>
      <c r="E556" s="83" t="s">
        <v>44</v>
      </c>
      <c r="F556" s="83" t="s">
        <v>315</v>
      </c>
      <c r="G556" s="237">
        <f>G557</f>
        <v>1440</v>
      </c>
      <c r="H556" s="237">
        <f aca="true" t="shared" si="98" ref="H556:J557">H557</f>
        <v>0</v>
      </c>
      <c r="I556" s="237">
        <f t="shared" si="98"/>
        <v>0</v>
      </c>
      <c r="J556" s="237">
        <f t="shared" si="98"/>
        <v>1325.2938</v>
      </c>
      <c r="K556" s="191"/>
      <c r="L556" s="191"/>
      <c r="M556" s="192">
        <f aca="true" t="shared" si="99" ref="M556:M619">J556/G556*100</f>
        <v>92.03429166666666</v>
      </c>
    </row>
    <row r="557" spans="1:13" ht="47.25">
      <c r="A557" s="79" t="s">
        <v>160</v>
      </c>
      <c r="B557" s="205" t="s">
        <v>318</v>
      </c>
      <c r="C557" s="80" t="s">
        <v>299</v>
      </c>
      <c r="D557" s="80" t="s">
        <v>105</v>
      </c>
      <c r="E557" s="80" t="s">
        <v>44</v>
      </c>
      <c r="F557" s="80" t="s">
        <v>161</v>
      </c>
      <c r="G557" s="111">
        <f>G558</f>
        <v>1440</v>
      </c>
      <c r="H557" s="111">
        <f t="shared" si="98"/>
        <v>0</v>
      </c>
      <c r="I557" s="111">
        <f t="shared" si="98"/>
        <v>0</v>
      </c>
      <c r="J557" s="111">
        <f t="shared" si="98"/>
        <v>1325.2938</v>
      </c>
      <c r="K557" s="191"/>
      <c r="L557" s="191"/>
      <c r="M557" s="192">
        <f t="shared" si="99"/>
        <v>92.03429166666666</v>
      </c>
    </row>
    <row r="558" spans="1:13" ht="15.75">
      <c r="A558" s="93" t="s">
        <v>334</v>
      </c>
      <c r="B558" s="205" t="s">
        <v>318</v>
      </c>
      <c r="C558" s="80" t="s">
        <v>299</v>
      </c>
      <c r="D558" s="80" t="s">
        <v>105</v>
      </c>
      <c r="E558" s="80" t="s">
        <v>46</v>
      </c>
      <c r="F558" s="80" t="s">
        <v>220</v>
      </c>
      <c r="G558" s="22">
        <f>1000+440</f>
        <v>1440</v>
      </c>
      <c r="H558" s="23">
        <f>H559</f>
        <v>0</v>
      </c>
      <c r="I558" s="23"/>
      <c r="J558" s="29">
        <v>1325.2938</v>
      </c>
      <c r="K558" s="191"/>
      <c r="L558" s="191"/>
      <c r="M558" s="192">
        <f t="shared" si="99"/>
        <v>92.03429166666666</v>
      </c>
    </row>
    <row r="559" spans="1:13" ht="31.5" hidden="1">
      <c r="A559" s="101" t="s">
        <v>222</v>
      </c>
      <c r="B559" s="205" t="s">
        <v>318</v>
      </c>
      <c r="C559" s="80" t="s">
        <v>299</v>
      </c>
      <c r="D559" s="80" t="s">
        <v>105</v>
      </c>
      <c r="E559" s="80" t="s">
        <v>47</v>
      </c>
      <c r="F559" s="80" t="s">
        <v>315</v>
      </c>
      <c r="G559" s="111">
        <f>G560</f>
        <v>0</v>
      </c>
      <c r="H559" s="32">
        <f>H560</f>
        <v>0</v>
      </c>
      <c r="I559" s="22"/>
      <c r="J559" s="29"/>
      <c r="K559" s="191"/>
      <c r="L559" s="191"/>
      <c r="M559" s="192" t="e">
        <f t="shared" si="99"/>
        <v>#DIV/0!</v>
      </c>
    </row>
    <row r="560" spans="1:13" ht="47.25" hidden="1">
      <c r="A560" s="79" t="s">
        <v>160</v>
      </c>
      <c r="B560" s="205" t="s">
        <v>318</v>
      </c>
      <c r="C560" s="80" t="s">
        <v>299</v>
      </c>
      <c r="D560" s="80" t="s">
        <v>105</v>
      </c>
      <c r="E560" s="80" t="s">
        <v>48</v>
      </c>
      <c r="F560" s="80" t="s">
        <v>315</v>
      </c>
      <c r="G560" s="81">
        <f>G561+G562</f>
        <v>0</v>
      </c>
      <c r="H560" s="32"/>
      <c r="I560" s="22"/>
      <c r="J560" s="29"/>
      <c r="K560" s="191"/>
      <c r="L560" s="191"/>
      <c r="M560" s="192" t="e">
        <f t="shared" si="99"/>
        <v>#DIV/0!</v>
      </c>
    </row>
    <row r="561" spans="1:13" ht="31.5" hidden="1">
      <c r="A561" s="79" t="s">
        <v>87</v>
      </c>
      <c r="B561" s="205" t="s">
        <v>318</v>
      </c>
      <c r="C561" s="80" t="s">
        <v>299</v>
      </c>
      <c r="D561" s="80" t="s">
        <v>105</v>
      </c>
      <c r="E561" s="80" t="s">
        <v>49</v>
      </c>
      <c r="F561" s="80" t="s">
        <v>220</v>
      </c>
      <c r="G561" s="81"/>
      <c r="H561" s="32">
        <f>H562</f>
        <v>701</v>
      </c>
      <c r="I561" s="22"/>
      <c r="J561" s="29"/>
      <c r="K561" s="191"/>
      <c r="L561" s="191"/>
      <c r="M561" s="192" t="e">
        <f t="shared" si="99"/>
        <v>#DIV/0!</v>
      </c>
    </row>
    <row r="562" spans="1:13" ht="31.5" hidden="1">
      <c r="A562" s="79" t="s">
        <v>88</v>
      </c>
      <c r="B562" s="205" t="s">
        <v>318</v>
      </c>
      <c r="C562" s="80" t="s">
        <v>299</v>
      </c>
      <c r="D562" s="80" t="s">
        <v>105</v>
      </c>
      <c r="E562" s="80" t="s">
        <v>50</v>
      </c>
      <c r="F562" s="80" t="s">
        <v>220</v>
      </c>
      <c r="G562" s="81"/>
      <c r="H562" s="32">
        <f>305-10+406</f>
        <v>701</v>
      </c>
      <c r="I562" s="22"/>
      <c r="J562" s="29"/>
      <c r="K562" s="191"/>
      <c r="L562" s="191"/>
      <c r="M562" s="192" t="e">
        <f t="shared" si="99"/>
        <v>#DIV/0!</v>
      </c>
    </row>
    <row r="563" spans="1:13" ht="47.25">
      <c r="A563" s="82" t="s">
        <v>673</v>
      </c>
      <c r="B563" s="112" t="s">
        <v>318</v>
      </c>
      <c r="C563" s="83" t="s">
        <v>299</v>
      </c>
      <c r="D563" s="83" t="s">
        <v>105</v>
      </c>
      <c r="E563" s="83" t="s">
        <v>22</v>
      </c>
      <c r="F563" s="83" t="s">
        <v>315</v>
      </c>
      <c r="G563" s="84">
        <f>G564</f>
        <v>213854.059</v>
      </c>
      <c r="H563" s="84">
        <f aca="true" t="shared" si="100" ref="H563:J564">H564</f>
        <v>761412.636</v>
      </c>
      <c r="I563" s="84">
        <f t="shared" si="100"/>
        <v>190353.159</v>
      </c>
      <c r="J563" s="84">
        <f t="shared" si="100"/>
        <v>212419.05109000002</v>
      </c>
      <c r="K563" s="191"/>
      <c r="L563" s="191"/>
      <c r="M563" s="192">
        <f t="shared" si="99"/>
        <v>99.32897794097984</v>
      </c>
    </row>
    <row r="564" spans="1:13" ht="34.5" customHeight="1">
      <c r="A564" s="101" t="s">
        <v>196</v>
      </c>
      <c r="B564" s="205" t="s">
        <v>318</v>
      </c>
      <c r="C564" s="80" t="s">
        <v>299</v>
      </c>
      <c r="D564" s="80" t="s">
        <v>105</v>
      </c>
      <c r="E564" s="80" t="s">
        <v>39</v>
      </c>
      <c r="F564" s="80" t="s">
        <v>315</v>
      </c>
      <c r="G564" s="81">
        <f>G565</f>
        <v>213854.059</v>
      </c>
      <c r="H564" s="81">
        <f t="shared" si="100"/>
        <v>761412.636</v>
      </c>
      <c r="I564" s="81">
        <f t="shared" si="100"/>
        <v>190353.159</v>
      </c>
      <c r="J564" s="81">
        <f t="shared" si="100"/>
        <v>212419.05109000002</v>
      </c>
      <c r="K564" s="191"/>
      <c r="L564" s="191"/>
      <c r="M564" s="192">
        <f t="shared" si="99"/>
        <v>99.32897794097984</v>
      </c>
    </row>
    <row r="565" spans="1:13" ht="15.75">
      <c r="A565" s="110" t="s">
        <v>122</v>
      </c>
      <c r="B565" s="240" t="s">
        <v>318</v>
      </c>
      <c r="C565" s="88" t="s">
        <v>299</v>
      </c>
      <c r="D565" s="88" t="s">
        <v>105</v>
      </c>
      <c r="E565" s="88" t="s">
        <v>243</v>
      </c>
      <c r="F565" s="88" t="s">
        <v>315</v>
      </c>
      <c r="G565" s="89">
        <f>G568+G571+G574</f>
        <v>213854.059</v>
      </c>
      <c r="H565" s="89">
        <f>H568+H571+H574</f>
        <v>761412.636</v>
      </c>
      <c r="I565" s="89">
        <f>I568+I571+I574</f>
        <v>190353.159</v>
      </c>
      <c r="J565" s="89">
        <f>J568+J571+J574</f>
        <v>212419.05109000002</v>
      </c>
      <c r="K565" s="191"/>
      <c r="L565" s="191"/>
      <c r="M565" s="192">
        <f t="shared" si="99"/>
        <v>99.32897794097984</v>
      </c>
    </row>
    <row r="566" spans="1:13" ht="47.25" hidden="1">
      <c r="A566" s="79" t="s">
        <v>131</v>
      </c>
      <c r="B566" s="205" t="s">
        <v>318</v>
      </c>
      <c r="C566" s="80" t="s">
        <v>299</v>
      </c>
      <c r="D566" s="80" t="s">
        <v>105</v>
      </c>
      <c r="E566" s="80" t="s">
        <v>89</v>
      </c>
      <c r="F566" s="80" t="s">
        <v>315</v>
      </c>
      <c r="G566" s="111">
        <f>G567</f>
        <v>0</v>
      </c>
      <c r="H566" s="32">
        <f>H567</f>
        <v>266.9</v>
      </c>
      <c r="I566" s="22"/>
      <c r="J566" s="29"/>
      <c r="K566" s="191"/>
      <c r="L566" s="191"/>
      <c r="M566" s="192" t="e">
        <f t="shared" si="99"/>
        <v>#DIV/0!</v>
      </c>
    </row>
    <row r="567" spans="1:13" ht="15.75" hidden="1">
      <c r="A567" s="79" t="s">
        <v>122</v>
      </c>
      <c r="B567" s="205" t="s">
        <v>318</v>
      </c>
      <c r="C567" s="80" t="s">
        <v>299</v>
      </c>
      <c r="D567" s="80" t="s">
        <v>105</v>
      </c>
      <c r="E567" s="80" t="s">
        <v>89</v>
      </c>
      <c r="F567" s="80" t="s">
        <v>282</v>
      </c>
      <c r="G567" s="111"/>
      <c r="H567" s="32">
        <f>260+30-23.1</f>
        <v>266.9</v>
      </c>
      <c r="I567" s="22"/>
      <c r="J567" s="29"/>
      <c r="K567" s="191"/>
      <c r="L567" s="191"/>
      <c r="M567" s="192" t="e">
        <f t="shared" si="99"/>
        <v>#DIV/0!</v>
      </c>
    </row>
    <row r="568" spans="1:13" ht="63">
      <c r="A568" s="82" t="s">
        <v>426</v>
      </c>
      <c r="B568" s="205" t="s">
        <v>318</v>
      </c>
      <c r="C568" s="80" t="s">
        <v>299</v>
      </c>
      <c r="D568" s="80" t="s">
        <v>105</v>
      </c>
      <c r="E568" s="80" t="s">
        <v>39</v>
      </c>
      <c r="F568" s="80" t="s">
        <v>315</v>
      </c>
      <c r="G568" s="111">
        <f>G569</f>
        <v>9383.25</v>
      </c>
      <c r="H568" s="111">
        <f aca="true" t="shared" si="101" ref="H568:J569">H569</f>
        <v>380706.318</v>
      </c>
      <c r="I568" s="111">
        <f t="shared" si="101"/>
        <v>0</v>
      </c>
      <c r="J568" s="111">
        <f t="shared" si="101"/>
        <v>9289.7286</v>
      </c>
      <c r="K568" s="191"/>
      <c r="L568" s="191"/>
      <c r="M568" s="192">
        <f t="shared" si="99"/>
        <v>99.00331548237551</v>
      </c>
    </row>
    <row r="569" spans="1:13" ht="47.25">
      <c r="A569" s="79" t="s">
        <v>160</v>
      </c>
      <c r="B569" s="94" t="s">
        <v>318</v>
      </c>
      <c r="C569" s="80" t="s">
        <v>299</v>
      </c>
      <c r="D569" s="80" t="s">
        <v>105</v>
      </c>
      <c r="E569" s="80" t="s">
        <v>427</v>
      </c>
      <c r="F569" s="80" t="s">
        <v>161</v>
      </c>
      <c r="G569" s="81">
        <f>G570</f>
        <v>9383.25</v>
      </c>
      <c r="H569" s="81">
        <f t="shared" si="101"/>
        <v>380706.318</v>
      </c>
      <c r="I569" s="81">
        <f t="shared" si="101"/>
        <v>0</v>
      </c>
      <c r="J569" s="81">
        <f t="shared" si="101"/>
        <v>9289.7286</v>
      </c>
      <c r="K569" s="191"/>
      <c r="L569" s="191"/>
      <c r="M569" s="192">
        <f t="shared" si="99"/>
        <v>99.00331548237551</v>
      </c>
    </row>
    <row r="570" spans="1:13" ht="15.75" customHeight="1">
      <c r="A570" s="93" t="s">
        <v>162</v>
      </c>
      <c r="B570" s="94" t="s">
        <v>318</v>
      </c>
      <c r="C570" s="80" t="s">
        <v>299</v>
      </c>
      <c r="D570" s="80" t="s">
        <v>105</v>
      </c>
      <c r="E570" s="80" t="s">
        <v>427</v>
      </c>
      <c r="F570" s="80" t="s">
        <v>220</v>
      </c>
      <c r="G570" s="22">
        <f>9748.65-365.4</f>
        <v>9383.25</v>
      </c>
      <c r="H570" s="32">
        <f>H571+H573</f>
        <v>380706.318</v>
      </c>
      <c r="I570" s="32"/>
      <c r="J570" s="29">
        <v>9289.7286</v>
      </c>
      <c r="K570" s="191"/>
      <c r="L570" s="191"/>
      <c r="M570" s="192">
        <f t="shared" si="99"/>
        <v>99.00331548237551</v>
      </c>
    </row>
    <row r="571" spans="1:13" ht="94.5">
      <c r="A571" s="82" t="s">
        <v>521</v>
      </c>
      <c r="B571" s="112" t="s">
        <v>318</v>
      </c>
      <c r="C571" s="83" t="s">
        <v>299</v>
      </c>
      <c r="D571" s="83" t="s">
        <v>105</v>
      </c>
      <c r="E571" s="83" t="s">
        <v>634</v>
      </c>
      <c r="F571" s="83" t="s">
        <v>315</v>
      </c>
      <c r="G571" s="84">
        <f>G572</f>
        <v>14117.65</v>
      </c>
      <c r="H571" s="84">
        <f aca="true" t="shared" si="102" ref="H571:J572">H572</f>
        <v>190353.159</v>
      </c>
      <c r="I571" s="84">
        <f t="shared" si="102"/>
        <v>0</v>
      </c>
      <c r="J571" s="84">
        <f t="shared" si="102"/>
        <v>12776.16349</v>
      </c>
      <c r="K571" s="191"/>
      <c r="L571" s="191"/>
      <c r="M571" s="192">
        <f t="shared" si="99"/>
        <v>90.49780586712379</v>
      </c>
    </row>
    <row r="572" spans="1:13" ht="47.25">
      <c r="A572" s="79" t="s">
        <v>160</v>
      </c>
      <c r="B572" s="94" t="s">
        <v>318</v>
      </c>
      <c r="C572" s="80" t="s">
        <v>299</v>
      </c>
      <c r="D572" s="80" t="s">
        <v>105</v>
      </c>
      <c r="E572" s="80" t="s">
        <v>634</v>
      </c>
      <c r="F572" s="80" t="s">
        <v>161</v>
      </c>
      <c r="G572" s="81">
        <f>G573</f>
        <v>14117.65</v>
      </c>
      <c r="H572" s="81">
        <f t="shared" si="102"/>
        <v>190353.159</v>
      </c>
      <c r="I572" s="81">
        <f t="shared" si="102"/>
        <v>0</v>
      </c>
      <c r="J572" s="81">
        <f t="shared" si="102"/>
        <v>12776.16349</v>
      </c>
      <c r="K572" s="191"/>
      <c r="L572" s="191"/>
      <c r="M572" s="192">
        <f t="shared" si="99"/>
        <v>90.49780586712379</v>
      </c>
    </row>
    <row r="573" spans="1:13" ht="15.75">
      <c r="A573" s="79" t="s">
        <v>162</v>
      </c>
      <c r="B573" s="94" t="s">
        <v>318</v>
      </c>
      <c r="C573" s="80" t="s">
        <v>299</v>
      </c>
      <c r="D573" s="80" t="s">
        <v>105</v>
      </c>
      <c r="E573" s="80" t="s">
        <v>634</v>
      </c>
      <c r="F573" s="80" t="s">
        <v>220</v>
      </c>
      <c r="G573" s="22">
        <f>12932.75+1184.9</f>
        <v>14117.65</v>
      </c>
      <c r="H573" s="32">
        <f>H574</f>
        <v>190353.159</v>
      </c>
      <c r="I573" s="32"/>
      <c r="J573" s="29">
        <v>12776.16349</v>
      </c>
      <c r="K573" s="191"/>
      <c r="L573" s="191"/>
      <c r="M573" s="192">
        <f t="shared" si="99"/>
        <v>90.49780586712379</v>
      </c>
    </row>
    <row r="574" spans="1:13" ht="78.75">
      <c r="A574" s="82" t="s">
        <v>132</v>
      </c>
      <c r="B574" s="205" t="s">
        <v>318</v>
      </c>
      <c r="C574" s="80" t="s">
        <v>299</v>
      </c>
      <c r="D574" s="80" t="s">
        <v>105</v>
      </c>
      <c r="E574" s="80" t="s">
        <v>53</v>
      </c>
      <c r="F574" s="80" t="s">
        <v>315</v>
      </c>
      <c r="G574" s="111">
        <f>G575</f>
        <v>190353.159</v>
      </c>
      <c r="H574" s="111">
        <f aca="true" t="shared" si="103" ref="H574:J575">H575</f>
        <v>190353.159</v>
      </c>
      <c r="I574" s="111">
        <f t="shared" si="103"/>
        <v>190353.159</v>
      </c>
      <c r="J574" s="111">
        <f t="shared" si="103"/>
        <v>190353.159</v>
      </c>
      <c r="K574" s="191"/>
      <c r="L574" s="191"/>
      <c r="M574" s="192">
        <f t="shared" si="99"/>
        <v>100</v>
      </c>
    </row>
    <row r="575" spans="1:13" ht="47.25">
      <c r="A575" s="79" t="s">
        <v>160</v>
      </c>
      <c r="B575" s="205" t="s">
        <v>318</v>
      </c>
      <c r="C575" s="80" t="s">
        <v>299</v>
      </c>
      <c r="D575" s="80" t="s">
        <v>105</v>
      </c>
      <c r="E575" s="80" t="s">
        <v>53</v>
      </c>
      <c r="F575" s="80" t="s">
        <v>161</v>
      </c>
      <c r="G575" s="81">
        <f>G576</f>
        <v>190353.159</v>
      </c>
      <c r="H575" s="81">
        <f t="shared" si="103"/>
        <v>190353.159</v>
      </c>
      <c r="I575" s="81">
        <f t="shared" si="103"/>
        <v>190353.159</v>
      </c>
      <c r="J575" s="81">
        <f t="shared" si="103"/>
        <v>190353.159</v>
      </c>
      <c r="K575" s="191"/>
      <c r="L575" s="191"/>
      <c r="M575" s="192">
        <f t="shared" si="99"/>
        <v>100</v>
      </c>
    </row>
    <row r="576" spans="1:13" ht="15.75">
      <c r="A576" s="79" t="s">
        <v>162</v>
      </c>
      <c r="B576" s="205" t="s">
        <v>318</v>
      </c>
      <c r="C576" s="80" t="s">
        <v>299</v>
      </c>
      <c r="D576" s="80" t="s">
        <v>105</v>
      </c>
      <c r="E576" s="80" t="s">
        <v>53</v>
      </c>
      <c r="F576" s="80" t="s">
        <v>220</v>
      </c>
      <c r="G576" s="22">
        <f>191046.082-7176.924+4339.233+2144.768</f>
        <v>190353.159</v>
      </c>
      <c r="H576" s="22">
        <f>191046.082-7176.924+4339.233+2144.768</f>
        <v>190353.159</v>
      </c>
      <c r="I576" s="22">
        <f>191046.082-7176.924+4339.233+2144.768</f>
        <v>190353.159</v>
      </c>
      <c r="J576" s="22">
        <f>191046.082-7176.924+4339.233+2144.768</f>
        <v>190353.159</v>
      </c>
      <c r="K576" s="191"/>
      <c r="L576" s="191"/>
      <c r="M576" s="192">
        <f t="shared" si="99"/>
        <v>100</v>
      </c>
    </row>
    <row r="577" spans="1:13" s="195" customFormat="1" ht="110.25">
      <c r="A577" s="82" t="s">
        <v>520</v>
      </c>
      <c r="B577" s="112" t="s">
        <v>318</v>
      </c>
      <c r="C577" s="83" t="s">
        <v>299</v>
      </c>
      <c r="D577" s="83" t="s">
        <v>105</v>
      </c>
      <c r="E577" s="83" t="s">
        <v>522</v>
      </c>
      <c r="F577" s="83" t="s">
        <v>315</v>
      </c>
      <c r="G577" s="84">
        <f>G578</f>
        <v>20475</v>
      </c>
      <c r="H577" s="84">
        <f aca="true" t="shared" si="104" ref="H577:J578">H578</f>
        <v>2501.2766</v>
      </c>
      <c r="I577" s="84">
        <f t="shared" si="104"/>
        <v>7688.77874</v>
      </c>
      <c r="J577" s="84">
        <f t="shared" si="104"/>
        <v>17846.60513</v>
      </c>
      <c r="K577" s="185"/>
      <c r="L577" s="185"/>
      <c r="M577" s="192">
        <f t="shared" si="99"/>
        <v>87.16290661782662</v>
      </c>
    </row>
    <row r="578" spans="1:13" s="195" customFormat="1" ht="47.25">
      <c r="A578" s="79" t="s">
        <v>160</v>
      </c>
      <c r="B578" s="94" t="s">
        <v>318</v>
      </c>
      <c r="C578" s="80" t="s">
        <v>299</v>
      </c>
      <c r="D578" s="80" t="s">
        <v>105</v>
      </c>
      <c r="E578" s="80" t="s">
        <v>522</v>
      </c>
      <c r="F578" s="80" t="s">
        <v>161</v>
      </c>
      <c r="G578" s="81">
        <f>G579</f>
        <v>20475</v>
      </c>
      <c r="H578" s="81">
        <f t="shared" si="104"/>
        <v>2501.2766</v>
      </c>
      <c r="I578" s="81">
        <f t="shared" si="104"/>
        <v>7688.77874</v>
      </c>
      <c r="J578" s="81">
        <f t="shared" si="104"/>
        <v>17846.60513</v>
      </c>
      <c r="K578" s="185"/>
      <c r="L578" s="185"/>
      <c r="M578" s="192">
        <f t="shared" si="99"/>
        <v>87.16290661782662</v>
      </c>
    </row>
    <row r="579" spans="1:13" ht="15.75">
      <c r="A579" s="79" t="s">
        <v>162</v>
      </c>
      <c r="B579" s="94" t="s">
        <v>318</v>
      </c>
      <c r="C579" s="80" t="s">
        <v>299</v>
      </c>
      <c r="D579" s="80" t="s">
        <v>105</v>
      </c>
      <c r="E579" s="80" t="s">
        <v>522</v>
      </c>
      <c r="F579" s="80" t="s">
        <v>220</v>
      </c>
      <c r="G579" s="22">
        <f>19305+1170</f>
        <v>20475</v>
      </c>
      <c r="H579" s="23">
        <f aca="true" t="shared" si="105" ref="H579:J581">H580</f>
        <v>2501.2766</v>
      </c>
      <c r="I579" s="23">
        <f t="shared" si="105"/>
        <v>7688.77874</v>
      </c>
      <c r="J579" s="29">
        <v>17846.60513</v>
      </c>
      <c r="K579" s="191"/>
      <c r="L579" s="191"/>
      <c r="M579" s="192">
        <f t="shared" si="99"/>
        <v>87.16290661782662</v>
      </c>
    </row>
    <row r="580" spans="1:15" ht="126">
      <c r="A580" s="10" t="s">
        <v>699</v>
      </c>
      <c r="B580" s="40" t="s">
        <v>318</v>
      </c>
      <c r="C580" s="9" t="s">
        <v>299</v>
      </c>
      <c r="D580" s="9" t="s">
        <v>105</v>
      </c>
      <c r="E580" s="40" t="s">
        <v>700</v>
      </c>
      <c r="F580" s="9" t="s">
        <v>315</v>
      </c>
      <c r="G580" s="23">
        <f>G581</f>
        <v>356.99300000000005</v>
      </c>
      <c r="H580" s="23">
        <f t="shared" si="105"/>
        <v>2501.2766</v>
      </c>
      <c r="I580" s="23">
        <f t="shared" si="105"/>
        <v>7688.77874</v>
      </c>
      <c r="J580" s="23">
        <f t="shared" si="105"/>
        <v>354.27348</v>
      </c>
      <c r="K580" s="191"/>
      <c r="L580" s="191"/>
      <c r="M580" s="192">
        <f t="shared" si="99"/>
        <v>99.23821475491114</v>
      </c>
      <c r="O580" s="225"/>
    </row>
    <row r="581" spans="1:13" ht="47.25">
      <c r="A581" s="8" t="s">
        <v>160</v>
      </c>
      <c r="B581" s="2" t="s">
        <v>318</v>
      </c>
      <c r="C581" s="3" t="s">
        <v>299</v>
      </c>
      <c r="D581" s="3" t="s">
        <v>105</v>
      </c>
      <c r="E581" s="2" t="s">
        <v>700</v>
      </c>
      <c r="F581" s="3" t="s">
        <v>161</v>
      </c>
      <c r="G581" s="22">
        <f>G582</f>
        <v>356.99300000000005</v>
      </c>
      <c r="H581" s="22">
        <f t="shared" si="105"/>
        <v>2501.2766</v>
      </c>
      <c r="I581" s="22">
        <f t="shared" si="105"/>
        <v>7688.77874</v>
      </c>
      <c r="J581" s="22">
        <f t="shared" si="105"/>
        <v>354.27348</v>
      </c>
      <c r="K581" s="191"/>
      <c r="L581" s="191"/>
      <c r="M581" s="192">
        <f t="shared" si="99"/>
        <v>99.23821475491114</v>
      </c>
    </row>
    <row r="582" spans="1:13" s="195" customFormat="1" ht="15.75">
      <c r="A582" s="8" t="s">
        <v>162</v>
      </c>
      <c r="B582" s="2" t="s">
        <v>318</v>
      </c>
      <c r="C582" s="3" t="s">
        <v>299</v>
      </c>
      <c r="D582" s="3" t="s">
        <v>105</v>
      </c>
      <c r="E582" s="54" t="s">
        <v>700</v>
      </c>
      <c r="F582" s="3" t="s">
        <v>220</v>
      </c>
      <c r="G582" s="22">
        <f>989.4248-632.4318</f>
        <v>356.99300000000005</v>
      </c>
      <c r="H582" s="28">
        <f>H583</f>
        <v>2501.2766</v>
      </c>
      <c r="I582" s="28">
        <f>I585</f>
        <v>7688.77874</v>
      </c>
      <c r="J582" s="29">
        <v>354.27348</v>
      </c>
      <c r="K582" s="185"/>
      <c r="L582" s="185"/>
      <c r="M582" s="192">
        <f t="shared" si="99"/>
        <v>99.23821475491114</v>
      </c>
    </row>
    <row r="583" spans="1:13" ht="15.75">
      <c r="A583" s="76" t="s">
        <v>428</v>
      </c>
      <c r="B583" s="212" t="s">
        <v>318</v>
      </c>
      <c r="C583" s="77" t="s">
        <v>299</v>
      </c>
      <c r="D583" s="77" t="s">
        <v>110</v>
      </c>
      <c r="E583" s="212" t="s">
        <v>243</v>
      </c>
      <c r="F583" s="77" t="s">
        <v>315</v>
      </c>
      <c r="G583" s="78">
        <f>G584</f>
        <v>28463.372709999996</v>
      </c>
      <c r="H583" s="78">
        <f aca="true" t="shared" si="106" ref="H583:J585">H584</f>
        <v>2501.2766</v>
      </c>
      <c r="I583" s="78">
        <f t="shared" si="106"/>
        <v>7688.77874</v>
      </c>
      <c r="J583" s="78">
        <f t="shared" si="106"/>
        <v>27743.7216</v>
      </c>
      <c r="K583" s="191"/>
      <c r="L583" s="191"/>
      <c r="M583" s="322">
        <f t="shared" si="99"/>
        <v>97.47165904289633</v>
      </c>
    </row>
    <row r="584" spans="1:13" ht="45" customHeight="1">
      <c r="A584" s="8" t="s">
        <v>673</v>
      </c>
      <c r="B584" s="2" t="s">
        <v>318</v>
      </c>
      <c r="C584" s="3" t="s">
        <v>299</v>
      </c>
      <c r="D584" s="3" t="s">
        <v>110</v>
      </c>
      <c r="E584" s="3" t="s">
        <v>22</v>
      </c>
      <c r="F584" s="3" t="s">
        <v>315</v>
      </c>
      <c r="G584" s="22">
        <f>G585</f>
        <v>28463.372709999996</v>
      </c>
      <c r="H584" s="22">
        <f t="shared" si="106"/>
        <v>2501.2766</v>
      </c>
      <c r="I584" s="22">
        <f t="shared" si="106"/>
        <v>7688.77874</v>
      </c>
      <c r="J584" s="22">
        <f t="shared" si="106"/>
        <v>27743.7216</v>
      </c>
      <c r="K584" s="191"/>
      <c r="L584" s="191"/>
      <c r="M584" s="192">
        <f t="shared" si="99"/>
        <v>97.47165904289633</v>
      </c>
    </row>
    <row r="585" spans="1:13" ht="31.5">
      <c r="A585" s="101" t="s">
        <v>222</v>
      </c>
      <c r="B585" s="205" t="s">
        <v>318</v>
      </c>
      <c r="C585" s="80" t="s">
        <v>299</v>
      </c>
      <c r="D585" s="80" t="s">
        <v>110</v>
      </c>
      <c r="E585" s="80" t="s">
        <v>47</v>
      </c>
      <c r="F585" s="80" t="s">
        <v>315</v>
      </c>
      <c r="G585" s="111">
        <f>G586</f>
        <v>28463.372709999996</v>
      </c>
      <c r="H585" s="111">
        <f t="shared" si="106"/>
        <v>2501.2766</v>
      </c>
      <c r="I585" s="111">
        <f t="shared" si="106"/>
        <v>7688.77874</v>
      </c>
      <c r="J585" s="111">
        <f t="shared" si="106"/>
        <v>27743.7216</v>
      </c>
      <c r="K585" s="29"/>
      <c r="L585" s="191"/>
      <c r="M585" s="192">
        <f t="shared" si="99"/>
        <v>97.47165904289633</v>
      </c>
    </row>
    <row r="586" spans="1:13" ht="47.25">
      <c r="A586" s="79" t="s">
        <v>160</v>
      </c>
      <c r="B586" s="94" t="s">
        <v>318</v>
      </c>
      <c r="C586" s="80" t="s">
        <v>299</v>
      </c>
      <c r="D586" s="80" t="s">
        <v>110</v>
      </c>
      <c r="E586" s="80" t="s">
        <v>48</v>
      </c>
      <c r="F586" s="80" t="s">
        <v>161</v>
      </c>
      <c r="G586" s="81">
        <f>G589+G590+G595+G594+G587+G599+G600+G588</f>
        <v>28463.372709999996</v>
      </c>
      <c r="H586" s="81">
        <f>H589+H590+H595+H594+H587+H599+H600+H588</f>
        <v>2501.2766</v>
      </c>
      <c r="I586" s="81">
        <f>I589+I590+I595+I594+I587+I599+I600+I588</f>
        <v>7688.77874</v>
      </c>
      <c r="J586" s="81">
        <f>J589+J590+J595+J594+J587+J599+J600+J588</f>
        <v>27743.7216</v>
      </c>
      <c r="K586" s="191"/>
      <c r="L586" s="191"/>
      <c r="M586" s="192">
        <f t="shared" si="99"/>
        <v>97.47165904289633</v>
      </c>
    </row>
    <row r="587" spans="1:13" ht="47.25">
      <c r="A587" s="8" t="s">
        <v>776</v>
      </c>
      <c r="B587" s="2" t="s">
        <v>318</v>
      </c>
      <c r="C587" s="3" t="s">
        <v>299</v>
      </c>
      <c r="D587" s="3" t="s">
        <v>110</v>
      </c>
      <c r="E587" s="3" t="s">
        <v>539</v>
      </c>
      <c r="F587" s="3" t="s">
        <v>220</v>
      </c>
      <c r="G587" s="22">
        <v>111.356</v>
      </c>
      <c r="H587" s="22"/>
      <c r="I587" s="22">
        <f>5410.6375-985</f>
        <v>4425.6375</v>
      </c>
      <c r="J587" s="29">
        <v>111.355</v>
      </c>
      <c r="K587" s="191"/>
      <c r="L587" s="191"/>
      <c r="M587" s="192">
        <f t="shared" si="99"/>
        <v>99.99910197923776</v>
      </c>
    </row>
    <row r="588" spans="1:13" ht="47.25" hidden="1">
      <c r="A588" s="79" t="s">
        <v>545</v>
      </c>
      <c r="B588" s="94" t="s">
        <v>318</v>
      </c>
      <c r="C588" s="80" t="s">
        <v>299</v>
      </c>
      <c r="D588" s="80" t="s">
        <v>110</v>
      </c>
      <c r="E588" s="80" t="s">
        <v>546</v>
      </c>
      <c r="F588" s="80" t="s">
        <v>220</v>
      </c>
      <c r="G588" s="120"/>
      <c r="H588" s="22"/>
      <c r="I588" s="22">
        <f>I589</f>
        <v>373.30071999999996</v>
      </c>
      <c r="J588" s="29"/>
      <c r="K588" s="191"/>
      <c r="L588" s="191"/>
      <c r="M588" s="192" t="e">
        <f t="shared" si="99"/>
        <v>#DIV/0!</v>
      </c>
    </row>
    <row r="589" spans="1:13" ht="33" customHeight="1">
      <c r="A589" s="79" t="s">
        <v>768</v>
      </c>
      <c r="B589" s="94" t="s">
        <v>318</v>
      </c>
      <c r="C589" s="80" t="s">
        <v>299</v>
      </c>
      <c r="D589" s="80" t="s">
        <v>110</v>
      </c>
      <c r="E589" s="80" t="s">
        <v>49</v>
      </c>
      <c r="F589" s="80" t="s">
        <v>220</v>
      </c>
      <c r="G589" s="22">
        <f>5202.784+888+344.2705+50+130.4+34.757+143.05828+672.3+1683.43975</f>
        <v>9149.00953</v>
      </c>
      <c r="H589" s="22"/>
      <c r="I589" s="22">
        <f>I590</f>
        <v>373.30071999999996</v>
      </c>
      <c r="J589" s="29">
        <v>8694.74331</v>
      </c>
      <c r="K589" s="191"/>
      <c r="L589" s="191"/>
      <c r="M589" s="192">
        <f t="shared" si="99"/>
        <v>95.03480438499446</v>
      </c>
    </row>
    <row r="590" spans="1:13" ht="47.25">
      <c r="A590" s="79" t="s">
        <v>638</v>
      </c>
      <c r="B590" s="94" t="s">
        <v>318</v>
      </c>
      <c r="C590" s="80" t="s">
        <v>299</v>
      </c>
      <c r="D590" s="80" t="s">
        <v>110</v>
      </c>
      <c r="E590" s="80" t="s">
        <v>641</v>
      </c>
      <c r="F590" s="80" t="s">
        <v>315</v>
      </c>
      <c r="G590" s="22">
        <f>G591</f>
        <v>648.18986</v>
      </c>
      <c r="H590" s="22">
        <f>H591</f>
        <v>373.30071999999996</v>
      </c>
      <c r="I590" s="22">
        <f>I591</f>
        <v>373.30071999999996</v>
      </c>
      <c r="J590" s="22">
        <f>J591</f>
        <v>648.18986</v>
      </c>
      <c r="K590" s="185"/>
      <c r="L590" s="185"/>
      <c r="M590" s="192">
        <f t="shared" si="99"/>
        <v>100</v>
      </c>
    </row>
    <row r="591" spans="1:13" ht="47.25">
      <c r="A591" s="79" t="s">
        <v>160</v>
      </c>
      <c r="B591" s="94" t="s">
        <v>318</v>
      </c>
      <c r="C591" s="80" t="s">
        <v>299</v>
      </c>
      <c r="D591" s="80" t="s">
        <v>110</v>
      </c>
      <c r="E591" s="80" t="s">
        <v>641</v>
      </c>
      <c r="F591" s="80" t="s">
        <v>161</v>
      </c>
      <c r="G591" s="22">
        <f>G592+G593</f>
        <v>648.18986</v>
      </c>
      <c r="H591" s="22">
        <f>H592+H593</f>
        <v>373.30071999999996</v>
      </c>
      <c r="I591" s="22">
        <f>I592+I593</f>
        <v>373.30071999999996</v>
      </c>
      <c r="J591" s="22">
        <f>J592+J593</f>
        <v>648.18986</v>
      </c>
      <c r="K591" s="191"/>
      <c r="L591" s="191"/>
      <c r="M591" s="192">
        <f t="shared" si="99"/>
        <v>100</v>
      </c>
    </row>
    <row r="592" spans="1:13" ht="33" customHeight="1">
      <c r="A592" s="79" t="s">
        <v>769</v>
      </c>
      <c r="B592" s="94" t="s">
        <v>318</v>
      </c>
      <c r="C592" s="80" t="s">
        <v>299</v>
      </c>
      <c r="D592" s="80" t="s">
        <v>110</v>
      </c>
      <c r="E592" s="80" t="s">
        <v>641</v>
      </c>
      <c r="F592" s="80" t="s">
        <v>220</v>
      </c>
      <c r="G592" s="22">
        <f>1204.9-344.2705-344.2705-143.05828</f>
        <v>373.30071999999996</v>
      </c>
      <c r="H592" s="22">
        <f>1204.9-344.2705-344.2705-143.05828</f>
        <v>373.30071999999996</v>
      </c>
      <c r="I592" s="22">
        <f>1204.9-344.2705-344.2705-143.05828</f>
        <v>373.30071999999996</v>
      </c>
      <c r="J592" s="22">
        <f>1204.9-344.2705-344.2705-143.05828</f>
        <v>373.30071999999996</v>
      </c>
      <c r="K592" s="191"/>
      <c r="L592" s="191"/>
      <c r="M592" s="192">
        <f t="shared" si="99"/>
        <v>100</v>
      </c>
    </row>
    <row r="593" spans="1:13" ht="126">
      <c r="A593" s="79" t="s">
        <v>701</v>
      </c>
      <c r="B593" s="94" t="s">
        <v>318</v>
      </c>
      <c r="C593" s="80" t="s">
        <v>299</v>
      </c>
      <c r="D593" s="80" t="s">
        <v>110</v>
      </c>
      <c r="E593" s="80" t="s">
        <v>641</v>
      </c>
      <c r="F593" s="80" t="s">
        <v>220</v>
      </c>
      <c r="G593" s="22">
        <f>'[1]3'!F463</f>
        <v>274.88914</v>
      </c>
      <c r="H593" s="22">
        <f>'[1]3'!G463</f>
        <v>0</v>
      </c>
      <c r="I593" s="22">
        <f>'[1]3'!H463</f>
        <v>0</v>
      </c>
      <c r="J593" s="22">
        <v>274.88914</v>
      </c>
      <c r="K593" s="191"/>
      <c r="L593" s="191"/>
      <c r="M593" s="192">
        <f t="shared" si="99"/>
        <v>100</v>
      </c>
    </row>
    <row r="594" spans="1:13" ht="17.25" customHeight="1">
      <c r="A594" s="79" t="s">
        <v>552</v>
      </c>
      <c r="B594" s="94" t="s">
        <v>318</v>
      </c>
      <c r="C594" s="80" t="s">
        <v>299</v>
      </c>
      <c r="D594" s="80" t="s">
        <v>110</v>
      </c>
      <c r="E594" s="80" t="s">
        <v>50</v>
      </c>
      <c r="F594" s="80" t="s">
        <v>220</v>
      </c>
      <c r="G594" s="22">
        <f>12058.344+900+470.8405+861.2+93.75+146.57556+510.29954</f>
        <v>15041.0096</v>
      </c>
      <c r="H594" s="22">
        <f aca="true" t="shared" si="107" ref="H594:J595">H595</f>
        <v>623.78444</v>
      </c>
      <c r="I594" s="22">
        <f t="shared" si="107"/>
        <v>559.64344</v>
      </c>
      <c r="J594" s="29">
        <v>14786.87771</v>
      </c>
      <c r="K594" s="191"/>
      <c r="L594" s="191"/>
      <c r="M594" s="192">
        <f t="shared" si="99"/>
        <v>98.31040670301815</v>
      </c>
    </row>
    <row r="595" spans="1:13" ht="63">
      <c r="A595" s="79" t="s">
        <v>639</v>
      </c>
      <c r="B595" s="94" t="s">
        <v>318</v>
      </c>
      <c r="C595" s="80" t="s">
        <v>299</v>
      </c>
      <c r="D595" s="80" t="s">
        <v>110</v>
      </c>
      <c r="E595" s="80" t="s">
        <v>641</v>
      </c>
      <c r="F595" s="80" t="s">
        <v>315</v>
      </c>
      <c r="G595" s="22">
        <f>G596</f>
        <v>983.4007200000001</v>
      </c>
      <c r="H595" s="22">
        <f t="shared" si="107"/>
        <v>623.78444</v>
      </c>
      <c r="I595" s="22">
        <f t="shared" si="107"/>
        <v>559.64344</v>
      </c>
      <c r="J595" s="22">
        <f t="shared" si="107"/>
        <v>983.4007200000001</v>
      </c>
      <c r="K595" s="191"/>
      <c r="L595" s="191"/>
      <c r="M595" s="192">
        <f t="shared" si="99"/>
        <v>100</v>
      </c>
    </row>
    <row r="596" spans="1:13" ht="47.25">
      <c r="A596" s="79" t="s">
        <v>160</v>
      </c>
      <c r="B596" s="94" t="s">
        <v>318</v>
      </c>
      <c r="C596" s="80" t="s">
        <v>299</v>
      </c>
      <c r="D596" s="80" t="s">
        <v>110</v>
      </c>
      <c r="E596" s="80" t="s">
        <v>641</v>
      </c>
      <c r="F596" s="80" t="s">
        <v>161</v>
      </c>
      <c r="G596" s="22">
        <f>G597+G598</f>
        <v>983.4007200000001</v>
      </c>
      <c r="H596" s="22">
        <f>H597+H598</f>
        <v>623.78444</v>
      </c>
      <c r="I596" s="22">
        <f>I597+I598</f>
        <v>559.64344</v>
      </c>
      <c r="J596" s="22">
        <f>J597+J598</f>
        <v>983.4007200000001</v>
      </c>
      <c r="K596" s="191"/>
      <c r="L596" s="191"/>
      <c r="M596" s="192">
        <f t="shared" si="99"/>
        <v>100</v>
      </c>
    </row>
    <row r="597" spans="1:13" ht="31.5">
      <c r="A597" s="79" t="s">
        <v>769</v>
      </c>
      <c r="B597" s="94" t="s">
        <v>318</v>
      </c>
      <c r="C597" s="80" t="s">
        <v>299</v>
      </c>
      <c r="D597" s="80" t="s">
        <v>110</v>
      </c>
      <c r="E597" s="80" t="s">
        <v>641</v>
      </c>
      <c r="F597" s="80" t="s">
        <v>220</v>
      </c>
      <c r="G597" s="22">
        <f>1647.9-470.8405-470.8405-146.57556</f>
        <v>559.64344</v>
      </c>
      <c r="H597" s="22">
        <f>1647.9-470.8405-470.8405-146.57556</f>
        <v>559.64344</v>
      </c>
      <c r="I597" s="22">
        <f>1647.9-470.8405-470.8405-146.57556</f>
        <v>559.64344</v>
      </c>
      <c r="J597" s="22">
        <f>1647.9-470.8405-470.8405-146.57556</f>
        <v>559.64344</v>
      </c>
      <c r="K597" s="191"/>
      <c r="L597" s="191"/>
      <c r="M597" s="192">
        <f t="shared" si="99"/>
        <v>100</v>
      </c>
    </row>
    <row r="598" spans="1:13" ht="126">
      <c r="A598" s="79" t="s">
        <v>701</v>
      </c>
      <c r="B598" s="94" t="s">
        <v>318</v>
      </c>
      <c r="C598" s="80" t="s">
        <v>299</v>
      </c>
      <c r="D598" s="80" t="s">
        <v>110</v>
      </c>
      <c r="E598" s="80" t="s">
        <v>641</v>
      </c>
      <c r="F598" s="80" t="s">
        <v>220</v>
      </c>
      <c r="G598" s="22">
        <f>'[1]3'!F469</f>
        <v>423.75728000000004</v>
      </c>
      <c r="H598" s="22">
        <v>64.141</v>
      </c>
      <c r="I598" s="22"/>
      <c r="J598" s="29">
        <v>423.75728</v>
      </c>
      <c r="K598" s="191"/>
      <c r="L598" s="191"/>
      <c r="M598" s="192">
        <f t="shared" si="99"/>
        <v>99.99999999999999</v>
      </c>
    </row>
    <row r="599" spans="1:13" s="195" customFormat="1" ht="94.5">
      <c r="A599" s="79" t="s">
        <v>702</v>
      </c>
      <c r="B599" s="94" t="s">
        <v>318</v>
      </c>
      <c r="C599" s="80" t="s">
        <v>299</v>
      </c>
      <c r="D599" s="80" t="s">
        <v>110</v>
      </c>
      <c r="E599" s="80" t="s">
        <v>553</v>
      </c>
      <c r="F599" s="80" t="s">
        <v>220</v>
      </c>
      <c r="G599" s="22">
        <f aca="true" t="shared" si="108" ref="G599:L599">776.247+104.16</f>
        <v>880.4069999999999</v>
      </c>
      <c r="H599" s="22">
        <f t="shared" si="108"/>
        <v>880.4069999999999</v>
      </c>
      <c r="I599" s="22">
        <f t="shared" si="108"/>
        <v>880.4069999999999</v>
      </c>
      <c r="J599" s="22">
        <f t="shared" si="108"/>
        <v>880.4069999999999</v>
      </c>
      <c r="K599" s="22">
        <f t="shared" si="108"/>
        <v>880.4069999999999</v>
      </c>
      <c r="L599" s="22">
        <f t="shared" si="108"/>
        <v>880.4069999999999</v>
      </c>
      <c r="M599" s="192">
        <f t="shared" si="99"/>
        <v>100</v>
      </c>
    </row>
    <row r="600" spans="1:13" ht="47.25">
      <c r="A600" s="82" t="s">
        <v>545</v>
      </c>
      <c r="B600" s="112" t="s">
        <v>318</v>
      </c>
      <c r="C600" s="83" t="s">
        <v>299</v>
      </c>
      <c r="D600" s="83" t="s">
        <v>110</v>
      </c>
      <c r="E600" s="83" t="s">
        <v>546</v>
      </c>
      <c r="F600" s="83" t="s">
        <v>315</v>
      </c>
      <c r="G600" s="84">
        <f>G601</f>
        <v>1650</v>
      </c>
      <c r="H600" s="84">
        <f aca="true" t="shared" si="109" ref="H600:J601">H601</f>
        <v>0</v>
      </c>
      <c r="I600" s="84">
        <f t="shared" si="109"/>
        <v>143.5452</v>
      </c>
      <c r="J600" s="84">
        <f t="shared" si="109"/>
        <v>1638.748</v>
      </c>
      <c r="K600" s="201"/>
      <c r="L600" s="201"/>
      <c r="M600" s="256">
        <f t="shared" si="99"/>
        <v>99.31806060606061</v>
      </c>
    </row>
    <row r="601" spans="1:13" ht="47.25">
      <c r="A601" s="125" t="s">
        <v>160</v>
      </c>
      <c r="B601" s="94" t="s">
        <v>318</v>
      </c>
      <c r="C601" s="210" t="s">
        <v>299</v>
      </c>
      <c r="D601" s="210" t="s">
        <v>110</v>
      </c>
      <c r="E601" s="210" t="s">
        <v>546</v>
      </c>
      <c r="F601" s="210" t="s">
        <v>161</v>
      </c>
      <c r="G601" s="81">
        <f>G602</f>
        <v>1650</v>
      </c>
      <c r="H601" s="81">
        <f t="shared" si="109"/>
        <v>0</v>
      </c>
      <c r="I601" s="81">
        <f t="shared" si="109"/>
        <v>143.5452</v>
      </c>
      <c r="J601" s="81">
        <f t="shared" si="109"/>
        <v>1638.748</v>
      </c>
      <c r="K601" s="191"/>
      <c r="L601" s="191"/>
      <c r="M601" s="192">
        <f t="shared" si="99"/>
        <v>99.31806060606061</v>
      </c>
    </row>
    <row r="602" spans="1:13" ht="15.75">
      <c r="A602" s="125" t="s">
        <v>162</v>
      </c>
      <c r="B602" s="94" t="s">
        <v>318</v>
      </c>
      <c r="C602" s="210" t="s">
        <v>299</v>
      </c>
      <c r="D602" s="210" t="s">
        <v>110</v>
      </c>
      <c r="E602" s="210" t="s">
        <v>546</v>
      </c>
      <c r="F602" s="210" t="s">
        <v>220</v>
      </c>
      <c r="G602" s="22">
        <f>150+600+600+300</f>
        <v>1650</v>
      </c>
      <c r="H602" s="22"/>
      <c r="I602" s="22">
        <f>70.291+73.2542</f>
        <v>143.5452</v>
      </c>
      <c r="J602" s="29">
        <v>1638.748</v>
      </c>
      <c r="K602" s="191"/>
      <c r="L602" s="191"/>
      <c r="M602" s="192">
        <f t="shared" si="99"/>
        <v>99.31806060606061</v>
      </c>
    </row>
    <row r="603" spans="1:13" ht="15.75" hidden="1">
      <c r="A603" s="82"/>
      <c r="B603" s="112" t="s">
        <v>318</v>
      </c>
      <c r="C603" s="83" t="s">
        <v>299</v>
      </c>
      <c r="D603" s="83" t="s">
        <v>110</v>
      </c>
      <c r="E603" s="210"/>
      <c r="F603" s="210"/>
      <c r="G603" s="120"/>
      <c r="H603" s="23">
        <f>H604</f>
        <v>1.4499499999999999</v>
      </c>
      <c r="I603" s="23"/>
      <c r="J603" s="29"/>
      <c r="K603" s="191"/>
      <c r="L603" s="191"/>
      <c r="M603" s="192" t="e">
        <f t="shared" si="99"/>
        <v>#DIV/0!</v>
      </c>
    </row>
    <row r="604" spans="1:13" ht="15.75" hidden="1">
      <c r="A604" s="125"/>
      <c r="B604" s="94" t="s">
        <v>318</v>
      </c>
      <c r="C604" s="80" t="s">
        <v>299</v>
      </c>
      <c r="D604" s="80" t="s">
        <v>110</v>
      </c>
      <c r="E604" s="210"/>
      <c r="F604" s="210"/>
      <c r="G604" s="81"/>
      <c r="H604" s="22">
        <f>H605</f>
        <v>1.4499499999999999</v>
      </c>
      <c r="I604" s="22"/>
      <c r="J604" s="29"/>
      <c r="K604" s="191"/>
      <c r="L604" s="191"/>
      <c r="M604" s="192" t="e">
        <f t="shared" si="99"/>
        <v>#DIV/0!</v>
      </c>
    </row>
    <row r="605" spans="1:13" ht="16.5" customHeight="1" hidden="1">
      <c r="A605" s="79"/>
      <c r="B605" s="94" t="s">
        <v>318</v>
      </c>
      <c r="C605" s="80" t="s">
        <v>299</v>
      </c>
      <c r="D605" s="80" t="s">
        <v>110</v>
      </c>
      <c r="E605" s="210"/>
      <c r="F605" s="210"/>
      <c r="G605" s="81"/>
      <c r="H605" s="22">
        <f>1.40427+0.04568</f>
        <v>1.4499499999999999</v>
      </c>
      <c r="I605" s="22"/>
      <c r="J605" s="29"/>
      <c r="K605" s="191"/>
      <c r="L605" s="191"/>
      <c r="M605" s="192" t="e">
        <f t="shared" si="99"/>
        <v>#DIV/0!</v>
      </c>
    </row>
    <row r="606" spans="1:13" ht="78.75" hidden="1">
      <c r="A606" s="82" t="s">
        <v>711</v>
      </c>
      <c r="B606" s="112" t="s">
        <v>318</v>
      </c>
      <c r="C606" s="83" t="s">
        <v>299</v>
      </c>
      <c r="D606" s="83" t="s">
        <v>110</v>
      </c>
      <c r="E606" s="83" t="s">
        <v>571</v>
      </c>
      <c r="F606" s="83" t="s">
        <v>315</v>
      </c>
      <c r="G606" s="84">
        <f>G607</f>
        <v>0</v>
      </c>
      <c r="H606" s="30">
        <f>H610</f>
        <v>1786.5220399999998</v>
      </c>
      <c r="I606" s="30">
        <f>I607</f>
        <v>0</v>
      </c>
      <c r="J606" s="29"/>
      <c r="K606" s="191"/>
      <c r="L606" s="191"/>
      <c r="M606" s="192" t="e">
        <f t="shared" si="99"/>
        <v>#DIV/0!</v>
      </c>
    </row>
    <row r="607" spans="1:13" ht="47.25" hidden="1">
      <c r="A607" s="125" t="s">
        <v>160</v>
      </c>
      <c r="B607" s="94" t="s">
        <v>318</v>
      </c>
      <c r="C607" s="80" t="s">
        <v>299</v>
      </c>
      <c r="D607" s="80" t="s">
        <v>110</v>
      </c>
      <c r="E607" s="80" t="s">
        <v>571</v>
      </c>
      <c r="F607" s="210" t="s">
        <v>161</v>
      </c>
      <c r="G607" s="81">
        <f>G608</f>
        <v>0</v>
      </c>
      <c r="H607" s="23"/>
      <c r="I607" s="23">
        <f>I608</f>
        <v>0</v>
      </c>
      <c r="J607" s="29"/>
      <c r="K607" s="191"/>
      <c r="L607" s="191"/>
      <c r="M607" s="192" t="e">
        <f t="shared" si="99"/>
        <v>#DIV/0!</v>
      </c>
    </row>
    <row r="608" spans="1:13" ht="63" hidden="1">
      <c r="A608" s="79" t="s">
        <v>770</v>
      </c>
      <c r="B608" s="94" t="s">
        <v>318</v>
      </c>
      <c r="C608" s="80" t="s">
        <v>299</v>
      </c>
      <c r="D608" s="80" t="s">
        <v>110</v>
      </c>
      <c r="E608" s="80" t="s">
        <v>571</v>
      </c>
      <c r="F608" s="210" t="s">
        <v>220</v>
      </c>
      <c r="G608" s="81">
        <v>0</v>
      </c>
      <c r="H608" s="22"/>
      <c r="I608" s="22">
        <f>I609</f>
        <v>0</v>
      </c>
      <c r="J608" s="29"/>
      <c r="K608" s="191"/>
      <c r="L608" s="191"/>
      <c r="M608" s="192" t="e">
        <f t="shared" si="99"/>
        <v>#DIV/0!</v>
      </c>
    </row>
    <row r="609" spans="1:13" ht="63">
      <c r="A609" s="76" t="s">
        <v>698</v>
      </c>
      <c r="B609" s="212" t="s">
        <v>318</v>
      </c>
      <c r="C609" s="77" t="s">
        <v>299</v>
      </c>
      <c r="D609" s="77" t="s">
        <v>296</v>
      </c>
      <c r="E609" s="77" t="s">
        <v>22</v>
      </c>
      <c r="F609" s="77" t="s">
        <v>315</v>
      </c>
      <c r="G609" s="78">
        <f>G610</f>
        <v>100</v>
      </c>
      <c r="H609" s="78">
        <f aca="true" t="shared" si="110" ref="H609:J612">H610</f>
        <v>1786.5220399999998</v>
      </c>
      <c r="I609" s="78">
        <f t="shared" si="110"/>
        <v>0</v>
      </c>
      <c r="J609" s="78">
        <f t="shared" si="110"/>
        <v>98.67099</v>
      </c>
      <c r="K609" s="185"/>
      <c r="L609" s="185"/>
      <c r="M609" s="322">
        <f t="shared" si="99"/>
        <v>98.67099</v>
      </c>
    </row>
    <row r="610" spans="1:13" ht="31.5">
      <c r="A610" s="101" t="s">
        <v>223</v>
      </c>
      <c r="B610" s="205" t="s">
        <v>318</v>
      </c>
      <c r="C610" s="80" t="s">
        <v>299</v>
      </c>
      <c r="D610" s="80" t="s">
        <v>296</v>
      </c>
      <c r="E610" s="80" t="s">
        <v>54</v>
      </c>
      <c r="F610" s="80" t="s">
        <v>315</v>
      </c>
      <c r="G610" s="111">
        <f>G611</f>
        <v>100</v>
      </c>
      <c r="H610" s="111">
        <f t="shared" si="110"/>
        <v>1786.5220399999998</v>
      </c>
      <c r="I610" s="111">
        <f t="shared" si="110"/>
        <v>0</v>
      </c>
      <c r="J610" s="111">
        <f t="shared" si="110"/>
        <v>98.67099</v>
      </c>
      <c r="K610" s="191"/>
      <c r="L610" s="191"/>
      <c r="M610" s="192">
        <f t="shared" si="99"/>
        <v>98.67099</v>
      </c>
    </row>
    <row r="611" spans="1:13" ht="31.5">
      <c r="A611" s="79" t="s">
        <v>191</v>
      </c>
      <c r="B611" s="205" t="s">
        <v>318</v>
      </c>
      <c r="C611" s="80" t="s">
        <v>299</v>
      </c>
      <c r="D611" s="80" t="s">
        <v>296</v>
      </c>
      <c r="E611" s="80" t="s">
        <v>55</v>
      </c>
      <c r="F611" s="80" t="s">
        <v>315</v>
      </c>
      <c r="G611" s="111">
        <f>G612</f>
        <v>100</v>
      </c>
      <c r="H611" s="111">
        <f t="shared" si="110"/>
        <v>1786.5220399999998</v>
      </c>
      <c r="I611" s="111">
        <f t="shared" si="110"/>
        <v>0</v>
      </c>
      <c r="J611" s="111">
        <f t="shared" si="110"/>
        <v>98.67099</v>
      </c>
      <c r="K611" s="191"/>
      <c r="L611" s="191"/>
      <c r="M611" s="192">
        <f t="shared" si="99"/>
        <v>98.67099</v>
      </c>
    </row>
    <row r="612" spans="1:13" ht="47.25">
      <c r="A612" s="79" t="s">
        <v>160</v>
      </c>
      <c r="B612" s="205" t="s">
        <v>318</v>
      </c>
      <c r="C612" s="80" t="s">
        <v>299</v>
      </c>
      <c r="D612" s="80" t="s">
        <v>296</v>
      </c>
      <c r="E612" s="80" t="s">
        <v>55</v>
      </c>
      <c r="F612" s="80" t="s">
        <v>161</v>
      </c>
      <c r="G612" s="81">
        <f>G613</f>
        <v>100</v>
      </c>
      <c r="H612" s="81">
        <f t="shared" si="110"/>
        <v>1786.5220399999998</v>
      </c>
      <c r="I612" s="81">
        <f t="shared" si="110"/>
        <v>0</v>
      </c>
      <c r="J612" s="81">
        <f t="shared" si="110"/>
        <v>98.67099</v>
      </c>
      <c r="K612" s="81">
        <f>K613</f>
        <v>0</v>
      </c>
      <c r="L612" s="81">
        <f>L613</f>
        <v>0</v>
      </c>
      <c r="M612" s="192">
        <f t="shared" si="99"/>
        <v>98.67099</v>
      </c>
    </row>
    <row r="613" spans="1:13" ht="15.75">
      <c r="A613" s="79" t="s">
        <v>162</v>
      </c>
      <c r="B613" s="205" t="s">
        <v>318</v>
      </c>
      <c r="C613" s="80" t="s">
        <v>299</v>
      </c>
      <c r="D613" s="80" t="s">
        <v>296</v>
      </c>
      <c r="E613" s="80" t="s">
        <v>55</v>
      </c>
      <c r="F613" s="80" t="s">
        <v>220</v>
      </c>
      <c r="G613" s="32">
        <f>50+50</f>
        <v>100</v>
      </c>
      <c r="H613" s="30">
        <f>H614</f>
        <v>1786.5220399999998</v>
      </c>
      <c r="I613" s="30">
        <f>I614</f>
        <v>0</v>
      </c>
      <c r="J613" s="29">
        <v>98.67099</v>
      </c>
      <c r="K613" s="191"/>
      <c r="L613" s="191"/>
      <c r="M613" s="192">
        <f t="shared" si="99"/>
        <v>98.67099</v>
      </c>
    </row>
    <row r="614" spans="1:13" ht="47.25" hidden="1">
      <c r="A614" s="82" t="s">
        <v>355</v>
      </c>
      <c r="B614" s="112" t="s">
        <v>318</v>
      </c>
      <c r="C614" s="83" t="s">
        <v>299</v>
      </c>
      <c r="D614" s="83" t="s">
        <v>299</v>
      </c>
      <c r="E614" s="83" t="s">
        <v>22</v>
      </c>
      <c r="F614" s="83" t="s">
        <v>315</v>
      </c>
      <c r="G614" s="84">
        <f>G615+G623</f>
        <v>0</v>
      </c>
      <c r="H614" s="32">
        <f>H615</f>
        <v>1786.5220399999998</v>
      </c>
      <c r="I614" s="32">
        <f>I615</f>
        <v>0</v>
      </c>
      <c r="J614" s="29"/>
      <c r="K614" s="191"/>
      <c r="L614" s="191"/>
      <c r="M614" s="192" t="e">
        <f t="shared" si="99"/>
        <v>#DIV/0!</v>
      </c>
    </row>
    <row r="615" spans="1:13" ht="31.5" hidden="1">
      <c r="A615" s="101" t="s">
        <v>222</v>
      </c>
      <c r="B615" s="94" t="s">
        <v>318</v>
      </c>
      <c r="C615" s="80" t="s">
        <v>299</v>
      </c>
      <c r="D615" s="80" t="s">
        <v>299</v>
      </c>
      <c r="E615" s="80" t="s">
        <v>47</v>
      </c>
      <c r="F615" s="80" t="s">
        <v>315</v>
      </c>
      <c r="G615" s="81">
        <f>G616</f>
        <v>0</v>
      </c>
      <c r="H615" s="32">
        <f>H616</f>
        <v>1786.5220399999998</v>
      </c>
      <c r="I615" s="32">
        <f>I616+I623</f>
        <v>0</v>
      </c>
      <c r="J615" s="29"/>
      <c r="K615" s="191"/>
      <c r="L615" s="191"/>
      <c r="M615" s="192" t="e">
        <f t="shared" si="99"/>
        <v>#DIV/0!</v>
      </c>
    </row>
    <row r="616" spans="1:13" ht="63" hidden="1">
      <c r="A616" s="82" t="s">
        <v>470</v>
      </c>
      <c r="B616" s="112" t="s">
        <v>318</v>
      </c>
      <c r="C616" s="83" t="s">
        <v>299</v>
      </c>
      <c r="D616" s="83" t="s">
        <v>299</v>
      </c>
      <c r="E616" s="83" t="s">
        <v>243</v>
      </c>
      <c r="F616" s="83" t="s">
        <v>315</v>
      </c>
      <c r="G616" s="84">
        <f>G617+G620</f>
        <v>0</v>
      </c>
      <c r="H616" s="32">
        <f>H619+H621+H623+H618</f>
        <v>1786.5220399999998</v>
      </c>
      <c r="I616" s="32">
        <f>I619+I621+I623</f>
        <v>0</v>
      </c>
      <c r="J616" s="29"/>
      <c r="K616" s="191"/>
      <c r="L616" s="191"/>
      <c r="M616" s="192" t="e">
        <f t="shared" si="99"/>
        <v>#DIV/0!</v>
      </c>
    </row>
    <row r="617" spans="1:13" ht="78.75" hidden="1">
      <c r="A617" s="79" t="s">
        <v>475</v>
      </c>
      <c r="B617" s="94" t="s">
        <v>318</v>
      </c>
      <c r="C617" s="80" t="s">
        <v>299</v>
      </c>
      <c r="D617" s="80" t="s">
        <v>299</v>
      </c>
      <c r="E617" s="80" t="s">
        <v>481</v>
      </c>
      <c r="F617" s="80" t="s">
        <v>315</v>
      </c>
      <c r="G617" s="81">
        <f>G618+G620</f>
        <v>0</v>
      </c>
      <c r="H617" s="32">
        <f>H618</f>
        <v>0</v>
      </c>
      <c r="I617" s="32">
        <f>I618</f>
        <v>0</v>
      </c>
      <c r="J617" s="29"/>
      <c r="K617" s="191"/>
      <c r="L617" s="191"/>
      <c r="M617" s="192" t="e">
        <f t="shared" si="99"/>
        <v>#DIV/0!</v>
      </c>
    </row>
    <row r="618" spans="1:13" ht="47.25" hidden="1">
      <c r="A618" s="79" t="s">
        <v>160</v>
      </c>
      <c r="B618" s="94" t="s">
        <v>318</v>
      </c>
      <c r="C618" s="80" t="s">
        <v>299</v>
      </c>
      <c r="D618" s="80" t="s">
        <v>299</v>
      </c>
      <c r="E618" s="80" t="s">
        <v>481</v>
      </c>
      <c r="F618" s="80" t="s">
        <v>161</v>
      </c>
      <c r="G618" s="81">
        <f>G619</f>
        <v>0</v>
      </c>
      <c r="H618" s="22">
        <f>634.785+191.705-100-726.49</f>
        <v>0</v>
      </c>
      <c r="I618" s="32"/>
      <c r="J618" s="29"/>
      <c r="K618" s="191"/>
      <c r="L618" s="191"/>
      <c r="M618" s="192" t="e">
        <f t="shared" si="99"/>
        <v>#DIV/0!</v>
      </c>
    </row>
    <row r="619" spans="1:13" ht="15.75" hidden="1">
      <c r="A619" s="79" t="s">
        <v>162</v>
      </c>
      <c r="B619" s="94" t="s">
        <v>318</v>
      </c>
      <c r="C619" s="80" t="s">
        <v>299</v>
      </c>
      <c r="D619" s="80" t="s">
        <v>299</v>
      </c>
      <c r="E619" s="80" t="s">
        <v>481</v>
      </c>
      <c r="F619" s="80" t="s">
        <v>220</v>
      </c>
      <c r="G619" s="81"/>
      <c r="H619" s="32">
        <f>H620</f>
        <v>156.8</v>
      </c>
      <c r="I619" s="32">
        <f>I620</f>
        <v>0</v>
      </c>
      <c r="J619" s="29"/>
      <c r="K619" s="191"/>
      <c r="L619" s="191"/>
      <c r="M619" s="192" t="e">
        <f t="shared" si="99"/>
        <v>#DIV/0!</v>
      </c>
    </row>
    <row r="620" spans="1:13" ht="110.25" hidden="1">
      <c r="A620" s="79" t="s">
        <v>476</v>
      </c>
      <c r="B620" s="94" t="s">
        <v>318</v>
      </c>
      <c r="C620" s="80" t="s">
        <v>299</v>
      </c>
      <c r="D620" s="80" t="s">
        <v>299</v>
      </c>
      <c r="E620" s="80" t="s">
        <v>505</v>
      </c>
      <c r="F620" s="80" t="s">
        <v>315</v>
      </c>
      <c r="G620" s="81">
        <f>G621</f>
        <v>0</v>
      </c>
      <c r="H620" s="22">
        <f>61.8+50+45+100-100</f>
        <v>156.8</v>
      </c>
      <c r="I620" s="32"/>
      <c r="J620" s="22"/>
      <c r="K620" s="191"/>
      <c r="L620" s="191"/>
      <c r="M620" s="192" t="e">
        <f aca="true" t="shared" si="111" ref="M620:M679">J620/G620*100</f>
        <v>#DIV/0!</v>
      </c>
    </row>
    <row r="621" spans="1:13" ht="47.25" hidden="1">
      <c r="A621" s="79" t="s">
        <v>160</v>
      </c>
      <c r="B621" s="94" t="s">
        <v>318</v>
      </c>
      <c r="C621" s="80" t="s">
        <v>299</v>
      </c>
      <c r="D621" s="80" t="s">
        <v>299</v>
      </c>
      <c r="E621" s="80" t="s">
        <v>505</v>
      </c>
      <c r="F621" s="80" t="s">
        <v>161</v>
      </c>
      <c r="G621" s="81">
        <f>G622</f>
        <v>0</v>
      </c>
      <c r="H621" s="22">
        <f>H622</f>
        <v>2</v>
      </c>
      <c r="I621" s="32"/>
      <c r="J621" s="29"/>
      <c r="K621" s="191"/>
      <c r="L621" s="191"/>
      <c r="M621" s="192" t="e">
        <f t="shared" si="111"/>
        <v>#DIV/0!</v>
      </c>
    </row>
    <row r="622" spans="1:13" ht="15.75" hidden="1">
      <c r="A622" s="79" t="s">
        <v>162</v>
      </c>
      <c r="B622" s="94" t="s">
        <v>318</v>
      </c>
      <c r="C622" s="80" t="s">
        <v>299</v>
      </c>
      <c r="D622" s="80" t="s">
        <v>299</v>
      </c>
      <c r="E622" s="80" t="s">
        <v>505</v>
      </c>
      <c r="F622" s="80" t="s">
        <v>220</v>
      </c>
      <c r="G622" s="81"/>
      <c r="H622" s="22">
        <v>2</v>
      </c>
      <c r="I622" s="32"/>
      <c r="J622" s="29"/>
      <c r="K622" s="191"/>
      <c r="L622" s="191"/>
      <c r="M622" s="192" t="e">
        <f t="shared" si="111"/>
        <v>#DIV/0!</v>
      </c>
    </row>
    <row r="623" spans="1:13" ht="31.5" hidden="1">
      <c r="A623" s="101" t="s">
        <v>350</v>
      </c>
      <c r="B623" s="94" t="s">
        <v>318</v>
      </c>
      <c r="C623" s="80" t="s">
        <v>299</v>
      </c>
      <c r="D623" s="80" t="s">
        <v>299</v>
      </c>
      <c r="E623" s="80" t="s">
        <v>56</v>
      </c>
      <c r="F623" s="80" t="s">
        <v>315</v>
      </c>
      <c r="G623" s="81">
        <f>G624</f>
        <v>0</v>
      </c>
      <c r="H623" s="213">
        <f>H624</f>
        <v>1627.7220399999999</v>
      </c>
      <c r="I623" s="213">
        <f>I624</f>
        <v>0</v>
      </c>
      <c r="J623" s="29"/>
      <c r="K623" s="29"/>
      <c r="L623" s="191"/>
      <c r="M623" s="192" t="e">
        <f t="shared" si="111"/>
        <v>#DIV/0!</v>
      </c>
    </row>
    <row r="624" spans="1:13" ht="73.5" customHeight="1" hidden="1">
      <c r="A624" s="103" t="s">
        <v>503</v>
      </c>
      <c r="B624" s="241" t="s">
        <v>318</v>
      </c>
      <c r="C624" s="97" t="s">
        <v>299</v>
      </c>
      <c r="D624" s="97" t="s">
        <v>299</v>
      </c>
      <c r="E624" s="97" t="s">
        <v>56</v>
      </c>
      <c r="F624" s="97" t="s">
        <v>315</v>
      </c>
      <c r="G624" s="242">
        <f>G625+G629</f>
        <v>0</v>
      </c>
      <c r="H624" s="22">
        <f>H625</f>
        <v>1627.7220399999999</v>
      </c>
      <c r="I624" s="22">
        <f>I625</f>
        <v>0</v>
      </c>
      <c r="J624" s="29"/>
      <c r="K624" s="191"/>
      <c r="L624" s="191"/>
      <c r="M624" s="192" t="e">
        <f t="shared" si="111"/>
        <v>#DIV/0!</v>
      </c>
    </row>
    <row r="625" spans="1:13" ht="29.25" customHeight="1" hidden="1">
      <c r="A625" s="93" t="s">
        <v>160</v>
      </c>
      <c r="B625" s="205" t="s">
        <v>318</v>
      </c>
      <c r="C625" s="80" t="s">
        <v>299</v>
      </c>
      <c r="D625" s="80" t="s">
        <v>299</v>
      </c>
      <c r="E625" s="80" t="s">
        <v>57</v>
      </c>
      <c r="F625" s="80" t="s">
        <v>161</v>
      </c>
      <c r="G625" s="111">
        <f>G626</f>
        <v>0</v>
      </c>
      <c r="H625" s="22">
        <f>1209.475+365.261+52.98604</f>
        <v>1627.7220399999999</v>
      </c>
      <c r="I625" s="243"/>
      <c r="J625" s="22"/>
      <c r="K625" s="191"/>
      <c r="L625" s="191"/>
      <c r="M625" s="192" t="e">
        <f t="shared" si="111"/>
        <v>#DIV/0!</v>
      </c>
    </row>
    <row r="626" spans="1:13" s="244" customFormat="1" ht="15.75" hidden="1">
      <c r="A626" s="93" t="s">
        <v>162</v>
      </c>
      <c r="B626" s="205" t="s">
        <v>318</v>
      </c>
      <c r="C626" s="80" t="s">
        <v>299</v>
      </c>
      <c r="D626" s="80" t="s">
        <v>299</v>
      </c>
      <c r="E626" s="80" t="s">
        <v>57</v>
      </c>
      <c r="F626" s="80" t="s">
        <v>220</v>
      </c>
      <c r="G626" s="111"/>
      <c r="H626" s="30" t="e">
        <f>H12+H404+H420+#REF!+H613</f>
        <v>#REF!</v>
      </c>
      <c r="I626" s="30" t="e">
        <f>I12+I404+I420+#REF!+I613</f>
        <v>#REF!</v>
      </c>
      <c r="J626" s="51"/>
      <c r="K626" s="185"/>
      <c r="L626" s="185"/>
      <c r="M626" s="192" t="e">
        <f t="shared" si="111"/>
        <v>#DIV/0!</v>
      </c>
    </row>
    <row r="627" spans="1:13" ht="47.25" hidden="1">
      <c r="A627" s="93" t="s">
        <v>160</v>
      </c>
      <c r="B627" s="205" t="s">
        <v>318</v>
      </c>
      <c r="C627" s="80" t="s">
        <v>299</v>
      </c>
      <c r="D627" s="80" t="s">
        <v>299</v>
      </c>
      <c r="E627" s="80" t="s">
        <v>57</v>
      </c>
      <c r="F627" s="80" t="s">
        <v>161</v>
      </c>
      <c r="G627" s="111">
        <f>G628</f>
        <v>0</v>
      </c>
      <c r="H627" s="245"/>
      <c r="M627" s="192" t="e">
        <f t="shared" si="111"/>
        <v>#DIV/0!</v>
      </c>
    </row>
    <row r="628" spans="1:13" ht="15.75" hidden="1">
      <c r="A628" s="93" t="s">
        <v>162</v>
      </c>
      <c r="B628" s="205" t="s">
        <v>318</v>
      </c>
      <c r="C628" s="80" t="s">
        <v>299</v>
      </c>
      <c r="D628" s="80" t="s">
        <v>299</v>
      </c>
      <c r="E628" s="80" t="s">
        <v>57</v>
      </c>
      <c r="F628" s="80" t="s">
        <v>220</v>
      </c>
      <c r="G628" s="81"/>
      <c r="H628" s="189"/>
      <c r="I628" s="189"/>
      <c r="M628" s="192" t="e">
        <f t="shared" si="111"/>
        <v>#DIV/0!</v>
      </c>
    </row>
    <row r="629" spans="1:13" ht="63" hidden="1">
      <c r="A629" s="79" t="s">
        <v>551</v>
      </c>
      <c r="B629" s="94" t="s">
        <v>318</v>
      </c>
      <c r="C629" s="80" t="s">
        <v>299</v>
      </c>
      <c r="D629" s="80" t="s">
        <v>299</v>
      </c>
      <c r="E629" s="80" t="s">
        <v>550</v>
      </c>
      <c r="F629" s="80" t="s">
        <v>315</v>
      </c>
      <c r="G629" s="81">
        <f>G630</f>
        <v>0</v>
      </c>
      <c r="H629" s="189"/>
      <c r="I629" s="189"/>
      <c r="M629" s="192" t="e">
        <f t="shared" si="111"/>
        <v>#DIV/0!</v>
      </c>
    </row>
    <row r="630" spans="1:13" ht="47.25" hidden="1">
      <c r="A630" s="93" t="s">
        <v>160</v>
      </c>
      <c r="B630" s="94" t="s">
        <v>318</v>
      </c>
      <c r="C630" s="80" t="s">
        <v>299</v>
      </c>
      <c r="D630" s="80" t="s">
        <v>299</v>
      </c>
      <c r="E630" s="80" t="s">
        <v>550</v>
      </c>
      <c r="F630" s="80" t="s">
        <v>161</v>
      </c>
      <c r="G630" s="81">
        <f>G631</f>
        <v>0</v>
      </c>
      <c r="H630" s="189"/>
      <c r="I630" s="189"/>
      <c r="M630" s="192" t="e">
        <f t="shared" si="111"/>
        <v>#DIV/0!</v>
      </c>
    </row>
    <row r="631" spans="1:13" ht="15.75" hidden="1">
      <c r="A631" s="93" t="s">
        <v>162</v>
      </c>
      <c r="B631" s="94" t="s">
        <v>318</v>
      </c>
      <c r="C631" s="80" t="s">
        <v>299</v>
      </c>
      <c r="D631" s="80" t="s">
        <v>299</v>
      </c>
      <c r="E631" s="80" t="s">
        <v>550</v>
      </c>
      <c r="F631" s="80" t="s">
        <v>220</v>
      </c>
      <c r="G631" s="81"/>
      <c r="H631" s="189"/>
      <c r="I631" s="189"/>
      <c r="M631" s="192" t="e">
        <f t="shared" si="111"/>
        <v>#DIV/0!</v>
      </c>
    </row>
    <row r="632" spans="1:13" s="195" customFormat="1" ht="31.5">
      <c r="A632" s="76" t="s">
        <v>280</v>
      </c>
      <c r="B632" s="212" t="s">
        <v>318</v>
      </c>
      <c r="C632" s="77" t="s">
        <v>299</v>
      </c>
      <c r="D632" s="77" t="s">
        <v>285</v>
      </c>
      <c r="E632" s="77" t="s">
        <v>243</v>
      </c>
      <c r="F632" s="77" t="s">
        <v>315</v>
      </c>
      <c r="G632" s="78">
        <f>G643+G658+G664+G670+G675+G634</f>
        <v>54652.60033</v>
      </c>
      <c r="H632" s="78">
        <f>H643+H658+H664+H670+H675+H634</f>
        <v>650.9258500000001</v>
      </c>
      <c r="I632" s="78">
        <f>I643+I658+I664+I670+I675+I634</f>
        <v>650.9258500000001</v>
      </c>
      <c r="J632" s="78">
        <f>J643+J658+J664+J670+J675+J634</f>
        <v>54350.89541999999</v>
      </c>
      <c r="K632" s="323"/>
      <c r="L632" s="323"/>
      <c r="M632" s="322">
        <f t="shared" si="111"/>
        <v>99.4479587280783</v>
      </c>
    </row>
    <row r="633" spans="1:13" ht="47.25">
      <c r="A633" s="82" t="s">
        <v>673</v>
      </c>
      <c r="B633" s="112" t="s">
        <v>318</v>
      </c>
      <c r="C633" s="83" t="s">
        <v>299</v>
      </c>
      <c r="D633" s="83" t="s">
        <v>285</v>
      </c>
      <c r="E633" s="83" t="s">
        <v>243</v>
      </c>
      <c r="F633" s="83" t="s">
        <v>315</v>
      </c>
      <c r="G633" s="84">
        <f>G634</f>
        <v>2589.75648</v>
      </c>
      <c r="H633" s="84">
        <f aca="true" t="shared" si="112" ref="H633:J634">H634</f>
        <v>0</v>
      </c>
      <c r="I633" s="84">
        <f t="shared" si="112"/>
        <v>0</v>
      </c>
      <c r="J633" s="84">
        <f t="shared" si="112"/>
        <v>2589.49365</v>
      </c>
      <c r="M633" s="192">
        <f t="shared" si="111"/>
        <v>99.98985116932693</v>
      </c>
    </row>
    <row r="634" spans="1:13" ht="31.5">
      <c r="A634" s="101" t="s">
        <v>350</v>
      </c>
      <c r="B634" s="94" t="s">
        <v>318</v>
      </c>
      <c r="C634" s="80" t="s">
        <v>299</v>
      </c>
      <c r="D634" s="80" t="s">
        <v>285</v>
      </c>
      <c r="E634" s="80" t="s">
        <v>56</v>
      </c>
      <c r="F634" s="80" t="s">
        <v>315</v>
      </c>
      <c r="G634" s="81">
        <f>G635</f>
        <v>2589.75648</v>
      </c>
      <c r="H634" s="81">
        <f t="shared" si="112"/>
        <v>0</v>
      </c>
      <c r="I634" s="81">
        <f t="shared" si="112"/>
        <v>0</v>
      </c>
      <c r="J634" s="81">
        <f t="shared" si="112"/>
        <v>2589.49365</v>
      </c>
      <c r="M634" s="192">
        <f t="shared" si="111"/>
        <v>99.98985116932693</v>
      </c>
    </row>
    <row r="635" spans="1:13" ht="72" customHeight="1">
      <c r="A635" s="79" t="s">
        <v>503</v>
      </c>
      <c r="B635" s="94" t="s">
        <v>318</v>
      </c>
      <c r="C635" s="80" t="s">
        <v>299</v>
      </c>
      <c r="D635" s="80" t="s">
        <v>285</v>
      </c>
      <c r="E635" s="80" t="s">
        <v>56</v>
      </c>
      <c r="F635" s="80" t="s">
        <v>315</v>
      </c>
      <c r="G635" s="81">
        <f>G636+G638+G640</f>
        <v>2589.75648</v>
      </c>
      <c r="H635" s="81">
        <f>H636+H638+H640</f>
        <v>0</v>
      </c>
      <c r="I635" s="81">
        <f>I636+I638+I640</f>
        <v>0</v>
      </c>
      <c r="J635" s="81">
        <f>J636+J638+J640</f>
        <v>2589.49365</v>
      </c>
      <c r="M635" s="192">
        <f t="shared" si="111"/>
        <v>99.98985116932693</v>
      </c>
    </row>
    <row r="636" spans="1:13" ht="47.25">
      <c r="A636" s="93" t="s">
        <v>160</v>
      </c>
      <c r="B636" s="205" t="s">
        <v>318</v>
      </c>
      <c r="C636" s="80" t="s">
        <v>299</v>
      </c>
      <c r="D636" s="80" t="s">
        <v>285</v>
      </c>
      <c r="E636" s="80" t="s">
        <v>57</v>
      </c>
      <c r="F636" s="80" t="s">
        <v>161</v>
      </c>
      <c r="G636" s="111">
        <f>G637</f>
        <v>2589.75648</v>
      </c>
      <c r="H636" s="111">
        <f>H637</f>
        <v>0</v>
      </c>
      <c r="I636" s="111">
        <f>I637</f>
        <v>0</v>
      </c>
      <c r="J636" s="111">
        <f>J637</f>
        <v>2589.49365</v>
      </c>
      <c r="M636" s="192">
        <f t="shared" si="111"/>
        <v>99.98985116932693</v>
      </c>
    </row>
    <row r="637" spans="1:13" ht="15.75">
      <c r="A637" s="93" t="s">
        <v>162</v>
      </c>
      <c r="B637" s="205" t="s">
        <v>318</v>
      </c>
      <c r="C637" s="80" t="s">
        <v>299</v>
      </c>
      <c r="D637" s="80" t="s">
        <v>285</v>
      </c>
      <c r="E637" s="80" t="s">
        <v>57</v>
      </c>
      <c r="F637" s="80" t="s">
        <v>220</v>
      </c>
      <c r="G637" s="32">
        <f>2867.6175-300+22.13898</f>
        <v>2589.75648</v>
      </c>
      <c r="J637" s="50">
        <v>2589.49365</v>
      </c>
      <c r="M637" s="192">
        <f t="shared" si="111"/>
        <v>99.98985116932693</v>
      </c>
    </row>
    <row r="638" spans="1:13" ht="47.25" hidden="1">
      <c r="A638" s="93" t="s">
        <v>160</v>
      </c>
      <c r="B638" s="205" t="s">
        <v>318</v>
      </c>
      <c r="C638" s="80" t="s">
        <v>299</v>
      </c>
      <c r="D638" s="80" t="s">
        <v>285</v>
      </c>
      <c r="E638" s="80" t="s">
        <v>57</v>
      </c>
      <c r="F638" s="80" t="s">
        <v>161</v>
      </c>
      <c r="G638" s="111">
        <f>G639</f>
        <v>0</v>
      </c>
      <c r="M638" s="192" t="e">
        <f t="shared" si="111"/>
        <v>#DIV/0!</v>
      </c>
    </row>
    <row r="639" spans="1:13" ht="15.75" hidden="1">
      <c r="A639" s="93" t="s">
        <v>162</v>
      </c>
      <c r="B639" s="205" t="s">
        <v>318</v>
      </c>
      <c r="C639" s="80" t="s">
        <v>299</v>
      </c>
      <c r="D639" s="80" t="s">
        <v>285</v>
      </c>
      <c r="E639" s="80" t="s">
        <v>57</v>
      </c>
      <c r="F639" s="80" t="s">
        <v>220</v>
      </c>
      <c r="G639" s="81"/>
      <c r="M639" s="192" t="e">
        <f t="shared" si="111"/>
        <v>#DIV/0!</v>
      </c>
    </row>
    <row r="640" spans="1:13" ht="63" hidden="1">
      <c r="A640" s="79" t="s">
        <v>551</v>
      </c>
      <c r="B640" s="94" t="s">
        <v>318</v>
      </c>
      <c r="C640" s="80" t="s">
        <v>299</v>
      </c>
      <c r="D640" s="80" t="s">
        <v>285</v>
      </c>
      <c r="E640" s="80" t="s">
        <v>550</v>
      </c>
      <c r="F640" s="80" t="s">
        <v>315</v>
      </c>
      <c r="G640" s="81">
        <f>G641</f>
        <v>0</v>
      </c>
      <c r="M640" s="192" t="e">
        <f t="shared" si="111"/>
        <v>#DIV/0!</v>
      </c>
    </row>
    <row r="641" spans="1:13" ht="47.25" hidden="1">
      <c r="A641" s="93" t="s">
        <v>160</v>
      </c>
      <c r="B641" s="94" t="s">
        <v>318</v>
      </c>
      <c r="C641" s="80" t="s">
        <v>299</v>
      </c>
      <c r="D641" s="80" t="s">
        <v>285</v>
      </c>
      <c r="E641" s="80" t="s">
        <v>550</v>
      </c>
      <c r="F641" s="80" t="s">
        <v>161</v>
      </c>
      <c r="G641" s="81">
        <f>G642</f>
        <v>0</v>
      </c>
      <c r="M641" s="192" t="e">
        <f t="shared" si="111"/>
        <v>#DIV/0!</v>
      </c>
    </row>
    <row r="642" spans="1:13" ht="15.75" hidden="1">
      <c r="A642" s="93" t="s">
        <v>162</v>
      </c>
      <c r="B642" s="94" t="s">
        <v>318</v>
      </c>
      <c r="C642" s="80" t="s">
        <v>299</v>
      </c>
      <c r="D642" s="80" t="s">
        <v>285</v>
      </c>
      <c r="E642" s="80" t="s">
        <v>550</v>
      </c>
      <c r="F642" s="80" t="s">
        <v>220</v>
      </c>
      <c r="G642" s="81"/>
      <c r="M642" s="192" t="e">
        <f t="shared" si="111"/>
        <v>#DIV/0!</v>
      </c>
    </row>
    <row r="643" spans="1:13" ht="47.25">
      <c r="A643" s="82" t="s">
        <v>673</v>
      </c>
      <c r="B643" s="226" t="s">
        <v>318</v>
      </c>
      <c r="C643" s="83" t="s">
        <v>299</v>
      </c>
      <c r="D643" s="83" t="s">
        <v>285</v>
      </c>
      <c r="E643" s="83" t="s">
        <v>22</v>
      </c>
      <c r="F643" s="83" t="s">
        <v>315</v>
      </c>
      <c r="G643" s="237">
        <f>G644</f>
        <v>49496.36285</v>
      </c>
      <c r="H643" s="237">
        <f>H644</f>
        <v>650.9258500000001</v>
      </c>
      <c r="I643" s="237">
        <f>I644</f>
        <v>650.9258500000001</v>
      </c>
      <c r="J643" s="237">
        <f>J644</f>
        <v>49270.13148</v>
      </c>
      <c r="M643" s="192">
        <f t="shared" si="111"/>
        <v>99.54293334505083</v>
      </c>
    </row>
    <row r="644" spans="1:13" ht="31.5">
      <c r="A644" s="101" t="s">
        <v>197</v>
      </c>
      <c r="B644" s="205" t="s">
        <v>318</v>
      </c>
      <c r="C644" s="80" t="s">
        <v>299</v>
      </c>
      <c r="D644" s="80" t="s">
        <v>285</v>
      </c>
      <c r="E644" s="80" t="s">
        <v>59</v>
      </c>
      <c r="F644" s="80" t="s">
        <v>315</v>
      </c>
      <c r="G644" s="111">
        <f>G645+G653</f>
        <v>49496.36285</v>
      </c>
      <c r="H644" s="111">
        <f>H645+H653</f>
        <v>650.9258500000001</v>
      </c>
      <c r="I644" s="111">
        <f>I645+I653</f>
        <v>650.9258500000001</v>
      </c>
      <c r="J644" s="111">
        <f>J645+J653</f>
        <v>49270.13148</v>
      </c>
      <c r="K644" s="50"/>
      <c r="M644" s="192">
        <f t="shared" si="111"/>
        <v>99.54293334505083</v>
      </c>
    </row>
    <row r="645" spans="1:13" ht="63">
      <c r="A645" s="79" t="s">
        <v>192</v>
      </c>
      <c r="B645" s="205" t="s">
        <v>318</v>
      </c>
      <c r="C645" s="80" t="s">
        <v>299</v>
      </c>
      <c r="D645" s="80" t="s">
        <v>285</v>
      </c>
      <c r="E645" s="80" t="s">
        <v>59</v>
      </c>
      <c r="F645" s="80" t="s">
        <v>315</v>
      </c>
      <c r="G645" s="111">
        <f aca="true" t="shared" si="113" ref="G645:L645">G646+G648+G650</f>
        <v>48845.437</v>
      </c>
      <c r="H645" s="111">
        <f t="shared" si="113"/>
        <v>0</v>
      </c>
      <c r="I645" s="111">
        <f t="shared" si="113"/>
        <v>0</v>
      </c>
      <c r="J645" s="111">
        <f t="shared" si="113"/>
        <v>48619.20563</v>
      </c>
      <c r="K645" s="111">
        <f t="shared" si="113"/>
        <v>0</v>
      </c>
      <c r="L645" s="111">
        <f t="shared" si="113"/>
        <v>0</v>
      </c>
      <c r="M645" s="192">
        <f t="shared" si="111"/>
        <v>99.53684236666773</v>
      </c>
    </row>
    <row r="646" spans="1:13" ht="94.5">
      <c r="A646" s="79" t="s">
        <v>134</v>
      </c>
      <c r="B646" s="205" t="s">
        <v>318</v>
      </c>
      <c r="C646" s="80" t="s">
        <v>299</v>
      </c>
      <c r="D646" s="80" t="s">
        <v>285</v>
      </c>
      <c r="E646" s="80" t="s">
        <v>59</v>
      </c>
      <c r="F646" s="80" t="s">
        <v>108</v>
      </c>
      <c r="G646" s="32">
        <f aca="true" t="shared" si="114" ref="G646:L646">G647</f>
        <v>41451.337</v>
      </c>
      <c r="H646" s="32">
        <f t="shared" si="114"/>
        <v>0</v>
      </c>
      <c r="I646" s="32">
        <f t="shared" si="114"/>
        <v>0</v>
      </c>
      <c r="J646" s="32">
        <f t="shared" si="114"/>
        <v>41393.57416</v>
      </c>
      <c r="K646" s="32">
        <f t="shared" si="114"/>
        <v>0</v>
      </c>
      <c r="L646" s="32">
        <f t="shared" si="114"/>
        <v>0</v>
      </c>
      <c r="M646" s="192">
        <f t="shared" si="111"/>
        <v>99.86064903045225</v>
      </c>
    </row>
    <row r="647" spans="1:13" ht="31.5">
      <c r="A647" s="79" t="s">
        <v>150</v>
      </c>
      <c r="B647" s="205" t="s">
        <v>318</v>
      </c>
      <c r="C647" s="80" t="s">
        <v>299</v>
      </c>
      <c r="D647" s="80" t="s">
        <v>285</v>
      </c>
      <c r="E647" s="80" t="s">
        <v>59</v>
      </c>
      <c r="F647" s="80" t="s">
        <v>115</v>
      </c>
      <c r="G647" s="22">
        <f>31338.358+103+9464.184-135-40+254.835+76.96+70+319</f>
        <v>41451.337</v>
      </c>
      <c r="J647" s="50">
        <v>41393.57416</v>
      </c>
      <c r="M647" s="192">
        <f t="shared" si="111"/>
        <v>99.86064903045225</v>
      </c>
    </row>
    <row r="648" spans="1:13" ht="31.5">
      <c r="A648" s="79" t="s">
        <v>137</v>
      </c>
      <c r="B648" s="205" t="s">
        <v>318</v>
      </c>
      <c r="C648" s="80" t="s">
        <v>299</v>
      </c>
      <c r="D648" s="80" t="s">
        <v>285</v>
      </c>
      <c r="E648" s="80" t="s">
        <v>59</v>
      </c>
      <c r="F648" s="80" t="s">
        <v>112</v>
      </c>
      <c r="G648" s="22">
        <f>G649</f>
        <v>7314.1</v>
      </c>
      <c r="H648" s="22">
        <f>H649</f>
        <v>0</v>
      </c>
      <c r="I648" s="22">
        <f>I649</f>
        <v>0</v>
      </c>
      <c r="J648" s="22">
        <f>J649</f>
        <v>7162.16647</v>
      </c>
      <c r="M648" s="192">
        <f t="shared" si="111"/>
        <v>97.92273102637371</v>
      </c>
    </row>
    <row r="649" spans="1:13" ht="47.25">
      <c r="A649" s="93" t="s">
        <v>138</v>
      </c>
      <c r="B649" s="94" t="s">
        <v>318</v>
      </c>
      <c r="C649" s="80" t="s">
        <v>299</v>
      </c>
      <c r="D649" s="80" t="s">
        <v>285</v>
      </c>
      <c r="E649" s="80" t="s">
        <v>59</v>
      </c>
      <c r="F649" s="80" t="s">
        <v>139</v>
      </c>
      <c r="G649" s="22">
        <f>7429.1-50-65</f>
        <v>7314.1</v>
      </c>
      <c r="J649" s="50">
        <v>7162.16647</v>
      </c>
      <c r="M649" s="192">
        <f t="shared" si="111"/>
        <v>97.92273102637371</v>
      </c>
    </row>
    <row r="650" spans="1:13" ht="15.75">
      <c r="A650" s="79" t="s">
        <v>142</v>
      </c>
      <c r="B650" s="94" t="s">
        <v>318</v>
      </c>
      <c r="C650" s="80" t="s">
        <v>299</v>
      </c>
      <c r="D650" s="80" t="s">
        <v>285</v>
      </c>
      <c r="E650" s="80" t="s">
        <v>59</v>
      </c>
      <c r="F650" s="80" t="s">
        <v>143</v>
      </c>
      <c r="G650" s="22">
        <f>G651+G652</f>
        <v>80</v>
      </c>
      <c r="H650" s="22">
        <f>H651+H652</f>
        <v>0</v>
      </c>
      <c r="I650" s="22">
        <f>I651+I652</f>
        <v>0</v>
      </c>
      <c r="J650" s="22">
        <f>J651+J652</f>
        <v>63.465</v>
      </c>
      <c r="M650" s="192">
        <f t="shared" si="111"/>
        <v>79.33125000000001</v>
      </c>
    </row>
    <row r="651" spans="1:13" ht="15.75" hidden="1">
      <c r="A651" s="79" t="s">
        <v>146</v>
      </c>
      <c r="B651" s="94" t="s">
        <v>318</v>
      </c>
      <c r="C651" s="80" t="s">
        <v>299</v>
      </c>
      <c r="D651" s="80" t="s">
        <v>285</v>
      </c>
      <c r="E651" s="80" t="s">
        <v>59</v>
      </c>
      <c r="F651" s="80" t="s">
        <v>147</v>
      </c>
      <c r="G651" s="22">
        <v>0</v>
      </c>
      <c r="M651" s="192" t="e">
        <f t="shared" si="111"/>
        <v>#DIV/0!</v>
      </c>
    </row>
    <row r="652" spans="1:13" ht="15.75">
      <c r="A652" s="79" t="s">
        <v>140</v>
      </c>
      <c r="B652" s="94" t="s">
        <v>318</v>
      </c>
      <c r="C652" s="80" t="s">
        <v>299</v>
      </c>
      <c r="D652" s="80" t="s">
        <v>285</v>
      </c>
      <c r="E652" s="80" t="s">
        <v>59</v>
      </c>
      <c r="F652" s="80" t="s">
        <v>141</v>
      </c>
      <c r="G652" s="22">
        <f>30+50</f>
        <v>80</v>
      </c>
      <c r="J652" s="50">
        <v>63.465</v>
      </c>
      <c r="M652" s="192">
        <f t="shared" si="111"/>
        <v>79.33125000000001</v>
      </c>
    </row>
    <row r="653" spans="1:13" ht="63">
      <c r="A653" s="11" t="s">
        <v>712</v>
      </c>
      <c r="B653" s="2" t="s">
        <v>318</v>
      </c>
      <c r="C653" s="3" t="s">
        <v>299</v>
      </c>
      <c r="D653" s="3" t="s">
        <v>285</v>
      </c>
      <c r="E653" s="3" t="s">
        <v>59</v>
      </c>
      <c r="F653" s="3" t="s">
        <v>315</v>
      </c>
      <c r="G653" s="22">
        <f>G654+G656</f>
        <v>650.9258500000001</v>
      </c>
      <c r="H653" s="22">
        <f>H654+H656</f>
        <v>650.9258500000001</v>
      </c>
      <c r="I653" s="22">
        <f>I654+I656</f>
        <v>650.9258500000001</v>
      </c>
      <c r="J653" s="22">
        <f>J654+J656</f>
        <v>650.9258500000001</v>
      </c>
      <c r="M653" s="192">
        <f t="shared" si="111"/>
        <v>100</v>
      </c>
    </row>
    <row r="654" spans="1:13" ht="94.5">
      <c r="A654" s="8" t="s">
        <v>134</v>
      </c>
      <c r="B654" s="2" t="s">
        <v>318</v>
      </c>
      <c r="C654" s="3" t="s">
        <v>299</v>
      </c>
      <c r="D654" s="3" t="s">
        <v>285</v>
      </c>
      <c r="E654" s="3" t="s">
        <v>59</v>
      </c>
      <c r="F654" s="3" t="s">
        <v>108</v>
      </c>
      <c r="G654" s="22">
        <f>G655</f>
        <v>650.9258500000001</v>
      </c>
      <c r="H654" s="22">
        <f>H655</f>
        <v>650.9258500000001</v>
      </c>
      <c r="I654" s="22">
        <f>I655</f>
        <v>650.9258500000001</v>
      </c>
      <c r="J654" s="22">
        <f>J655</f>
        <v>650.9258500000001</v>
      </c>
      <c r="M654" s="192">
        <f t="shared" si="111"/>
        <v>100</v>
      </c>
    </row>
    <row r="655" spans="1:13" ht="31.5">
      <c r="A655" s="8" t="s">
        <v>150</v>
      </c>
      <c r="B655" s="2" t="s">
        <v>318</v>
      </c>
      <c r="C655" s="3" t="s">
        <v>299</v>
      </c>
      <c r="D655" s="3" t="s">
        <v>285</v>
      </c>
      <c r="E655" s="3" t="s">
        <v>59</v>
      </c>
      <c r="F655" s="3" t="s">
        <v>115</v>
      </c>
      <c r="G655" s="22">
        <f>1043.4-(49.09052+14.80254)-328.58109</f>
        <v>650.9258500000001</v>
      </c>
      <c r="H655" s="22">
        <f>1043.4-(49.09052+14.80254)-328.58109</f>
        <v>650.9258500000001</v>
      </c>
      <c r="I655" s="22">
        <f>1043.4-(49.09052+14.80254)-328.58109</f>
        <v>650.9258500000001</v>
      </c>
      <c r="J655" s="22">
        <f>1043.4-(49.09052+14.80254)-328.58109</f>
        <v>650.9258500000001</v>
      </c>
      <c r="M655" s="192">
        <f t="shared" si="111"/>
        <v>100</v>
      </c>
    </row>
    <row r="656" spans="1:13" ht="31.5" hidden="1">
      <c r="A656" s="79" t="s">
        <v>137</v>
      </c>
      <c r="B656" s="94" t="s">
        <v>318</v>
      </c>
      <c r="C656" s="80" t="s">
        <v>299</v>
      </c>
      <c r="D656" s="80" t="s">
        <v>285</v>
      </c>
      <c r="E656" s="80" t="s">
        <v>59</v>
      </c>
      <c r="F656" s="80" t="s">
        <v>112</v>
      </c>
      <c r="G656" s="81">
        <f>G657</f>
        <v>0</v>
      </c>
      <c r="M656" s="192" t="e">
        <f t="shared" si="111"/>
        <v>#DIV/0!</v>
      </c>
    </row>
    <row r="657" spans="1:13" ht="47.25" hidden="1">
      <c r="A657" s="93" t="s">
        <v>138</v>
      </c>
      <c r="B657" s="94" t="s">
        <v>318</v>
      </c>
      <c r="C657" s="80" t="s">
        <v>299</v>
      </c>
      <c r="D657" s="80" t="s">
        <v>285</v>
      </c>
      <c r="E657" s="80" t="s">
        <v>59</v>
      </c>
      <c r="F657" s="80" t="s">
        <v>139</v>
      </c>
      <c r="G657" s="81">
        <v>0</v>
      </c>
      <c r="M657" s="192" t="e">
        <f t="shared" si="111"/>
        <v>#DIV/0!</v>
      </c>
    </row>
    <row r="658" spans="1:13" ht="63">
      <c r="A658" s="82" t="s">
        <v>771</v>
      </c>
      <c r="B658" s="226" t="s">
        <v>318</v>
      </c>
      <c r="C658" s="83" t="s">
        <v>299</v>
      </c>
      <c r="D658" s="83" t="s">
        <v>285</v>
      </c>
      <c r="E658" s="83" t="s">
        <v>61</v>
      </c>
      <c r="F658" s="83" t="s">
        <v>315</v>
      </c>
      <c r="G658" s="84">
        <f>G659+G662</f>
        <v>988</v>
      </c>
      <c r="H658" s="84">
        <f>H659+H662</f>
        <v>0</v>
      </c>
      <c r="I658" s="84">
        <f>I659+I662</f>
        <v>0</v>
      </c>
      <c r="J658" s="84">
        <f>J659+J662</f>
        <v>984.72829</v>
      </c>
      <c r="M658" s="192">
        <f t="shared" si="111"/>
        <v>99.6688552631579</v>
      </c>
    </row>
    <row r="659" spans="1:13" ht="15.75">
      <c r="A659" s="79" t="s">
        <v>308</v>
      </c>
      <c r="B659" s="205" t="s">
        <v>318</v>
      </c>
      <c r="C659" s="80" t="s">
        <v>299</v>
      </c>
      <c r="D659" s="80" t="s">
        <v>285</v>
      </c>
      <c r="E659" s="80" t="s">
        <v>62</v>
      </c>
      <c r="F659" s="80" t="s">
        <v>315</v>
      </c>
      <c r="G659" s="111">
        <f>G660</f>
        <v>543.5</v>
      </c>
      <c r="H659" s="111">
        <f aca="true" t="shared" si="115" ref="H659:J660">H660</f>
        <v>0</v>
      </c>
      <c r="I659" s="111">
        <f t="shared" si="115"/>
        <v>0</v>
      </c>
      <c r="J659" s="111">
        <f t="shared" si="115"/>
        <v>540.26023</v>
      </c>
      <c r="M659" s="192">
        <f t="shared" si="111"/>
        <v>99.40390616375345</v>
      </c>
    </row>
    <row r="660" spans="1:13" ht="31.5">
      <c r="A660" s="79" t="s">
        <v>137</v>
      </c>
      <c r="B660" s="205" t="s">
        <v>318</v>
      </c>
      <c r="C660" s="80" t="s">
        <v>299</v>
      </c>
      <c r="D660" s="80" t="s">
        <v>285</v>
      </c>
      <c r="E660" s="80" t="s">
        <v>62</v>
      </c>
      <c r="F660" s="80" t="s">
        <v>112</v>
      </c>
      <c r="G660" s="111">
        <f>G661</f>
        <v>543.5</v>
      </c>
      <c r="H660" s="111">
        <f t="shared" si="115"/>
        <v>0</v>
      </c>
      <c r="I660" s="111">
        <f t="shared" si="115"/>
        <v>0</v>
      </c>
      <c r="J660" s="111">
        <f t="shared" si="115"/>
        <v>540.26023</v>
      </c>
      <c r="M660" s="192">
        <f t="shared" si="111"/>
        <v>99.40390616375345</v>
      </c>
    </row>
    <row r="661" spans="1:13" ht="47.25">
      <c r="A661" s="93" t="s">
        <v>138</v>
      </c>
      <c r="B661" s="205" t="s">
        <v>318</v>
      </c>
      <c r="C661" s="80" t="s">
        <v>299</v>
      </c>
      <c r="D661" s="80" t="s">
        <v>285</v>
      </c>
      <c r="E661" s="80" t="s">
        <v>63</v>
      </c>
      <c r="F661" s="80" t="s">
        <v>139</v>
      </c>
      <c r="G661" s="22">
        <f>718-74.5-100</f>
        <v>543.5</v>
      </c>
      <c r="J661" s="50">
        <v>540.26023</v>
      </c>
      <c r="M661" s="192">
        <f t="shared" si="111"/>
        <v>99.40390616375345</v>
      </c>
    </row>
    <row r="662" spans="1:13" ht="47.25">
      <c r="A662" s="79" t="s">
        <v>160</v>
      </c>
      <c r="B662" s="205" t="s">
        <v>318</v>
      </c>
      <c r="C662" s="80" t="s">
        <v>299</v>
      </c>
      <c r="D662" s="80" t="s">
        <v>285</v>
      </c>
      <c r="E662" s="80" t="s">
        <v>62</v>
      </c>
      <c r="F662" s="80" t="s">
        <v>161</v>
      </c>
      <c r="G662" s="111">
        <f>G663</f>
        <v>444.5</v>
      </c>
      <c r="H662" s="111">
        <f>H663</f>
        <v>0</v>
      </c>
      <c r="I662" s="111">
        <f>I663</f>
        <v>0</v>
      </c>
      <c r="J662" s="111">
        <f>J663</f>
        <v>444.46806</v>
      </c>
      <c r="M662" s="192">
        <f t="shared" si="111"/>
        <v>99.99281439820022</v>
      </c>
    </row>
    <row r="663" spans="1:13" ht="31.5">
      <c r="A663" s="79" t="s">
        <v>90</v>
      </c>
      <c r="B663" s="205" t="s">
        <v>318</v>
      </c>
      <c r="C663" s="80" t="s">
        <v>299</v>
      </c>
      <c r="D663" s="80" t="s">
        <v>285</v>
      </c>
      <c r="E663" s="80" t="s">
        <v>64</v>
      </c>
      <c r="F663" s="80" t="s">
        <v>220</v>
      </c>
      <c r="G663" s="22">
        <f>270+74.5+100</f>
        <v>444.5</v>
      </c>
      <c r="J663" s="50">
        <v>444.46806</v>
      </c>
      <c r="M663" s="192">
        <f t="shared" si="111"/>
        <v>99.99281439820022</v>
      </c>
    </row>
    <row r="664" spans="1:13" ht="78.75">
      <c r="A664" s="82" t="s">
        <v>675</v>
      </c>
      <c r="B664" s="226" t="s">
        <v>318</v>
      </c>
      <c r="C664" s="83" t="s">
        <v>299</v>
      </c>
      <c r="D664" s="83" t="s">
        <v>285</v>
      </c>
      <c r="E664" s="83" t="s">
        <v>29</v>
      </c>
      <c r="F664" s="83" t="s">
        <v>315</v>
      </c>
      <c r="G664" s="237">
        <f aca="true" t="shared" si="116" ref="G664:L664">G665</f>
        <v>699</v>
      </c>
      <c r="H664" s="237">
        <f t="shared" si="116"/>
        <v>0</v>
      </c>
      <c r="I664" s="237">
        <f t="shared" si="116"/>
        <v>0</v>
      </c>
      <c r="J664" s="237">
        <f t="shared" si="116"/>
        <v>694.762</v>
      </c>
      <c r="K664" s="237">
        <f t="shared" si="116"/>
        <v>0</v>
      </c>
      <c r="L664" s="237">
        <f t="shared" si="116"/>
        <v>0</v>
      </c>
      <c r="M664" s="192">
        <f t="shared" si="111"/>
        <v>99.3937052932761</v>
      </c>
    </row>
    <row r="665" spans="1:13" ht="15.75">
      <c r="A665" s="79" t="s">
        <v>308</v>
      </c>
      <c r="B665" s="205" t="s">
        <v>318</v>
      </c>
      <c r="C665" s="80" t="s">
        <v>299</v>
      </c>
      <c r="D665" s="80" t="s">
        <v>285</v>
      </c>
      <c r="E665" s="80" t="s">
        <v>30</v>
      </c>
      <c r="F665" s="80" t="s">
        <v>315</v>
      </c>
      <c r="G665" s="111">
        <f>G666+G668</f>
        <v>699</v>
      </c>
      <c r="H665" s="111">
        <f>H666+H668</f>
        <v>0</v>
      </c>
      <c r="I665" s="111">
        <f>I666+I668</f>
        <v>0</v>
      </c>
      <c r="J665" s="111">
        <f>J666+J668</f>
        <v>694.762</v>
      </c>
      <c r="M665" s="192">
        <f t="shared" si="111"/>
        <v>99.3937052932761</v>
      </c>
    </row>
    <row r="666" spans="1:13" ht="31.5">
      <c r="A666" s="79" t="s">
        <v>137</v>
      </c>
      <c r="B666" s="205" t="s">
        <v>318</v>
      </c>
      <c r="C666" s="80" t="s">
        <v>299</v>
      </c>
      <c r="D666" s="80" t="s">
        <v>285</v>
      </c>
      <c r="E666" s="80" t="s">
        <v>65</v>
      </c>
      <c r="F666" s="80" t="s">
        <v>112</v>
      </c>
      <c r="G666" s="111">
        <f>G667</f>
        <v>2</v>
      </c>
      <c r="H666" s="111">
        <f>H667</f>
        <v>0</v>
      </c>
      <c r="I666" s="111">
        <f>I667</f>
        <v>0</v>
      </c>
      <c r="J666" s="111">
        <f>J667</f>
        <v>2</v>
      </c>
      <c r="M666" s="192">
        <f t="shared" si="111"/>
        <v>100</v>
      </c>
    </row>
    <row r="667" spans="1:13" ht="47.25">
      <c r="A667" s="93" t="s">
        <v>138</v>
      </c>
      <c r="B667" s="205" t="s">
        <v>318</v>
      </c>
      <c r="C667" s="80" t="s">
        <v>299</v>
      </c>
      <c r="D667" s="80" t="s">
        <v>285</v>
      </c>
      <c r="E667" s="3" t="s">
        <v>65</v>
      </c>
      <c r="F667" s="3" t="s">
        <v>139</v>
      </c>
      <c r="G667" s="32">
        <v>2</v>
      </c>
      <c r="J667" s="50">
        <v>2</v>
      </c>
      <c r="M667" s="192">
        <f t="shared" si="111"/>
        <v>100</v>
      </c>
    </row>
    <row r="668" spans="1:13" ht="47.25">
      <c r="A668" s="79" t="s">
        <v>160</v>
      </c>
      <c r="B668" s="205" t="s">
        <v>318</v>
      </c>
      <c r="C668" s="80" t="s">
        <v>299</v>
      </c>
      <c r="D668" s="80" t="s">
        <v>285</v>
      </c>
      <c r="E668" s="3" t="s">
        <v>65</v>
      </c>
      <c r="F668" s="246" t="s">
        <v>161</v>
      </c>
      <c r="G668" s="32">
        <f>G669</f>
        <v>697</v>
      </c>
      <c r="H668" s="32">
        <f>H669</f>
        <v>0</v>
      </c>
      <c r="I668" s="32">
        <f>I669</f>
        <v>0</v>
      </c>
      <c r="J668" s="32">
        <f>J669</f>
        <v>692.762</v>
      </c>
      <c r="M668" s="192">
        <f t="shared" si="111"/>
        <v>99.39196556671448</v>
      </c>
    </row>
    <row r="669" spans="1:13" ht="15.75">
      <c r="A669" s="79" t="s">
        <v>162</v>
      </c>
      <c r="B669" s="205" t="s">
        <v>318</v>
      </c>
      <c r="C669" s="80" t="s">
        <v>299</v>
      </c>
      <c r="D669" s="80" t="s">
        <v>285</v>
      </c>
      <c r="E669" s="3" t="s">
        <v>65</v>
      </c>
      <c r="F669" s="246" t="s">
        <v>220</v>
      </c>
      <c r="G669" s="32">
        <v>697</v>
      </c>
      <c r="J669" s="50">
        <v>692.762</v>
      </c>
      <c r="M669" s="192">
        <f t="shared" si="111"/>
        <v>99.39196556671448</v>
      </c>
    </row>
    <row r="670" spans="1:13" ht="94.5">
      <c r="A670" s="95" t="s">
        <v>687</v>
      </c>
      <c r="B670" s="112" t="s">
        <v>318</v>
      </c>
      <c r="C670" s="83" t="s">
        <v>299</v>
      </c>
      <c r="D670" s="83" t="s">
        <v>285</v>
      </c>
      <c r="E670" s="83" t="s">
        <v>243</v>
      </c>
      <c r="F670" s="83" t="s">
        <v>315</v>
      </c>
      <c r="G670" s="23">
        <f>G671+G673</f>
        <v>779.481</v>
      </c>
      <c r="H670" s="23">
        <f>H671+H673</f>
        <v>0</v>
      </c>
      <c r="I670" s="23">
        <f>I671+I673</f>
        <v>0</v>
      </c>
      <c r="J670" s="23">
        <f>J671+J673</f>
        <v>711.78</v>
      </c>
      <c r="M670" s="192">
        <f t="shared" si="111"/>
        <v>91.31460548749745</v>
      </c>
    </row>
    <row r="671" spans="1:13" ht="31.5" hidden="1">
      <c r="A671" s="79" t="s">
        <v>137</v>
      </c>
      <c r="B671" s="94" t="s">
        <v>318</v>
      </c>
      <c r="C671" s="80" t="s">
        <v>299</v>
      </c>
      <c r="D671" s="80" t="s">
        <v>285</v>
      </c>
      <c r="E671" s="80" t="s">
        <v>549</v>
      </c>
      <c r="F671" s="80" t="s">
        <v>112</v>
      </c>
      <c r="G671" s="22">
        <f>G672</f>
        <v>0</v>
      </c>
      <c r="M671" s="192" t="e">
        <f t="shared" si="111"/>
        <v>#DIV/0!</v>
      </c>
    </row>
    <row r="672" spans="1:13" ht="47.25" hidden="1">
      <c r="A672" s="93" t="s">
        <v>138</v>
      </c>
      <c r="B672" s="94" t="s">
        <v>318</v>
      </c>
      <c r="C672" s="80" t="s">
        <v>299</v>
      </c>
      <c r="D672" s="80" t="s">
        <v>285</v>
      </c>
      <c r="E672" s="80" t="s">
        <v>549</v>
      </c>
      <c r="F672" s="80" t="s">
        <v>139</v>
      </c>
      <c r="G672" s="22">
        <v>0</v>
      </c>
      <c r="M672" s="192" t="e">
        <f t="shared" si="111"/>
        <v>#DIV/0!</v>
      </c>
    </row>
    <row r="673" spans="1:13" ht="47.25">
      <c r="A673" s="79" t="s">
        <v>160</v>
      </c>
      <c r="B673" s="205" t="s">
        <v>318</v>
      </c>
      <c r="C673" s="210" t="s">
        <v>299</v>
      </c>
      <c r="D673" s="210" t="s">
        <v>285</v>
      </c>
      <c r="E673" s="80" t="s">
        <v>385</v>
      </c>
      <c r="F673" s="80" t="s">
        <v>161</v>
      </c>
      <c r="G673" s="32">
        <f aca="true" t="shared" si="117" ref="G673:L673">G674</f>
        <v>779.481</v>
      </c>
      <c r="H673" s="32">
        <f t="shared" si="117"/>
        <v>0</v>
      </c>
      <c r="I673" s="32">
        <f t="shared" si="117"/>
        <v>0</v>
      </c>
      <c r="J673" s="32">
        <f t="shared" si="117"/>
        <v>711.78</v>
      </c>
      <c r="K673" s="32">
        <f t="shared" si="117"/>
        <v>0</v>
      </c>
      <c r="L673" s="32">
        <f t="shared" si="117"/>
        <v>0</v>
      </c>
      <c r="M673" s="192">
        <f t="shared" si="111"/>
        <v>91.31460548749745</v>
      </c>
    </row>
    <row r="674" spans="1:13" ht="31.5">
      <c r="A674" s="79" t="s">
        <v>90</v>
      </c>
      <c r="B674" s="205" t="s">
        <v>318</v>
      </c>
      <c r="C674" s="210" t="s">
        <v>299</v>
      </c>
      <c r="D674" s="210" t="s">
        <v>285</v>
      </c>
      <c r="E674" s="80" t="s">
        <v>385</v>
      </c>
      <c r="F674" s="80" t="s">
        <v>220</v>
      </c>
      <c r="G674" s="32">
        <f>768+11.481</f>
        <v>779.481</v>
      </c>
      <c r="J674" s="50">
        <v>711.78</v>
      </c>
      <c r="M674" s="192">
        <f t="shared" si="111"/>
        <v>91.31460548749745</v>
      </c>
    </row>
    <row r="675" spans="1:13" ht="47.25">
      <c r="A675" s="247" t="s">
        <v>106</v>
      </c>
      <c r="B675" s="228" t="s">
        <v>318</v>
      </c>
      <c r="C675" s="246" t="s">
        <v>299</v>
      </c>
      <c r="D675" s="246" t="s">
        <v>285</v>
      </c>
      <c r="E675" s="246" t="s">
        <v>7</v>
      </c>
      <c r="F675" s="246" t="s">
        <v>315</v>
      </c>
      <c r="G675" s="32">
        <f>G676</f>
        <v>100</v>
      </c>
      <c r="H675" s="32">
        <f aca="true" t="shared" si="118" ref="H675:J678">H676</f>
        <v>0</v>
      </c>
      <c r="I675" s="32">
        <f t="shared" si="118"/>
        <v>0</v>
      </c>
      <c r="J675" s="32">
        <f t="shared" si="118"/>
        <v>100</v>
      </c>
      <c r="M675" s="192">
        <f t="shared" si="111"/>
        <v>100</v>
      </c>
    </row>
    <row r="676" spans="1:13" ht="47.25">
      <c r="A676" s="248" t="s">
        <v>107</v>
      </c>
      <c r="B676" s="228" t="s">
        <v>318</v>
      </c>
      <c r="C676" s="246" t="s">
        <v>299</v>
      </c>
      <c r="D676" s="246" t="s">
        <v>285</v>
      </c>
      <c r="E676" s="246" t="s">
        <v>8</v>
      </c>
      <c r="F676" s="246" t="s">
        <v>315</v>
      </c>
      <c r="G676" s="32">
        <f>G677</f>
        <v>100</v>
      </c>
      <c r="H676" s="32">
        <f t="shared" si="118"/>
        <v>0</v>
      </c>
      <c r="I676" s="32">
        <f t="shared" si="118"/>
        <v>0</v>
      </c>
      <c r="J676" s="32">
        <f t="shared" si="118"/>
        <v>100</v>
      </c>
      <c r="M676" s="192">
        <f t="shared" si="111"/>
        <v>100</v>
      </c>
    </row>
    <row r="677" spans="1:13" ht="15.75">
      <c r="A677" s="249" t="s">
        <v>547</v>
      </c>
      <c r="B677" s="228" t="s">
        <v>318</v>
      </c>
      <c r="C677" s="246" t="s">
        <v>299</v>
      </c>
      <c r="D677" s="246" t="s">
        <v>285</v>
      </c>
      <c r="E677" s="246" t="s">
        <v>548</v>
      </c>
      <c r="F677" s="246" t="s">
        <v>315</v>
      </c>
      <c r="G677" s="32">
        <f>G678</f>
        <v>100</v>
      </c>
      <c r="H677" s="32">
        <f t="shared" si="118"/>
        <v>0</v>
      </c>
      <c r="I677" s="32">
        <f t="shared" si="118"/>
        <v>0</v>
      </c>
      <c r="J677" s="32">
        <f t="shared" si="118"/>
        <v>100</v>
      </c>
      <c r="M677" s="192">
        <f t="shared" si="111"/>
        <v>100</v>
      </c>
    </row>
    <row r="678" spans="1:13" ht="31.5">
      <c r="A678" s="248" t="s">
        <v>137</v>
      </c>
      <c r="B678" s="228" t="s">
        <v>318</v>
      </c>
      <c r="C678" s="246" t="s">
        <v>299</v>
      </c>
      <c r="D678" s="246" t="s">
        <v>285</v>
      </c>
      <c r="E678" s="246" t="s">
        <v>548</v>
      </c>
      <c r="F678" s="246" t="s">
        <v>112</v>
      </c>
      <c r="G678" s="32">
        <f>G679</f>
        <v>100</v>
      </c>
      <c r="H678" s="32">
        <f t="shared" si="118"/>
        <v>0</v>
      </c>
      <c r="I678" s="32">
        <f t="shared" si="118"/>
        <v>0</v>
      </c>
      <c r="J678" s="32">
        <f t="shared" si="118"/>
        <v>100</v>
      </c>
      <c r="M678" s="192">
        <f t="shared" si="111"/>
        <v>100</v>
      </c>
    </row>
    <row r="679" spans="1:13" ht="47.25">
      <c r="A679" s="249" t="s">
        <v>138</v>
      </c>
      <c r="B679" s="228" t="s">
        <v>318</v>
      </c>
      <c r="C679" s="246" t="s">
        <v>299</v>
      </c>
      <c r="D679" s="246" t="s">
        <v>285</v>
      </c>
      <c r="E679" s="246" t="s">
        <v>548</v>
      </c>
      <c r="F679" s="246" t="s">
        <v>139</v>
      </c>
      <c r="G679" s="32">
        <f>40+60</f>
        <v>100</v>
      </c>
      <c r="J679" s="50">
        <v>100</v>
      </c>
      <c r="M679" s="192">
        <f t="shared" si="111"/>
        <v>100</v>
      </c>
    </row>
    <row r="680" spans="1:13" ht="15.75">
      <c r="A680" s="76" t="s">
        <v>166</v>
      </c>
      <c r="B680" s="187" t="s">
        <v>318</v>
      </c>
      <c r="C680" s="77" t="s">
        <v>167</v>
      </c>
      <c r="D680" s="77" t="s">
        <v>104</v>
      </c>
      <c r="E680" s="77" t="s">
        <v>243</v>
      </c>
      <c r="F680" s="77" t="s">
        <v>315</v>
      </c>
      <c r="G680" s="219">
        <f>G681+G685</f>
        <v>4109.27202</v>
      </c>
      <c r="H680" s="219">
        <f>H681+H685</f>
        <v>3174.611000000001</v>
      </c>
      <c r="I680" s="219">
        <f>I681+I685</f>
        <v>3174.611000000001</v>
      </c>
      <c r="J680" s="219">
        <f>J681+J685</f>
        <v>3561.9205</v>
      </c>
      <c r="M680" s="322">
        <f aca="true" t="shared" si="119" ref="M680:M733">J680/G680*100</f>
        <v>86.68008549115227</v>
      </c>
    </row>
    <row r="681" spans="1:13" ht="15.75">
      <c r="A681" s="178" t="s">
        <v>438</v>
      </c>
      <c r="B681" s="193" t="s">
        <v>318</v>
      </c>
      <c r="C681" s="194" t="s">
        <v>167</v>
      </c>
      <c r="D681" s="194" t="s">
        <v>110</v>
      </c>
      <c r="E681" s="194" t="s">
        <v>243</v>
      </c>
      <c r="F681" s="194" t="s">
        <v>315</v>
      </c>
      <c r="G681" s="173">
        <f>G682</f>
        <v>240</v>
      </c>
      <c r="H681" s="173">
        <f aca="true" t="shared" si="120" ref="H681:J683">H682</f>
        <v>0</v>
      </c>
      <c r="I681" s="173">
        <f t="shared" si="120"/>
        <v>0</v>
      </c>
      <c r="J681" s="173">
        <f t="shared" si="120"/>
        <v>200</v>
      </c>
      <c r="M681" s="263">
        <f t="shared" si="119"/>
        <v>83.33333333333334</v>
      </c>
    </row>
    <row r="682" spans="1:13" ht="94.5">
      <c r="A682" s="82" t="s">
        <v>439</v>
      </c>
      <c r="B682" s="94" t="s">
        <v>318</v>
      </c>
      <c r="C682" s="80" t="s">
        <v>167</v>
      </c>
      <c r="D682" s="80" t="s">
        <v>110</v>
      </c>
      <c r="E682" s="83" t="s">
        <v>39</v>
      </c>
      <c r="F682" s="83" t="s">
        <v>315</v>
      </c>
      <c r="G682" s="84">
        <f>G683</f>
        <v>240</v>
      </c>
      <c r="H682" s="84">
        <f t="shared" si="120"/>
        <v>0</v>
      </c>
      <c r="I682" s="84">
        <f t="shared" si="120"/>
        <v>0</v>
      </c>
      <c r="J682" s="84">
        <f t="shared" si="120"/>
        <v>200</v>
      </c>
      <c r="M682" s="192">
        <f t="shared" si="119"/>
        <v>83.33333333333334</v>
      </c>
    </row>
    <row r="683" spans="1:13" ht="31.5">
      <c r="A683" s="79" t="s">
        <v>151</v>
      </c>
      <c r="B683" s="94" t="s">
        <v>318</v>
      </c>
      <c r="C683" s="80" t="s">
        <v>167</v>
      </c>
      <c r="D683" s="80" t="s">
        <v>110</v>
      </c>
      <c r="E683" s="80" t="s">
        <v>558</v>
      </c>
      <c r="F683" s="80" t="s">
        <v>113</v>
      </c>
      <c r="G683" s="81">
        <f>G684</f>
        <v>240</v>
      </c>
      <c r="H683" s="81">
        <f t="shared" si="120"/>
        <v>0</v>
      </c>
      <c r="I683" s="81">
        <f t="shared" si="120"/>
        <v>0</v>
      </c>
      <c r="J683" s="81">
        <f t="shared" si="120"/>
        <v>200</v>
      </c>
      <c r="M683" s="192">
        <f t="shared" si="119"/>
        <v>83.33333333333334</v>
      </c>
    </row>
    <row r="684" spans="1:13" ht="47.25">
      <c r="A684" s="79" t="s">
        <v>154</v>
      </c>
      <c r="B684" s="94" t="s">
        <v>318</v>
      </c>
      <c r="C684" s="80" t="s">
        <v>167</v>
      </c>
      <c r="D684" s="80" t="s">
        <v>110</v>
      </c>
      <c r="E684" s="80" t="s">
        <v>558</v>
      </c>
      <c r="F684" s="80" t="s">
        <v>155</v>
      </c>
      <c r="G684" s="22">
        <f>1840-1600</f>
        <v>240</v>
      </c>
      <c r="J684" s="50">
        <v>200</v>
      </c>
      <c r="M684" s="192">
        <f t="shared" si="119"/>
        <v>83.33333333333334</v>
      </c>
    </row>
    <row r="685" spans="1:13" ht="15.75">
      <c r="A685" s="178" t="s">
        <v>309</v>
      </c>
      <c r="B685" s="193" t="s">
        <v>318</v>
      </c>
      <c r="C685" s="194" t="s">
        <v>167</v>
      </c>
      <c r="D685" s="194" t="s">
        <v>114</v>
      </c>
      <c r="E685" s="194" t="s">
        <v>243</v>
      </c>
      <c r="F685" s="194" t="s">
        <v>315</v>
      </c>
      <c r="G685" s="173">
        <f>G686+G694</f>
        <v>3869.272020000001</v>
      </c>
      <c r="H685" s="173">
        <f>H686+H694</f>
        <v>3174.611000000001</v>
      </c>
      <c r="I685" s="173">
        <f>I686+I694</f>
        <v>3174.611000000001</v>
      </c>
      <c r="J685" s="173">
        <f>J686+J694</f>
        <v>3361.9205</v>
      </c>
      <c r="M685" s="263">
        <f t="shared" si="119"/>
        <v>86.8876750619358</v>
      </c>
    </row>
    <row r="686" spans="1:13" ht="47.25">
      <c r="A686" s="82" t="s">
        <v>673</v>
      </c>
      <c r="B686" s="226" t="s">
        <v>318</v>
      </c>
      <c r="C686" s="83" t="s">
        <v>167</v>
      </c>
      <c r="D686" s="83" t="s">
        <v>104</v>
      </c>
      <c r="E686" s="83" t="s">
        <v>22</v>
      </c>
      <c r="F686" s="83" t="s">
        <v>315</v>
      </c>
      <c r="G686" s="111">
        <f aca="true" t="shared" si="121" ref="G686:L686">G690+G687</f>
        <v>3540.011000000001</v>
      </c>
      <c r="H686" s="111">
        <f t="shared" si="121"/>
        <v>3174.611000000001</v>
      </c>
      <c r="I686" s="111">
        <f t="shared" si="121"/>
        <v>3174.611000000001</v>
      </c>
      <c r="J686" s="111">
        <f t="shared" si="121"/>
        <v>3033.1205</v>
      </c>
      <c r="K686" s="111">
        <f t="shared" si="121"/>
        <v>0</v>
      </c>
      <c r="L686" s="111">
        <f t="shared" si="121"/>
        <v>0</v>
      </c>
      <c r="M686" s="192">
        <f t="shared" si="119"/>
        <v>85.68110381577908</v>
      </c>
    </row>
    <row r="687" spans="1:13" ht="63">
      <c r="A687" s="101" t="s">
        <v>196</v>
      </c>
      <c r="B687" s="205" t="s">
        <v>318</v>
      </c>
      <c r="C687" s="80" t="s">
        <v>167</v>
      </c>
      <c r="D687" s="80" t="s">
        <v>114</v>
      </c>
      <c r="E687" s="83" t="s">
        <v>427</v>
      </c>
      <c r="F687" s="83" t="s">
        <v>315</v>
      </c>
      <c r="G687" s="111">
        <f>G688</f>
        <v>365.4</v>
      </c>
      <c r="H687" s="111">
        <f aca="true" t="shared" si="122" ref="H687:L688">H688</f>
        <v>0</v>
      </c>
      <c r="I687" s="111">
        <f t="shared" si="122"/>
        <v>0</v>
      </c>
      <c r="J687" s="111">
        <f t="shared" si="122"/>
        <v>131.88</v>
      </c>
      <c r="K687" s="111">
        <f t="shared" si="122"/>
        <v>0</v>
      </c>
      <c r="L687" s="111">
        <f t="shared" si="122"/>
        <v>0</v>
      </c>
      <c r="M687" s="192">
        <f t="shared" si="119"/>
        <v>36.09195402298851</v>
      </c>
    </row>
    <row r="688" spans="1:13" ht="126">
      <c r="A688" s="82" t="s">
        <v>458</v>
      </c>
      <c r="B688" s="205" t="s">
        <v>318</v>
      </c>
      <c r="C688" s="80" t="s">
        <v>167</v>
      </c>
      <c r="D688" s="80" t="s">
        <v>114</v>
      </c>
      <c r="E688" s="83" t="s">
        <v>427</v>
      </c>
      <c r="F688" s="83" t="s">
        <v>113</v>
      </c>
      <c r="G688" s="111">
        <f>G689</f>
        <v>365.4</v>
      </c>
      <c r="H688" s="111">
        <f t="shared" si="122"/>
        <v>0</v>
      </c>
      <c r="I688" s="111">
        <f t="shared" si="122"/>
        <v>0</v>
      </c>
      <c r="J688" s="111">
        <f t="shared" si="122"/>
        <v>131.88</v>
      </c>
      <c r="M688" s="192">
        <f t="shared" si="119"/>
        <v>36.09195402298851</v>
      </c>
    </row>
    <row r="689" spans="1:13" ht="47.25">
      <c r="A689" s="8" t="s">
        <v>154</v>
      </c>
      <c r="B689" s="228" t="s">
        <v>318</v>
      </c>
      <c r="C689" s="3" t="s">
        <v>167</v>
      </c>
      <c r="D689" s="3" t="s">
        <v>114</v>
      </c>
      <c r="E689" s="9" t="s">
        <v>427</v>
      </c>
      <c r="F689" s="9" t="s">
        <v>155</v>
      </c>
      <c r="G689" s="32">
        <v>365.4</v>
      </c>
      <c r="J689" s="50">
        <v>131.88</v>
      </c>
      <c r="M689" s="192">
        <f t="shared" si="119"/>
        <v>36.09195402298851</v>
      </c>
    </row>
    <row r="690" spans="1:13" ht="47.25">
      <c r="A690" s="101" t="s">
        <v>193</v>
      </c>
      <c r="B690" s="205" t="s">
        <v>318</v>
      </c>
      <c r="C690" s="80" t="s">
        <v>167</v>
      </c>
      <c r="D690" s="80" t="s">
        <v>114</v>
      </c>
      <c r="E690" s="80" t="s">
        <v>34</v>
      </c>
      <c r="F690" s="80" t="s">
        <v>315</v>
      </c>
      <c r="G690" s="111">
        <f aca="true" t="shared" si="123" ref="G690:L690">G691</f>
        <v>3174.611000000001</v>
      </c>
      <c r="H690" s="111">
        <f t="shared" si="123"/>
        <v>3174.611000000001</v>
      </c>
      <c r="I690" s="111">
        <f t="shared" si="123"/>
        <v>3174.611000000001</v>
      </c>
      <c r="J690" s="111">
        <f t="shared" si="123"/>
        <v>2901.2405</v>
      </c>
      <c r="K690" s="111">
        <f t="shared" si="123"/>
        <v>0</v>
      </c>
      <c r="L690" s="111">
        <f t="shared" si="123"/>
        <v>0</v>
      </c>
      <c r="M690" s="192">
        <f t="shared" si="119"/>
        <v>91.38885047648355</v>
      </c>
    </row>
    <row r="691" spans="1:13" ht="94.5">
      <c r="A691" s="79" t="s">
        <v>169</v>
      </c>
      <c r="B691" s="94" t="s">
        <v>318</v>
      </c>
      <c r="C691" s="80" t="s">
        <v>167</v>
      </c>
      <c r="D691" s="80" t="s">
        <v>114</v>
      </c>
      <c r="E691" s="80" t="s">
        <v>80</v>
      </c>
      <c r="F691" s="80" t="s">
        <v>315</v>
      </c>
      <c r="G691" s="81">
        <f>G693+G692</f>
        <v>3174.611000000001</v>
      </c>
      <c r="H691" s="81">
        <f>H693+H692</f>
        <v>3174.611000000001</v>
      </c>
      <c r="I691" s="81">
        <f>I693+I692</f>
        <v>3174.611000000001</v>
      </c>
      <c r="J691" s="81">
        <f>J693+J692</f>
        <v>2901.2405</v>
      </c>
      <c r="M691" s="192">
        <f t="shared" si="119"/>
        <v>91.38885047648355</v>
      </c>
    </row>
    <row r="692" spans="1:13" ht="47.25">
      <c r="A692" s="93" t="s">
        <v>138</v>
      </c>
      <c r="B692" s="94" t="s">
        <v>318</v>
      </c>
      <c r="C692" s="80" t="s">
        <v>167</v>
      </c>
      <c r="D692" s="80" t="s">
        <v>114</v>
      </c>
      <c r="E692" s="80" t="s">
        <v>80</v>
      </c>
      <c r="F692" s="80" t="s">
        <v>139</v>
      </c>
      <c r="G692" s="22">
        <f>99.35483-29.23566-20</f>
        <v>50.11917000000001</v>
      </c>
      <c r="H692" s="22">
        <f>99.35483-29.23566-20</f>
        <v>50.11917000000001</v>
      </c>
      <c r="I692" s="22">
        <f>99.35483-29.23566-20</f>
        <v>50.11917000000001</v>
      </c>
      <c r="J692" s="22">
        <v>43.52409</v>
      </c>
      <c r="M692" s="192">
        <f t="shared" si="119"/>
        <v>86.84120267753835</v>
      </c>
    </row>
    <row r="693" spans="1:13" ht="31.5">
      <c r="A693" s="190" t="s">
        <v>152</v>
      </c>
      <c r="B693" s="94" t="s">
        <v>318</v>
      </c>
      <c r="C693" s="80" t="s">
        <v>167</v>
      </c>
      <c r="D693" s="80" t="s">
        <v>114</v>
      </c>
      <c r="E693" s="80" t="s">
        <v>80</v>
      </c>
      <c r="F693" s="250">
        <v>310</v>
      </c>
      <c r="G693" s="22">
        <f>6524.30017-1919.80834-1480</f>
        <v>3124.491830000001</v>
      </c>
      <c r="H693" s="22">
        <f>6524.30017-1919.80834-1480</f>
        <v>3124.491830000001</v>
      </c>
      <c r="I693" s="22">
        <f>6524.30017-1919.80834-1480</f>
        <v>3124.491830000001</v>
      </c>
      <c r="J693" s="22">
        <v>2857.71641</v>
      </c>
      <c r="M693" s="192">
        <f t="shared" si="119"/>
        <v>91.46179812542506</v>
      </c>
    </row>
    <row r="694" spans="1:13" ht="47.25">
      <c r="A694" s="82" t="s">
        <v>698</v>
      </c>
      <c r="B694" s="94" t="s">
        <v>318</v>
      </c>
      <c r="C694" s="80" t="s">
        <v>167</v>
      </c>
      <c r="D694" s="80" t="s">
        <v>114</v>
      </c>
      <c r="E694" s="83" t="s">
        <v>22</v>
      </c>
      <c r="F694" s="83" t="s">
        <v>315</v>
      </c>
      <c r="G694" s="22">
        <f>G695</f>
        <v>329.26102</v>
      </c>
      <c r="H694" s="22">
        <f aca="true" t="shared" si="124" ref="H694:L697">H695</f>
        <v>0</v>
      </c>
      <c r="I694" s="22">
        <f t="shared" si="124"/>
        <v>0</v>
      </c>
      <c r="J694" s="22">
        <f t="shared" si="124"/>
        <v>328.8</v>
      </c>
      <c r="K694" s="22">
        <f t="shared" si="124"/>
        <v>0</v>
      </c>
      <c r="L694" s="22">
        <f t="shared" si="124"/>
        <v>0</v>
      </c>
      <c r="M694" s="192">
        <f t="shared" si="119"/>
        <v>99.85998342591542</v>
      </c>
    </row>
    <row r="695" spans="1:13" ht="31.5">
      <c r="A695" s="101" t="s">
        <v>350</v>
      </c>
      <c r="B695" s="94" t="s">
        <v>318</v>
      </c>
      <c r="C695" s="80" t="s">
        <v>167</v>
      </c>
      <c r="D695" s="80" t="s">
        <v>114</v>
      </c>
      <c r="E695" s="80" t="s">
        <v>56</v>
      </c>
      <c r="F695" s="80" t="s">
        <v>315</v>
      </c>
      <c r="G695" s="81">
        <f>G696</f>
        <v>329.26102</v>
      </c>
      <c r="H695" s="81">
        <f t="shared" si="124"/>
        <v>0</v>
      </c>
      <c r="I695" s="81">
        <f t="shared" si="124"/>
        <v>0</v>
      </c>
      <c r="J695" s="81">
        <f t="shared" si="124"/>
        <v>328.8</v>
      </c>
      <c r="K695" s="81">
        <f t="shared" si="124"/>
        <v>0</v>
      </c>
      <c r="L695" s="81">
        <f t="shared" si="124"/>
        <v>0</v>
      </c>
      <c r="M695" s="192">
        <f t="shared" si="119"/>
        <v>99.85998342591542</v>
      </c>
    </row>
    <row r="696" spans="1:13" ht="78.75">
      <c r="A696" s="103" t="s">
        <v>503</v>
      </c>
      <c r="B696" s="241" t="s">
        <v>318</v>
      </c>
      <c r="C696" s="97" t="s">
        <v>167</v>
      </c>
      <c r="D696" s="97" t="s">
        <v>114</v>
      </c>
      <c r="E696" s="97" t="s">
        <v>56</v>
      </c>
      <c r="F696" s="97" t="s">
        <v>315</v>
      </c>
      <c r="G696" s="242">
        <f>G697</f>
        <v>329.26102</v>
      </c>
      <c r="H696" s="242">
        <f t="shared" si="124"/>
        <v>0</v>
      </c>
      <c r="I696" s="242">
        <f t="shared" si="124"/>
        <v>0</v>
      </c>
      <c r="J696" s="242">
        <f t="shared" si="124"/>
        <v>328.8</v>
      </c>
      <c r="M696" s="192">
        <f t="shared" si="119"/>
        <v>99.85998342591542</v>
      </c>
    </row>
    <row r="697" spans="1:13" ht="31.5">
      <c r="A697" s="93" t="s">
        <v>151</v>
      </c>
      <c r="B697" s="205" t="s">
        <v>318</v>
      </c>
      <c r="C697" s="80" t="s">
        <v>167</v>
      </c>
      <c r="D697" s="80" t="s">
        <v>114</v>
      </c>
      <c r="E697" s="80" t="s">
        <v>57</v>
      </c>
      <c r="F697" s="80" t="s">
        <v>113</v>
      </c>
      <c r="G697" s="111">
        <f>G698</f>
        <v>329.26102</v>
      </c>
      <c r="H697" s="111">
        <f t="shared" si="124"/>
        <v>0</v>
      </c>
      <c r="I697" s="111">
        <f t="shared" si="124"/>
        <v>0</v>
      </c>
      <c r="J697" s="111">
        <f t="shared" si="124"/>
        <v>328.8</v>
      </c>
      <c r="K697" s="111">
        <f>K698</f>
        <v>0</v>
      </c>
      <c r="L697" s="111">
        <f>L698</f>
        <v>0</v>
      </c>
      <c r="M697" s="192">
        <f t="shared" si="119"/>
        <v>99.85998342591542</v>
      </c>
    </row>
    <row r="698" spans="1:13" ht="31.5">
      <c r="A698" s="93" t="s">
        <v>152</v>
      </c>
      <c r="B698" s="94" t="s">
        <v>318</v>
      </c>
      <c r="C698" s="80" t="s">
        <v>167</v>
      </c>
      <c r="D698" s="80" t="s">
        <v>114</v>
      </c>
      <c r="E698" s="80" t="s">
        <v>57</v>
      </c>
      <c r="F698" s="80" t="s">
        <v>153</v>
      </c>
      <c r="G698" s="22">
        <v>329.26102</v>
      </c>
      <c r="J698" s="50">
        <v>328.8</v>
      </c>
      <c r="M698" s="192">
        <f t="shared" si="119"/>
        <v>99.85998342591542</v>
      </c>
    </row>
    <row r="699" spans="1:13" ht="15.75">
      <c r="A699" s="76" t="s">
        <v>170</v>
      </c>
      <c r="B699" s="212" t="s">
        <v>318</v>
      </c>
      <c r="C699" s="77" t="s">
        <v>120</v>
      </c>
      <c r="D699" s="77" t="s">
        <v>104</v>
      </c>
      <c r="E699" s="77" t="s">
        <v>243</v>
      </c>
      <c r="F699" s="77" t="s">
        <v>315</v>
      </c>
      <c r="G699" s="78">
        <f>G700</f>
        <v>297.6368</v>
      </c>
      <c r="H699" s="78">
        <f aca="true" t="shared" si="125" ref="H699:J700">H700</f>
        <v>0</v>
      </c>
      <c r="I699" s="78">
        <f t="shared" si="125"/>
        <v>0</v>
      </c>
      <c r="J699" s="78">
        <f t="shared" si="125"/>
        <v>297.0848</v>
      </c>
      <c r="M699" s="322">
        <f t="shared" si="119"/>
        <v>99.814539062374</v>
      </c>
    </row>
    <row r="700" spans="1:13" ht="15.75">
      <c r="A700" s="79" t="s">
        <v>260</v>
      </c>
      <c r="B700" s="94" t="s">
        <v>318</v>
      </c>
      <c r="C700" s="80" t="s">
        <v>120</v>
      </c>
      <c r="D700" s="80" t="s">
        <v>105</v>
      </c>
      <c r="E700" s="80" t="s">
        <v>243</v>
      </c>
      <c r="F700" s="80" t="s">
        <v>315</v>
      </c>
      <c r="G700" s="81">
        <f>G701</f>
        <v>297.6368</v>
      </c>
      <c r="H700" s="81">
        <f t="shared" si="125"/>
        <v>0</v>
      </c>
      <c r="I700" s="81">
        <f t="shared" si="125"/>
        <v>0</v>
      </c>
      <c r="J700" s="81">
        <f t="shared" si="125"/>
        <v>297.0848</v>
      </c>
      <c r="K700" s="81">
        <f>K701</f>
        <v>0</v>
      </c>
      <c r="L700" s="81">
        <f>L701</f>
        <v>0</v>
      </c>
      <c r="M700" s="192">
        <f t="shared" si="119"/>
        <v>99.814539062374</v>
      </c>
    </row>
    <row r="701" spans="1:13" ht="63">
      <c r="A701" s="82" t="s">
        <v>359</v>
      </c>
      <c r="B701" s="94" t="s">
        <v>318</v>
      </c>
      <c r="C701" s="80" t="s">
        <v>120</v>
      </c>
      <c r="D701" s="80" t="s">
        <v>105</v>
      </c>
      <c r="E701" s="83" t="s">
        <v>81</v>
      </c>
      <c r="F701" s="80" t="s">
        <v>315</v>
      </c>
      <c r="G701" s="81">
        <f>G702+G705</f>
        <v>297.6368</v>
      </c>
      <c r="H701" s="81">
        <f>H702+H705</f>
        <v>0</v>
      </c>
      <c r="I701" s="81">
        <f>I702+I705</f>
        <v>0</v>
      </c>
      <c r="J701" s="81">
        <f>J702+J705</f>
        <v>297.0848</v>
      </c>
      <c r="M701" s="192">
        <f t="shared" si="119"/>
        <v>99.814539062374</v>
      </c>
    </row>
    <row r="702" spans="1:13" ht="31.5">
      <c r="A702" s="79" t="s">
        <v>171</v>
      </c>
      <c r="B702" s="94" t="s">
        <v>318</v>
      </c>
      <c r="C702" s="80" t="s">
        <v>120</v>
      </c>
      <c r="D702" s="80" t="s">
        <v>105</v>
      </c>
      <c r="E702" s="80" t="s">
        <v>82</v>
      </c>
      <c r="F702" s="80" t="s">
        <v>315</v>
      </c>
      <c r="G702" s="81">
        <f>G703</f>
        <v>297.6368</v>
      </c>
      <c r="H702" s="81">
        <f aca="true" t="shared" si="126" ref="H702:J703">H703</f>
        <v>0</v>
      </c>
      <c r="I702" s="81">
        <f t="shared" si="126"/>
        <v>0</v>
      </c>
      <c r="J702" s="81">
        <f t="shared" si="126"/>
        <v>297.0848</v>
      </c>
      <c r="M702" s="192">
        <f t="shared" si="119"/>
        <v>99.814539062374</v>
      </c>
    </row>
    <row r="703" spans="1:13" ht="47.25">
      <c r="A703" s="79" t="s">
        <v>445</v>
      </c>
      <c r="B703" s="94" t="s">
        <v>318</v>
      </c>
      <c r="C703" s="80" t="s">
        <v>120</v>
      </c>
      <c r="D703" s="80" t="s">
        <v>105</v>
      </c>
      <c r="E703" s="80" t="s">
        <v>82</v>
      </c>
      <c r="F703" s="80" t="s">
        <v>161</v>
      </c>
      <c r="G703" s="81">
        <f>G704</f>
        <v>297.6368</v>
      </c>
      <c r="H703" s="81">
        <f t="shared" si="126"/>
        <v>0</v>
      </c>
      <c r="I703" s="81">
        <f t="shared" si="126"/>
        <v>0</v>
      </c>
      <c r="J703" s="81">
        <f t="shared" si="126"/>
        <v>297.0848</v>
      </c>
      <c r="M703" s="192">
        <f t="shared" si="119"/>
        <v>99.814539062374</v>
      </c>
    </row>
    <row r="704" spans="1:13" ht="15.75">
      <c r="A704" s="79" t="s">
        <v>127</v>
      </c>
      <c r="B704" s="94" t="s">
        <v>318</v>
      </c>
      <c r="C704" s="80" t="s">
        <v>120</v>
      </c>
      <c r="D704" s="80" t="s">
        <v>105</v>
      </c>
      <c r="E704" s="80" t="s">
        <v>82</v>
      </c>
      <c r="F704" s="80" t="s">
        <v>220</v>
      </c>
      <c r="G704" s="22">
        <f>251-19.3632+66</f>
        <v>297.6368</v>
      </c>
      <c r="J704" s="50">
        <v>297.0848</v>
      </c>
      <c r="M704" s="192">
        <f t="shared" si="119"/>
        <v>99.814539062374</v>
      </c>
    </row>
    <row r="705" spans="1:13" ht="47.25" hidden="1">
      <c r="A705" s="103" t="s">
        <v>494</v>
      </c>
      <c r="B705" s="94" t="s">
        <v>318</v>
      </c>
      <c r="C705" s="97" t="s">
        <v>120</v>
      </c>
      <c r="D705" s="97" t="s">
        <v>105</v>
      </c>
      <c r="E705" s="97" t="s">
        <v>81</v>
      </c>
      <c r="F705" s="97" t="s">
        <v>315</v>
      </c>
      <c r="G705" s="172">
        <f>G709+G706</f>
        <v>0</v>
      </c>
      <c r="M705" s="192" t="e">
        <f t="shared" si="119"/>
        <v>#DIV/0!</v>
      </c>
    </row>
    <row r="706" spans="1:13" ht="78.75" hidden="1">
      <c r="A706" s="95" t="s">
        <v>498</v>
      </c>
      <c r="B706" s="112" t="s">
        <v>318</v>
      </c>
      <c r="C706" s="83" t="s">
        <v>120</v>
      </c>
      <c r="D706" s="83" t="s">
        <v>105</v>
      </c>
      <c r="E706" s="83" t="s">
        <v>495</v>
      </c>
      <c r="F706" s="83" t="s">
        <v>315</v>
      </c>
      <c r="G706" s="84">
        <f>G707</f>
        <v>0</v>
      </c>
      <c r="M706" s="192" t="e">
        <f t="shared" si="119"/>
        <v>#DIV/0!</v>
      </c>
    </row>
    <row r="707" spans="1:13" ht="47.25" hidden="1">
      <c r="A707" s="79" t="s">
        <v>445</v>
      </c>
      <c r="B707" s="94" t="s">
        <v>318</v>
      </c>
      <c r="C707" s="80" t="s">
        <v>120</v>
      </c>
      <c r="D707" s="80" t="s">
        <v>105</v>
      </c>
      <c r="E707" s="80" t="s">
        <v>495</v>
      </c>
      <c r="F707" s="80" t="s">
        <v>161</v>
      </c>
      <c r="G707" s="81">
        <f>G708</f>
        <v>0</v>
      </c>
      <c r="M707" s="192" t="e">
        <f t="shared" si="119"/>
        <v>#DIV/0!</v>
      </c>
    </row>
    <row r="708" spans="1:13" ht="15.75" hidden="1">
      <c r="A708" s="79" t="s">
        <v>127</v>
      </c>
      <c r="B708" s="94" t="s">
        <v>318</v>
      </c>
      <c r="C708" s="80" t="s">
        <v>120</v>
      </c>
      <c r="D708" s="80" t="s">
        <v>105</v>
      </c>
      <c r="E708" s="80" t="s">
        <v>495</v>
      </c>
      <c r="F708" s="80" t="s">
        <v>220</v>
      </c>
      <c r="G708" s="81"/>
      <c r="M708" s="192" t="e">
        <f t="shared" si="119"/>
        <v>#DIV/0!</v>
      </c>
    </row>
    <row r="709" spans="1:13" ht="94.5" hidden="1">
      <c r="A709" s="95" t="s">
        <v>499</v>
      </c>
      <c r="B709" s="112" t="s">
        <v>318</v>
      </c>
      <c r="C709" s="83" t="s">
        <v>120</v>
      </c>
      <c r="D709" s="83" t="s">
        <v>105</v>
      </c>
      <c r="E709" s="83" t="s">
        <v>496</v>
      </c>
      <c r="F709" s="83" t="s">
        <v>315</v>
      </c>
      <c r="G709" s="84">
        <f>G710</f>
        <v>0</v>
      </c>
      <c r="M709" s="192" t="e">
        <f t="shared" si="119"/>
        <v>#DIV/0!</v>
      </c>
    </row>
    <row r="710" spans="1:13" ht="47.25" hidden="1">
      <c r="A710" s="79" t="s">
        <v>445</v>
      </c>
      <c r="B710" s="94" t="s">
        <v>318</v>
      </c>
      <c r="C710" s="80" t="s">
        <v>120</v>
      </c>
      <c r="D710" s="80" t="s">
        <v>105</v>
      </c>
      <c r="E710" s="80" t="s">
        <v>496</v>
      </c>
      <c r="F710" s="80" t="s">
        <v>161</v>
      </c>
      <c r="G710" s="81">
        <f>G711</f>
        <v>0</v>
      </c>
      <c r="M710" s="192" t="e">
        <f t="shared" si="119"/>
        <v>#DIV/0!</v>
      </c>
    </row>
    <row r="711" spans="1:13" ht="15.75" hidden="1">
      <c r="A711" s="79" t="s">
        <v>127</v>
      </c>
      <c r="B711" s="94" t="s">
        <v>318</v>
      </c>
      <c r="C711" s="80" t="s">
        <v>120</v>
      </c>
      <c r="D711" s="80" t="s">
        <v>105</v>
      </c>
      <c r="E711" s="80" t="s">
        <v>496</v>
      </c>
      <c r="F711" s="80" t="s">
        <v>220</v>
      </c>
      <c r="G711" s="81"/>
      <c r="M711" s="192" t="e">
        <f t="shared" si="119"/>
        <v>#DIV/0!</v>
      </c>
    </row>
    <row r="712" spans="1:13" ht="47.25" hidden="1">
      <c r="A712" s="96" t="s">
        <v>444</v>
      </c>
      <c r="B712" s="203" t="s">
        <v>318</v>
      </c>
      <c r="C712" s="97" t="s">
        <v>120</v>
      </c>
      <c r="D712" s="97" t="s">
        <v>105</v>
      </c>
      <c r="E712" s="97" t="s">
        <v>81</v>
      </c>
      <c r="F712" s="97" t="s">
        <v>315</v>
      </c>
      <c r="G712" s="172">
        <f>G713</f>
        <v>0</v>
      </c>
      <c r="M712" s="192" t="e">
        <f t="shared" si="119"/>
        <v>#DIV/0!</v>
      </c>
    </row>
    <row r="713" spans="1:13" ht="78.75" hidden="1">
      <c r="A713" s="95" t="s">
        <v>589</v>
      </c>
      <c r="B713" s="112" t="s">
        <v>318</v>
      </c>
      <c r="C713" s="83" t="s">
        <v>120</v>
      </c>
      <c r="D713" s="83" t="s">
        <v>105</v>
      </c>
      <c r="E713" s="83" t="s">
        <v>578</v>
      </c>
      <c r="F713" s="83" t="s">
        <v>315</v>
      </c>
      <c r="G713" s="84">
        <f>G714</f>
        <v>0</v>
      </c>
      <c r="M713" s="192" t="e">
        <f t="shared" si="119"/>
        <v>#DIV/0!</v>
      </c>
    </row>
    <row r="714" spans="1:13" ht="47.25" hidden="1">
      <c r="A714" s="79" t="s">
        <v>445</v>
      </c>
      <c r="B714" s="94" t="s">
        <v>318</v>
      </c>
      <c r="C714" s="80" t="s">
        <v>120</v>
      </c>
      <c r="D714" s="80" t="s">
        <v>105</v>
      </c>
      <c r="E714" s="80" t="s">
        <v>578</v>
      </c>
      <c r="F714" s="80" t="s">
        <v>161</v>
      </c>
      <c r="G714" s="81">
        <f>G715</f>
        <v>0</v>
      </c>
      <c r="M714" s="192" t="e">
        <f t="shared" si="119"/>
        <v>#DIV/0!</v>
      </c>
    </row>
    <row r="715" spans="1:13" ht="15.75" hidden="1">
      <c r="A715" s="79" t="s">
        <v>127</v>
      </c>
      <c r="B715" s="94" t="s">
        <v>318</v>
      </c>
      <c r="C715" s="80" t="s">
        <v>120</v>
      </c>
      <c r="D715" s="80" t="s">
        <v>105</v>
      </c>
      <c r="E715" s="80" t="s">
        <v>578</v>
      </c>
      <c r="F715" s="80" t="s">
        <v>220</v>
      </c>
      <c r="G715" s="81"/>
      <c r="M715" s="192" t="e">
        <f t="shared" si="119"/>
        <v>#DIV/0!</v>
      </c>
    </row>
    <row r="716" spans="1:13" ht="110.25" hidden="1">
      <c r="A716" s="95" t="s">
        <v>451</v>
      </c>
      <c r="B716" s="112" t="s">
        <v>318</v>
      </c>
      <c r="C716" s="83" t="s">
        <v>120</v>
      </c>
      <c r="D716" s="83" t="s">
        <v>105</v>
      </c>
      <c r="E716" s="83" t="s">
        <v>579</v>
      </c>
      <c r="F716" s="83" t="s">
        <v>315</v>
      </c>
      <c r="G716" s="84">
        <f>G717</f>
        <v>0</v>
      </c>
      <c r="M716" s="192" t="e">
        <f t="shared" si="119"/>
        <v>#DIV/0!</v>
      </c>
    </row>
    <row r="717" spans="1:13" ht="47.25" hidden="1">
      <c r="A717" s="79" t="s">
        <v>445</v>
      </c>
      <c r="B717" s="94" t="s">
        <v>318</v>
      </c>
      <c r="C717" s="80" t="s">
        <v>120</v>
      </c>
      <c r="D717" s="80" t="s">
        <v>105</v>
      </c>
      <c r="E717" s="80" t="s">
        <v>579</v>
      </c>
      <c r="F717" s="80" t="s">
        <v>161</v>
      </c>
      <c r="G717" s="81">
        <f>G718</f>
        <v>0</v>
      </c>
      <c r="M717" s="192" t="e">
        <f t="shared" si="119"/>
        <v>#DIV/0!</v>
      </c>
    </row>
    <row r="718" spans="1:13" ht="15.75" hidden="1">
      <c r="A718" s="79" t="s">
        <v>127</v>
      </c>
      <c r="B718" s="94" t="s">
        <v>318</v>
      </c>
      <c r="C718" s="80" t="s">
        <v>120</v>
      </c>
      <c r="D718" s="80" t="s">
        <v>105</v>
      </c>
      <c r="E718" s="80" t="s">
        <v>579</v>
      </c>
      <c r="F718" s="80" t="s">
        <v>220</v>
      </c>
      <c r="G718" s="81"/>
      <c r="M718" s="192" t="e">
        <f t="shared" si="119"/>
        <v>#DIV/0!</v>
      </c>
    </row>
    <row r="719" spans="1:13" ht="47.25">
      <c r="A719" s="183" t="s">
        <v>95</v>
      </c>
      <c r="B719" s="184" t="s">
        <v>317</v>
      </c>
      <c r="C719" s="184" t="s">
        <v>104</v>
      </c>
      <c r="D719" s="184" t="s">
        <v>104</v>
      </c>
      <c r="E719" s="184" t="s">
        <v>243</v>
      </c>
      <c r="F719" s="184" t="s">
        <v>315</v>
      </c>
      <c r="G719" s="227">
        <f>G720</f>
        <v>2276.303</v>
      </c>
      <c r="H719" s="227">
        <f aca="true" t="shared" si="127" ref="H719:L721">H720</f>
        <v>0</v>
      </c>
      <c r="I719" s="227">
        <f t="shared" si="127"/>
        <v>0</v>
      </c>
      <c r="J719" s="227">
        <f t="shared" si="127"/>
        <v>2201.31859</v>
      </c>
      <c r="K719" s="227">
        <f t="shared" si="127"/>
        <v>0</v>
      </c>
      <c r="L719" s="227">
        <f t="shared" si="127"/>
        <v>0</v>
      </c>
      <c r="M719" s="321">
        <f t="shared" si="119"/>
        <v>96.70586868268416</v>
      </c>
    </row>
    <row r="720" spans="1:13" ht="63">
      <c r="A720" s="190" t="s">
        <v>305</v>
      </c>
      <c r="B720" s="205" t="s">
        <v>317</v>
      </c>
      <c r="C720" s="80" t="s">
        <v>103</v>
      </c>
      <c r="D720" s="80" t="s">
        <v>116</v>
      </c>
      <c r="E720" s="80" t="s">
        <v>243</v>
      </c>
      <c r="F720" s="80" t="s">
        <v>315</v>
      </c>
      <c r="G720" s="111">
        <f>G721</f>
        <v>2276.303</v>
      </c>
      <c r="H720" s="111">
        <f t="shared" si="127"/>
        <v>0</v>
      </c>
      <c r="I720" s="111">
        <f t="shared" si="127"/>
        <v>0</v>
      </c>
      <c r="J720" s="111">
        <f t="shared" si="127"/>
        <v>2201.31859</v>
      </c>
      <c r="M720" s="192">
        <f t="shared" si="119"/>
        <v>96.70586868268416</v>
      </c>
    </row>
    <row r="721" spans="1:13" ht="47.25">
      <c r="A721" s="190" t="s">
        <v>272</v>
      </c>
      <c r="B721" s="205" t="s">
        <v>317</v>
      </c>
      <c r="C721" s="80" t="s">
        <v>103</v>
      </c>
      <c r="D721" s="80" t="s">
        <v>116</v>
      </c>
      <c r="E721" s="80" t="s">
        <v>7</v>
      </c>
      <c r="F721" s="80" t="s">
        <v>315</v>
      </c>
      <c r="G721" s="111">
        <f>G722</f>
        <v>2276.303</v>
      </c>
      <c r="H721" s="111">
        <f t="shared" si="127"/>
        <v>0</v>
      </c>
      <c r="I721" s="111">
        <f t="shared" si="127"/>
        <v>0</v>
      </c>
      <c r="J721" s="111">
        <f t="shared" si="127"/>
        <v>2201.31859</v>
      </c>
      <c r="M721" s="192">
        <f t="shared" si="119"/>
        <v>96.70586868268416</v>
      </c>
    </row>
    <row r="722" spans="1:13" ht="47.25">
      <c r="A722" s="79" t="s">
        <v>609</v>
      </c>
      <c r="B722" s="205" t="s">
        <v>317</v>
      </c>
      <c r="C722" s="80" t="s">
        <v>103</v>
      </c>
      <c r="D722" s="80" t="s">
        <v>116</v>
      </c>
      <c r="E722" s="80" t="s">
        <v>8</v>
      </c>
      <c r="F722" s="80" t="s">
        <v>315</v>
      </c>
      <c r="G722" s="111">
        <f>G725+G727+G729+G724</f>
        <v>2276.303</v>
      </c>
      <c r="H722" s="111">
        <f>H725+H727+H729+H724</f>
        <v>0</v>
      </c>
      <c r="I722" s="111">
        <f>I725+I727+I729+I724</f>
        <v>0</v>
      </c>
      <c r="J722" s="111">
        <f>J725+J727+J729+J724</f>
        <v>2201.31859</v>
      </c>
      <c r="M722" s="192">
        <f t="shared" si="119"/>
        <v>96.70586868268416</v>
      </c>
    </row>
    <row r="723" spans="1:13" ht="94.5" hidden="1">
      <c r="A723" s="79" t="s">
        <v>134</v>
      </c>
      <c r="B723" s="205" t="s">
        <v>317</v>
      </c>
      <c r="C723" s="80" t="s">
        <v>103</v>
      </c>
      <c r="D723" s="80" t="s">
        <v>116</v>
      </c>
      <c r="E723" s="80" t="s">
        <v>11</v>
      </c>
      <c r="F723" s="80" t="s">
        <v>108</v>
      </c>
      <c r="G723" s="111">
        <f>G724</f>
        <v>0</v>
      </c>
      <c r="M723" s="192" t="e">
        <f t="shared" si="119"/>
        <v>#DIV/0!</v>
      </c>
    </row>
    <row r="724" spans="1:13" ht="47.25" hidden="1">
      <c r="A724" s="79" t="s">
        <v>136</v>
      </c>
      <c r="B724" s="205" t="s">
        <v>317</v>
      </c>
      <c r="C724" s="80" t="s">
        <v>103</v>
      </c>
      <c r="D724" s="80" t="s">
        <v>116</v>
      </c>
      <c r="E724" s="80" t="s">
        <v>11</v>
      </c>
      <c r="F724" s="80" t="s">
        <v>135</v>
      </c>
      <c r="G724" s="22">
        <f>795.186+240.146-(795.186+240.146)</f>
        <v>0</v>
      </c>
      <c r="M724" s="192" t="e">
        <f t="shared" si="119"/>
        <v>#DIV/0!</v>
      </c>
    </row>
    <row r="725" spans="1:13" ht="31.5">
      <c r="A725" s="79" t="s">
        <v>137</v>
      </c>
      <c r="B725" s="205" t="s">
        <v>317</v>
      </c>
      <c r="C725" s="80" t="s">
        <v>103</v>
      </c>
      <c r="D725" s="80" t="s">
        <v>116</v>
      </c>
      <c r="E725" s="80" t="s">
        <v>11</v>
      </c>
      <c r="F725" s="80" t="s">
        <v>112</v>
      </c>
      <c r="G725" s="111">
        <f>G726</f>
        <v>120.432</v>
      </c>
      <c r="H725" s="111">
        <f>H726</f>
        <v>0</v>
      </c>
      <c r="I725" s="111">
        <f>I726</f>
        <v>0</v>
      </c>
      <c r="J725" s="111">
        <f>J726</f>
        <v>107.988</v>
      </c>
      <c r="M725" s="192">
        <f t="shared" si="119"/>
        <v>89.6671980868872</v>
      </c>
    </row>
    <row r="726" spans="1:13" ht="47.25">
      <c r="A726" s="79" t="s">
        <v>138</v>
      </c>
      <c r="B726" s="205" t="s">
        <v>317</v>
      </c>
      <c r="C726" s="80" t="s">
        <v>103</v>
      </c>
      <c r="D726" s="80" t="s">
        <v>116</v>
      </c>
      <c r="E726" s="80" t="s">
        <v>11</v>
      </c>
      <c r="F726" s="80" t="s">
        <v>139</v>
      </c>
      <c r="G726" s="22">
        <f>76.1+5+10+10+11.432+7.9</f>
        <v>120.432</v>
      </c>
      <c r="J726" s="50">
        <v>107.988</v>
      </c>
      <c r="M726" s="192">
        <f t="shared" si="119"/>
        <v>89.6671980868872</v>
      </c>
    </row>
    <row r="727" spans="1:13" ht="15.75">
      <c r="A727" s="79" t="s">
        <v>142</v>
      </c>
      <c r="B727" s="205" t="s">
        <v>317</v>
      </c>
      <c r="C727" s="80" t="s">
        <v>103</v>
      </c>
      <c r="D727" s="80" t="s">
        <v>116</v>
      </c>
      <c r="E727" s="80" t="s">
        <v>11</v>
      </c>
      <c r="F727" s="80" t="s">
        <v>143</v>
      </c>
      <c r="G727" s="81">
        <f>G728</f>
        <v>2</v>
      </c>
      <c r="H727" s="81">
        <f>H728</f>
        <v>0</v>
      </c>
      <c r="I727" s="81">
        <f>I728</f>
        <v>0</v>
      </c>
      <c r="J727" s="81">
        <f>J728</f>
        <v>0.5</v>
      </c>
      <c r="M727" s="192">
        <f t="shared" si="119"/>
        <v>25</v>
      </c>
    </row>
    <row r="728" spans="1:13" ht="15.75">
      <c r="A728" s="79" t="s">
        <v>140</v>
      </c>
      <c r="B728" s="205" t="s">
        <v>317</v>
      </c>
      <c r="C728" s="80" t="s">
        <v>103</v>
      </c>
      <c r="D728" s="80" t="s">
        <v>116</v>
      </c>
      <c r="E728" s="80" t="s">
        <v>11</v>
      </c>
      <c r="F728" s="80" t="s">
        <v>141</v>
      </c>
      <c r="G728" s="81">
        <v>2</v>
      </c>
      <c r="J728" s="50">
        <v>0.5</v>
      </c>
      <c r="M728" s="192">
        <f t="shared" si="119"/>
        <v>25</v>
      </c>
    </row>
    <row r="729" spans="1:13" ht="31.5">
      <c r="A729" s="234" t="s">
        <v>118</v>
      </c>
      <c r="B729" s="251" t="s">
        <v>317</v>
      </c>
      <c r="C729" s="235" t="s">
        <v>103</v>
      </c>
      <c r="D729" s="235" t="s">
        <v>116</v>
      </c>
      <c r="E729" s="235" t="s">
        <v>12</v>
      </c>
      <c r="F729" s="235" t="s">
        <v>315</v>
      </c>
      <c r="G729" s="252">
        <f>G730</f>
        <v>2153.871</v>
      </c>
      <c r="H729" s="252">
        <f aca="true" t="shared" si="128" ref="H729:J730">H730</f>
        <v>0</v>
      </c>
      <c r="I729" s="252">
        <f t="shared" si="128"/>
        <v>0</v>
      </c>
      <c r="J729" s="252">
        <f t="shared" si="128"/>
        <v>2092.83059</v>
      </c>
      <c r="M729" s="263">
        <f t="shared" si="119"/>
        <v>97.16601365634247</v>
      </c>
    </row>
    <row r="730" spans="1:13" ht="94.5">
      <c r="A730" s="79" t="s">
        <v>134</v>
      </c>
      <c r="B730" s="205" t="s">
        <v>317</v>
      </c>
      <c r="C730" s="80" t="s">
        <v>103</v>
      </c>
      <c r="D730" s="80" t="s">
        <v>116</v>
      </c>
      <c r="E730" s="80" t="s">
        <v>12</v>
      </c>
      <c r="F730" s="80" t="s">
        <v>108</v>
      </c>
      <c r="G730" s="81">
        <f>G731</f>
        <v>2153.871</v>
      </c>
      <c r="H730" s="81">
        <f t="shared" si="128"/>
        <v>0</v>
      </c>
      <c r="I730" s="81">
        <f t="shared" si="128"/>
        <v>0</v>
      </c>
      <c r="J730" s="81">
        <f t="shared" si="128"/>
        <v>2092.83059</v>
      </c>
      <c r="M730" s="192">
        <f t="shared" si="119"/>
        <v>97.16601365634247</v>
      </c>
    </row>
    <row r="731" spans="1:13" ht="47.25">
      <c r="A731" s="79" t="s">
        <v>136</v>
      </c>
      <c r="B731" s="205" t="s">
        <v>317</v>
      </c>
      <c r="C731" s="80" t="s">
        <v>103</v>
      </c>
      <c r="D731" s="80" t="s">
        <v>116</v>
      </c>
      <c r="E731" s="80" t="s">
        <v>12</v>
      </c>
      <c r="F731" s="80" t="s">
        <v>135</v>
      </c>
      <c r="G731" s="22">
        <f>1514.948+457.514+101.7+29.3+50.409</f>
        <v>2153.871</v>
      </c>
      <c r="J731" s="50">
        <v>2092.83059</v>
      </c>
      <c r="M731" s="192">
        <f t="shared" si="119"/>
        <v>97.16601365634247</v>
      </c>
    </row>
    <row r="732" spans="1:13" ht="15.75" hidden="1">
      <c r="A732" s="90" t="s">
        <v>755</v>
      </c>
      <c r="B732" s="212"/>
      <c r="C732" s="77"/>
      <c r="D732" s="77"/>
      <c r="E732" s="77"/>
      <c r="F732" s="77"/>
      <c r="G732" s="78">
        <v>0</v>
      </c>
      <c r="M732" s="192" t="e">
        <f t="shared" si="119"/>
        <v>#DIV/0!</v>
      </c>
    </row>
    <row r="733" spans="1:13" ht="15.75">
      <c r="A733" s="253" t="s">
        <v>96</v>
      </c>
      <c r="B733" s="254"/>
      <c r="C733" s="254"/>
      <c r="D733" s="254"/>
      <c r="E733" s="254"/>
      <c r="F733" s="254"/>
      <c r="G733" s="172">
        <f>G12+G441+G457+G494+G719+G732</f>
        <v>744036.0681500001</v>
      </c>
      <c r="H733" s="176" t="e">
        <f>H12+H441+H457+H494+H719+H732</f>
        <v>#REF!</v>
      </c>
      <c r="I733" s="176" t="e">
        <f>I12+I441+I457+I494+I719+I732</f>
        <v>#REF!</v>
      </c>
      <c r="J733" s="176">
        <f>J12+J441+J457+J494+J719+J732</f>
        <v>711792.38446</v>
      </c>
      <c r="M733" s="264">
        <f t="shared" si="119"/>
        <v>95.66638163521131</v>
      </c>
    </row>
  </sheetData>
  <sheetProtection/>
  <mergeCells count="19">
    <mergeCell ref="F10:F11"/>
    <mergeCell ref="G10:G11"/>
    <mergeCell ref="H10:I10"/>
    <mergeCell ref="J10:J11"/>
    <mergeCell ref="K10:L10"/>
    <mergeCell ref="B3:F3"/>
    <mergeCell ref="B4:F4"/>
    <mergeCell ref="A6:I6"/>
    <mergeCell ref="A7:I7"/>
    <mergeCell ref="G1:M1"/>
    <mergeCell ref="F2:M2"/>
    <mergeCell ref="G3:M3"/>
    <mergeCell ref="G4:M4"/>
    <mergeCell ref="M10:M11"/>
    <mergeCell ref="A10:A11"/>
    <mergeCell ref="B10:B11"/>
    <mergeCell ref="C10:C11"/>
    <mergeCell ref="D10:D11"/>
    <mergeCell ref="E10:E11"/>
  </mergeCells>
  <printOptions/>
  <pageMargins left="0.7086614173228347" right="0.7086614173228347" top="0.5511811023622047" bottom="0.5511811023622047" header="0.31496062992125984" footer="0.31496062992125984"/>
  <pageSetup horizontalDpi="600" verticalDpi="600" orientation="portrait" paperSize="9" scale="69" r:id="rId1"/>
  <rowBreaks count="13" manualBreakCount="13">
    <brk id="30" max="12" man="1"/>
    <brk id="55" max="12" man="1"/>
    <brk id="75" max="12" man="1"/>
    <brk id="96" max="12" man="1"/>
    <brk id="138" max="12" man="1"/>
    <brk id="191" max="12" man="1"/>
    <brk id="233" max="12" man="1"/>
    <brk id="266" max="12" man="1"/>
    <brk id="290" max="12" man="1"/>
    <brk id="310" max="12" man="1"/>
    <brk id="355" max="12" man="1"/>
    <brk id="428" max="12" man="1"/>
    <brk id="45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fin540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wert</dc:creator>
  <cp:keywords/>
  <dc:description/>
  <cp:lastModifiedBy>Katya</cp:lastModifiedBy>
  <cp:lastPrinted>2024-03-27T00:00:28Z</cp:lastPrinted>
  <dcterms:created xsi:type="dcterms:W3CDTF">2008-10-27T01:25:53Z</dcterms:created>
  <dcterms:modified xsi:type="dcterms:W3CDTF">2024-03-27T00:02:01Z</dcterms:modified>
  <cp:category/>
  <cp:version/>
  <cp:contentType/>
  <cp:contentStatus/>
</cp:coreProperties>
</file>