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0065" yWindow="1275" windowWidth="16755" windowHeight="16440" tabRatio="807" activeTab="5"/>
  </bookViews>
  <sheets>
    <sheet name="1" sheetId="121" r:id="rId1"/>
    <sheet name="2  " sheetId="112" r:id="rId2"/>
    <sheet name="3" sheetId="119" r:id="rId3"/>
    <sheet name="4" sheetId="120" r:id="rId4"/>
    <sheet name="5" sheetId="113" r:id="rId5"/>
    <sheet name="6" sheetId="126" r:id="rId6"/>
  </sheets>
  <definedNames>
    <definedName name="_xlnm._FilterDatabase" localSheetId="1" hidden="1">'2  '!$A$8:$F$65</definedName>
    <definedName name="_xlnm._FilterDatabase" localSheetId="2" hidden="1">'3'!$A$10:$H$281</definedName>
    <definedName name="_xlnm._FilterDatabase" localSheetId="3" hidden="1">'4'!$A$10:$I$232</definedName>
    <definedName name="_xlnm._FilterDatabase" localSheetId="4" hidden="1">'5'!$A$9:$F$108</definedName>
    <definedName name="_xlnm.Print_Area" localSheetId="1">'2  '!$A$1:$F$103</definedName>
    <definedName name="_xlnm.Print_Area" localSheetId="2">'3'!$A$1:$H$1000</definedName>
    <definedName name="_xlnm.Print_Area" localSheetId="3">'4'!$A$1:$I$1023</definedName>
    <definedName name="_xlnm.Print_Area" localSheetId="4">'5'!$A$1:$F$341</definedName>
    <definedName name="_xlnm.Print_Area" localSheetId="5">'6'!$A$1:$F$16</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83" i="113" l="1"/>
  <c r="D261" i="113"/>
  <c r="G824" i="119" l="1"/>
  <c r="H824" i="119"/>
  <c r="F824" i="119"/>
  <c r="D301" i="113"/>
  <c r="D298" i="113"/>
  <c r="G335" i="119" l="1"/>
  <c r="H335" i="119"/>
  <c r="G338" i="119"/>
  <c r="G337" i="119" s="1"/>
  <c r="G336" i="119" s="1"/>
  <c r="H338" i="119"/>
  <c r="H337" i="119" s="1"/>
  <c r="H336" i="119" s="1"/>
  <c r="F338" i="119"/>
  <c r="F337" i="119" s="1"/>
  <c r="F336" i="119" s="1"/>
  <c r="F335" i="119" l="1"/>
  <c r="D294" i="113"/>
  <c r="G300" i="119"/>
  <c r="H244" i="120" s="1"/>
  <c r="H300" i="119"/>
  <c r="I244" i="120" s="1"/>
  <c r="F300" i="119"/>
  <c r="F299" i="119" s="1"/>
  <c r="D209" i="113"/>
  <c r="D211" i="113"/>
  <c r="H180" i="120"/>
  <c r="H179" i="120" s="1"/>
  <c r="H178" i="120" s="1"/>
  <c r="H177" i="120" s="1"/>
  <c r="I180" i="120"/>
  <c r="I179" i="120" s="1"/>
  <c r="I178" i="120" s="1"/>
  <c r="I177" i="120" s="1"/>
  <c r="G180" i="120"/>
  <c r="G179" i="120" s="1"/>
  <c r="G178" i="120" s="1"/>
  <c r="G177" i="120" s="1"/>
  <c r="G279" i="120"/>
  <c r="G282" i="120"/>
  <c r="G281" i="120" s="1"/>
  <c r="G280" i="120" s="1"/>
  <c r="H282" i="120"/>
  <c r="H281" i="120" s="1"/>
  <c r="H280" i="120" s="1"/>
  <c r="I282" i="120"/>
  <c r="I281" i="120" s="1"/>
  <c r="I280" i="120" s="1"/>
  <c r="H299" i="119" l="1"/>
  <c r="H243" i="120"/>
  <c r="I243" i="120"/>
  <c r="G299" i="119"/>
  <c r="G244" i="120"/>
  <c r="F234" i="119"/>
  <c r="F233" i="119" s="1"/>
  <c r="F232" i="119" s="1"/>
  <c r="G234" i="119"/>
  <c r="G233" i="119" s="1"/>
  <c r="G232" i="119" s="1"/>
  <c r="H234" i="119"/>
  <c r="H233" i="119" s="1"/>
  <c r="H232" i="119" s="1"/>
  <c r="E64" i="113"/>
  <c r="E62" i="113" s="1"/>
  <c r="D64" i="113"/>
  <c r="F64" i="113"/>
  <c r="D62" i="113"/>
  <c r="G243" i="120" l="1"/>
  <c r="G437" i="119"/>
  <c r="G436" i="119" s="1"/>
  <c r="G435" i="119" s="1"/>
  <c r="F437" i="119"/>
  <c r="G758" i="120" s="1"/>
  <c r="G757" i="120" s="1"/>
  <c r="G756" i="120" s="1"/>
  <c r="F62" i="113"/>
  <c r="F436" i="119" l="1"/>
  <c r="F435" i="119" s="1"/>
  <c r="H758" i="120"/>
  <c r="H757" i="120" s="1"/>
  <c r="H756" i="120" s="1"/>
  <c r="H437" i="119"/>
  <c r="D66" i="113"/>
  <c r="D65" i="113" s="1"/>
  <c r="E66" i="113"/>
  <c r="E65" i="113" s="1"/>
  <c r="F66" i="113"/>
  <c r="F65" i="113" s="1"/>
  <c r="D124" i="113"/>
  <c r="I758" i="120" l="1"/>
  <c r="I757" i="120" s="1"/>
  <c r="I756" i="120" s="1"/>
  <c r="H436" i="119"/>
  <c r="H435" i="119" s="1"/>
  <c r="G681" i="120"/>
  <c r="F32" i="119"/>
  <c r="D272" i="113"/>
  <c r="D271" i="113"/>
  <c r="H191" i="120" l="1"/>
  <c r="H190" i="120" s="1"/>
  <c r="H189" i="120" s="1"/>
  <c r="H188" i="120" s="1"/>
  <c r="I191" i="120"/>
  <c r="I190" i="120" s="1"/>
  <c r="I189" i="120" s="1"/>
  <c r="I188" i="120" s="1"/>
  <c r="G191" i="120"/>
  <c r="G190" i="120" s="1"/>
  <c r="G189" i="120" s="1"/>
  <c r="G188" i="120" s="1"/>
  <c r="G246" i="119"/>
  <c r="G245" i="119" s="1"/>
  <c r="G244" i="119" s="1"/>
  <c r="G243" i="119" s="1"/>
  <c r="H246" i="119"/>
  <c r="H245" i="119" s="1"/>
  <c r="H244" i="119" s="1"/>
  <c r="H243" i="119" s="1"/>
  <c r="F246" i="119"/>
  <c r="F245" i="119" s="1"/>
  <c r="F244" i="119" s="1"/>
  <c r="F243" i="119" s="1"/>
  <c r="G383" i="119"/>
  <c r="H328" i="120" s="1"/>
  <c r="H327" i="120" s="1"/>
  <c r="H326" i="120" s="1"/>
  <c r="H383" i="119"/>
  <c r="I328" i="120" s="1"/>
  <c r="I327" i="120" s="1"/>
  <c r="I326" i="120" s="1"/>
  <c r="F383" i="119"/>
  <c r="F382" i="119" s="1"/>
  <c r="F381" i="119" s="1"/>
  <c r="D309" i="113"/>
  <c r="H382" i="119" l="1"/>
  <c r="H381" i="119" s="1"/>
  <c r="G382" i="119"/>
  <c r="G381" i="119" s="1"/>
  <c r="G328" i="120"/>
  <c r="G327" i="120" s="1"/>
  <c r="G326" i="120" s="1"/>
  <c r="F15" i="126" l="1"/>
  <c r="E15" i="126"/>
  <c r="C15" i="126"/>
  <c r="B15" i="126"/>
  <c r="D14" i="126"/>
  <c r="D13" i="126"/>
  <c r="D12" i="126"/>
  <c r="D11" i="126"/>
  <c r="D15" i="126" l="1"/>
  <c r="D227" i="113"/>
  <c r="D37" i="112" l="1"/>
  <c r="D98" i="112"/>
  <c r="D99" i="112"/>
  <c r="H279" i="120" l="1"/>
  <c r="G334" i="119" s="1"/>
  <c r="G333" i="119" s="1"/>
  <c r="G318" i="119" s="1"/>
  <c r="I279" i="120"/>
  <c r="H334" i="119" s="1"/>
  <c r="H333" i="119" s="1"/>
  <c r="H318" i="119" s="1"/>
  <c r="F334" i="119"/>
  <c r="F333" i="119" s="1"/>
  <c r="F318" i="119" s="1"/>
  <c r="G124" i="120" l="1"/>
  <c r="F175" i="119"/>
  <c r="D98" i="113"/>
  <c r="D270" i="113" l="1"/>
  <c r="D15" i="113" l="1"/>
  <c r="D231" i="113" l="1"/>
  <c r="G676" i="120"/>
  <c r="D188" i="113"/>
  <c r="D156" i="113"/>
  <c r="D80" i="113"/>
  <c r="D303" i="113" l="1"/>
  <c r="D35" i="112"/>
  <c r="D27" i="112"/>
  <c r="E32" i="113" l="1"/>
  <c r="F32" i="113"/>
  <c r="E41" i="113"/>
  <c r="F41" i="113"/>
  <c r="D41" i="113"/>
  <c r="F987" i="119" l="1"/>
  <c r="D47" i="113" l="1"/>
  <c r="D72" i="113" l="1"/>
  <c r="G619" i="119" l="1"/>
  <c r="G618" i="119" s="1"/>
  <c r="G617" i="119" s="1"/>
  <c r="H619" i="119"/>
  <c r="H618" i="119" s="1"/>
  <c r="H617" i="119" s="1"/>
  <c r="F619" i="119"/>
  <c r="F618" i="119" s="1"/>
  <c r="F617" i="119" s="1"/>
  <c r="G405" i="120" l="1"/>
  <c r="G404" i="120" s="1"/>
  <c r="G403" i="120" s="1"/>
  <c r="I405" i="120"/>
  <c r="I404" i="120" s="1"/>
  <c r="I403" i="120" s="1"/>
  <c r="H405" i="120"/>
  <c r="H404" i="120" s="1"/>
  <c r="H403" i="120" s="1"/>
  <c r="D38" i="112"/>
  <c r="G889" i="119" l="1"/>
  <c r="G842" i="119" l="1"/>
  <c r="H842" i="119"/>
  <c r="H92" i="119"/>
  <c r="G92" i="119"/>
  <c r="F92" i="119"/>
  <c r="G945" i="120" l="1"/>
  <c r="F287" i="113" l="1"/>
  <c r="E287" i="113"/>
  <c r="D84" i="112"/>
  <c r="D241" i="113" s="1"/>
  <c r="F842" i="119" s="1"/>
  <c r="D276" i="113" l="1"/>
  <c r="D287" i="113"/>
  <c r="H533" i="120" l="1"/>
  <c r="I533" i="120"/>
  <c r="F271" i="113"/>
  <c r="E271" i="113"/>
  <c r="H942" i="120" l="1"/>
  <c r="I942" i="120"/>
  <c r="G942" i="120"/>
  <c r="F654" i="119"/>
  <c r="F657" i="119"/>
  <c r="G940" i="120" l="1"/>
  <c r="H700" i="120" l="1"/>
  <c r="H699" i="120" s="1"/>
  <c r="H698" i="120" s="1"/>
  <c r="H697" i="120" s="1"/>
  <c r="I700" i="120"/>
  <c r="I699" i="120" s="1"/>
  <c r="I698" i="120" s="1"/>
  <c r="I697" i="120" s="1"/>
  <c r="G700" i="120"/>
  <c r="G699" i="120" s="1"/>
  <c r="G698" i="120" s="1"/>
  <c r="G697" i="120" s="1"/>
  <c r="H881" i="119"/>
  <c r="G881" i="119"/>
  <c r="F855" i="119"/>
  <c r="H593" i="120" l="1"/>
  <c r="H880" i="119"/>
  <c r="F854" i="119"/>
  <c r="E196" i="113"/>
  <c r="E197" i="113" s="1"/>
  <c r="G572" i="119" s="1"/>
  <c r="H382" i="120" s="1"/>
  <c r="H381" i="120" s="1"/>
  <c r="H380" i="120" s="1"/>
  <c r="F196" i="113"/>
  <c r="H569" i="119" s="1"/>
  <c r="I379" i="120" s="1"/>
  <c r="I378" i="120" s="1"/>
  <c r="D196" i="113"/>
  <c r="F197" i="113" l="1"/>
  <c r="H572" i="119" s="1"/>
  <c r="I382" i="120" s="1"/>
  <c r="I381" i="120" s="1"/>
  <c r="I380" i="120" s="1"/>
  <c r="E195" i="113"/>
  <c r="G569" i="119"/>
  <c r="H379" i="120" s="1"/>
  <c r="H378" i="120" s="1"/>
  <c r="F572" i="119"/>
  <c r="G382" i="120" s="1"/>
  <c r="G381" i="120" s="1"/>
  <c r="G380" i="120" s="1"/>
  <c r="F569" i="119"/>
  <c r="G379" i="120" s="1"/>
  <c r="G378" i="120" s="1"/>
  <c r="F195" i="113" l="1"/>
  <c r="D195" i="113"/>
  <c r="F157" i="119"/>
  <c r="H889" i="119"/>
  <c r="H887" i="119"/>
  <c r="G887" i="119"/>
  <c r="F95" i="119" l="1"/>
  <c r="G95" i="119"/>
  <c r="H95" i="119"/>
  <c r="H64" i="120"/>
  <c r="I64" i="120"/>
  <c r="G64" i="120"/>
  <c r="H111" i="119" l="1"/>
  <c r="H109" i="119"/>
  <c r="G111" i="119"/>
  <c r="G109" i="119"/>
  <c r="F111" i="119"/>
  <c r="F109" i="119"/>
  <c r="F889" i="119"/>
  <c r="F887" i="119"/>
  <c r="F155" i="119"/>
  <c r="F153" i="119" s="1"/>
  <c r="F152" i="119" s="1"/>
  <c r="F100" i="119"/>
  <c r="D46" i="113" l="1"/>
  <c r="E55" i="113"/>
  <c r="G516" i="119" s="1"/>
  <c r="F55" i="113"/>
  <c r="H516" i="119" s="1"/>
  <c r="D55" i="113"/>
  <c r="F516" i="119" s="1"/>
  <c r="F515" i="119" l="1"/>
  <c r="F514" i="119" s="1"/>
  <c r="G837" i="120"/>
  <c r="G836" i="120" s="1"/>
  <c r="G835" i="120" s="1"/>
  <c r="H515" i="119"/>
  <c r="H514" i="119" s="1"/>
  <c r="I837" i="120"/>
  <c r="I836" i="120" s="1"/>
  <c r="I835" i="120" s="1"/>
  <c r="H837" i="120"/>
  <c r="H836" i="120" s="1"/>
  <c r="H835" i="120" s="1"/>
  <c r="G515" i="119"/>
  <c r="G514" i="119" s="1"/>
  <c r="F92" i="112" l="1"/>
  <c r="E92" i="112"/>
  <c r="D92" i="112"/>
  <c r="F78" i="112"/>
  <c r="E85" i="112"/>
  <c r="F100" i="112" l="1"/>
  <c r="E100" i="112"/>
  <c r="D100" i="112"/>
  <c r="D97" i="112" s="1"/>
  <c r="F99" i="112"/>
  <c r="E99" i="112"/>
  <c r="F96" i="112"/>
  <c r="E96" i="112"/>
  <c r="D96" i="112"/>
  <c r="E91" i="112"/>
  <c r="G104" i="119" s="1"/>
  <c r="F91" i="112"/>
  <c r="H104" i="119" s="1"/>
  <c r="D91" i="112"/>
  <c r="F104" i="119" s="1"/>
  <c r="F90" i="112"/>
  <c r="E90" i="112"/>
  <c r="D90" i="112"/>
  <c r="F89" i="112"/>
  <c r="E89" i="112"/>
  <c r="D89" i="112"/>
  <c r="F85" i="112"/>
  <c r="D85" i="112"/>
  <c r="F82" i="112"/>
  <c r="E82" i="112"/>
  <c r="D82" i="112"/>
  <c r="F79" i="112"/>
  <c r="E79" i="112"/>
  <c r="D79" i="112"/>
  <c r="E78" i="112"/>
  <c r="D78" i="112"/>
  <c r="F76" i="112"/>
  <c r="E76" i="112"/>
  <c r="D76" i="112"/>
  <c r="F75" i="112"/>
  <c r="E75" i="112"/>
  <c r="D75" i="112"/>
  <c r="D71" i="112"/>
  <c r="D58" i="112" s="1"/>
  <c r="F57" i="112"/>
  <c r="E57" i="112"/>
  <c r="D57" i="112"/>
  <c r="F56" i="112"/>
  <c r="E56" i="112"/>
  <c r="D56" i="112"/>
  <c r="E97" i="112" l="1"/>
  <c r="F97" i="112"/>
  <c r="D55" i="112"/>
  <c r="E55" i="112"/>
  <c r="F51" i="112"/>
  <c r="E51" i="112"/>
  <c r="D51" i="112"/>
  <c r="D46" i="112" s="1"/>
  <c r="D87" i="112" l="1"/>
  <c r="D73" i="112" s="1"/>
  <c r="F87" i="112"/>
  <c r="E87" i="112"/>
  <c r="D49" i="113" l="1"/>
  <c r="E47" i="113" l="1"/>
  <c r="F64" i="119" l="1"/>
  <c r="D79" i="113" l="1"/>
  <c r="D25" i="112" l="1"/>
  <c r="D22" i="112" l="1"/>
  <c r="F98" i="113"/>
  <c r="E98" i="113"/>
  <c r="G42" i="119" l="1"/>
  <c r="G19" i="119"/>
  <c r="E321" i="113"/>
  <c r="E80" i="113" l="1"/>
  <c r="E192" i="113"/>
  <c r="H42" i="119"/>
  <c r="G128" i="119" l="1"/>
  <c r="H128" i="119"/>
  <c r="D13" i="121" l="1"/>
  <c r="E13" i="121" s="1"/>
  <c r="E15" i="121"/>
  <c r="C17" i="121"/>
  <c r="D43" i="112" l="1"/>
  <c r="D87" i="113" l="1"/>
  <c r="E87" i="113"/>
  <c r="F87" i="113"/>
  <c r="E88" i="113"/>
  <c r="F88" i="113"/>
  <c r="D90" i="113"/>
  <c r="D89" i="113" s="1"/>
  <c r="E90" i="113"/>
  <c r="F90" i="113"/>
  <c r="F91" i="113" s="1"/>
  <c r="D92" i="113"/>
  <c r="E92" i="113"/>
  <c r="F92" i="113"/>
  <c r="D95" i="113"/>
  <c r="D94" i="113" s="1"/>
  <c r="E95" i="113"/>
  <c r="E94" i="113" s="1"/>
  <c r="F95" i="113"/>
  <c r="F94" i="113" s="1"/>
  <c r="E91" i="113" l="1"/>
  <c r="H908" i="120"/>
  <c r="F89" i="113"/>
  <c r="E89" i="113"/>
  <c r="F263" i="113" l="1"/>
  <c r="E151" i="113"/>
  <c r="E122" i="113"/>
  <c r="F122" i="113"/>
  <c r="E100" i="113"/>
  <c r="E97" i="113"/>
  <c r="E70" i="113"/>
  <c r="F70" i="113"/>
  <c r="G25" i="119"/>
  <c r="G69" i="119"/>
  <c r="H69" i="119"/>
  <c r="G85" i="119"/>
  <c r="H85" i="119"/>
  <c r="G100" i="119"/>
  <c r="H100" i="119"/>
  <c r="G139" i="119"/>
  <c r="H139" i="119"/>
  <c r="G142" i="119"/>
  <c r="H142" i="119"/>
  <c r="G175" i="119"/>
  <c r="H175" i="119"/>
  <c r="G196" i="119"/>
  <c r="H196" i="119"/>
  <c r="G199" i="119"/>
  <c r="H199" i="119"/>
  <c r="G205" i="119"/>
  <c r="H205" i="119"/>
  <c r="G347" i="119"/>
  <c r="H347" i="119"/>
  <c r="G368" i="119"/>
  <c r="H368" i="119"/>
  <c r="G371" i="119"/>
  <c r="H371" i="119"/>
  <c r="G375" i="119"/>
  <c r="H375" i="119"/>
  <c r="G378" i="119"/>
  <c r="H378" i="119"/>
  <c r="G418" i="119"/>
  <c r="H418" i="119"/>
  <c r="G424" i="119"/>
  <c r="H424" i="119"/>
  <c r="G485" i="119"/>
  <c r="H485" i="119"/>
  <c r="G488" i="119"/>
  <c r="H488" i="119"/>
  <c r="G533" i="119"/>
  <c r="H533" i="119"/>
  <c r="G539" i="119"/>
  <c r="H539" i="119"/>
  <c r="G552" i="119"/>
  <c r="H552" i="119"/>
  <c r="G584" i="119"/>
  <c r="H584" i="119"/>
  <c r="G633" i="119"/>
  <c r="G649" i="119"/>
  <c r="G658" i="119"/>
  <c r="H658" i="119"/>
  <c r="G661" i="119"/>
  <c r="H661" i="119"/>
  <c r="G665" i="119"/>
  <c r="H665" i="119"/>
  <c r="G667" i="119"/>
  <c r="H667" i="119"/>
  <c r="G672" i="119"/>
  <c r="H672" i="119"/>
  <c r="G779" i="119"/>
  <c r="H779" i="119"/>
  <c r="G781" i="119"/>
  <c r="H781" i="119"/>
  <c r="G784" i="119"/>
  <c r="H784" i="119"/>
  <c r="G787" i="119"/>
  <c r="H787" i="119"/>
  <c r="H540" i="119"/>
  <c r="F79" i="113"/>
  <c r="H534" i="119" s="1"/>
  <c r="H55" i="119"/>
  <c r="G657" i="119" l="1"/>
  <c r="H941" i="120"/>
  <c r="H940" i="120" s="1"/>
  <c r="G654" i="119"/>
  <c r="H657" i="119"/>
  <c r="H654" i="119"/>
  <c r="I941" i="120"/>
  <c r="I940" i="120" s="1"/>
  <c r="G967" i="119"/>
  <c r="H967" i="119"/>
  <c r="G895" i="119"/>
  <c r="H895" i="119"/>
  <c r="G826" i="119"/>
  <c r="H826" i="119"/>
  <c r="G811" i="119"/>
  <c r="H811" i="119"/>
  <c r="G804" i="119"/>
  <c r="H804" i="119"/>
  <c r="H274" i="119"/>
  <c r="G291" i="119"/>
  <c r="H291" i="119"/>
  <c r="G312" i="119"/>
  <c r="H312" i="119"/>
  <c r="G317" i="119"/>
  <c r="H317" i="119"/>
  <c r="H276" i="119"/>
  <c r="H1021" i="120"/>
  <c r="I1021" i="120"/>
  <c r="G225" i="120"/>
  <c r="G224" i="120" s="1"/>
  <c r="G223" i="120" s="1"/>
  <c r="H225" i="120"/>
  <c r="H224" i="120" s="1"/>
  <c r="H223" i="120" s="1"/>
  <c r="H1016" i="120"/>
  <c r="I1016" i="120"/>
  <c r="H1018" i="120"/>
  <c r="I1018" i="120"/>
  <c r="G53" i="119"/>
  <c r="G981" i="119"/>
  <c r="H981" i="119"/>
  <c r="H656" i="120"/>
  <c r="I656" i="120"/>
  <c r="G656" i="120"/>
  <c r="H258" i="119"/>
  <c r="F317" i="119"/>
  <c r="F312" i="119"/>
  <c r="G922" i="120"/>
  <c r="F633" i="119"/>
  <c r="G308" i="119" l="1"/>
  <c r="F308" i="119"/>
  <c r="H308" i="119"/>
  <c r="G687" i="120"/>
  <c r="G686" i="120" s="1"/>
  <c r="G469" i="120" l="1"/>
  <c r="G468" i="120" s="1"/>
  <c r="G980" i="119"/>
  <c r="H980" i="119"/>
  <c r="H32" i="120"/>
  <c r="H31" i="120" s="1"/>
  <c r="H30" i="120" s="1"/>
  <c r="I32" i="120"/>
  <c r="I31" i="120" s="1"/>
  <c r="I30" i="120" s="1"/>
  <c r="G32" i="120"/>
  <c r="G31" i="120" s="1"/>
  <c r="G30" i="120" s="1"/>
  <c r="H702" i="120"/>
  <c r="I702" i="120"/>
  <c r="G568" i="120"/>
  <c r="G427" i="120"/>
  <c r="G235" i="120"/>
  <c r="F291" i="119"/>
  <c r="F142" i="119"/>
  <c r="F29" i="119"/>
  <c r="I591" i="120"/>
  <c r="H591" i="120"/>
  <c r="I593" i="120"/>
  <c r="I594" i="120"/>
  <c r="H594" i="120"/>
  <c r="H678" i="120" l="1"/>
  <c r="I678" i="120"/>
  <c r="G372" i="120"/>
  <c r="H202" i="120"/>
  <c r="G202" i="120"/>
  <c r="H215" i="119"/>
  <c r="H214" i="119" s="1"/>
  <c r="H213" i="119" s="1"/>
  <c r="G215" i="119"/>
  <c r="G214" i="119" s="1"/>
  <c r="G213" i="119" s="1"/>
  <c r="F215" i="119"/>
  <c r="F214" i="119" s="1"/>
  <c r="F213" i="119" s="1"/>
  <c r="G52" i="120"/>
  <c r="G51" i="120" s="1"/>
  <c r="F533" i="119"/>
  <c r="F534" i="119"/>
  <c r="F652" i="119"/>
  <c r="G652" i="119"/>
  <c r="H652" i="119"/>
  <c r="H946" i="120"/>
  <c r="I946" i="120"/>
  <c r="F661" i="119"/>
  <c r="F888" i="119" l="1"/>
  <c r="F967" i="119"/>
  <c r="F536" i="119" l="1"/>
  <c r="G261" i="119"/>
  <c r="F261" i="119"/>
  <c r="G259" i="119"/>
  <c r="F259" i="119"/>
  <c r="H257" i="119"/>
  <c r="H256" i="119" s="1"/>
  <c r="I201" i="120" s="1"/>
  <c r="I200" i="120" s="1"/>
  <c r="G55" i="119"/>
  <c r="F55" i="119"/>
  <c r="G89" i="119" l="1"/>
  <c r="H89" i="119"/>
  <c r="G279" i="119"/>
  <c r="G278" i="119" s="1"/>
  <c r="G277" i="119" s="1"/>
  <c r="F279" i="119"/>
  <c r="F278" i="119" s="1"/>
  <c r="F277" i="119" s="1"/>
  <c r="H277" i="119"/>
  <c r="F54" i="119" l="1"/>
  <c r="F326" i="113" l="1"/>
  <c r="H261" i="119" s="1"/>
  <c r="E326" i="113"/>
  <c r="D326" i="113"/>
  <c r="F327" i="113"/>
  <c r="I225" i="120" s="1"/>
  <c r="I224" i="120" s="1"/>
  <c r="I223" i="120" s="1"/>
  <c r="I204" i="120" s="1"/>
  <c r="H260" i="119" l="1"/>
  <c r="H259" i="119" s="1"/>
  <c r="I203" i="120"/>
  <c r="H856" i="119"/>
  <c r="H855" i="119" s="1"/>
  <c r="H854" i="119" s="1"/>
  <c r="H853" i="119" s="1"/>
  <c r="H852" i="119" s="1"/>
  <c r="H851" i="119" s="1"/>
  <c r="G856" i="119"/>
  <c r="G855" i="119" s="1"/>
  <c r="G854" i="119" s="1"/>
  <c r="G853" i="119" s="1"/>
  <c r="G852" i="119" s="1"/>
  <c r="G851" i="119" s="1"/>
  <c r="F852" i="119"/>
  <c r="F851" i="119" s="1"/>
  <c r="I202" i="120" l="1"/>
  <c r="F65" i="119" l="1"/>
  <c r="H101" i="119"/>
  <c r="F110" i="119"/>
  <c r="G108" i="119"/>
  <c r="H108" i="119"/>
  <c r="F108" i="119"/>
  <c r="G62" i="120"/>
  <c r="F25" i="119"/>
  <c r="H556" i="119"/>
  <c r="H557" i="119"/>
  <c r="F183" i="113"/>
  <c r="H751" i="119" s="1"/>
  <c r="F175" i="113"/>
  <c r="H719" i="119" s="1"/>
  <c r="F156" i="113"/>
  <c r="H705" i="119" s="1"/>
  <c r="F47" i="113"/>
  <c r="F46" i="113" s="1"/>
  <c r="F270" i="113"/>
  <c r="H25" i="119" s="1"/>
  <c r="E79" i="113"/>
  <c r="E46" i="113"/>
  <c r="G540" i="119"/>
  <c r="H859" i="120" s="1"/>
  <c r="E183" i="113"/>
  <c r="G751" i="119" s="1"/>
  <c r="E175" i="113"/>
  <c r="G719" i="119" s="1"/>
  <c r="E156" i="113"/>
  <c r="G705" i="119" s="1"/>
  <c r="G557" i="119"/>
  <c r="G556" i="119"/>
  <c r="F188" i="113"/>
  <c r="H756" i="119" s="1"/>
  <c r="E188" i="113"/>
  <c r="G756" i="119" s="1"/>
  <c r="F323" i="113"/>
  <c r="E323" i="113"/>
  <c r="F322" i="113"/>
  <c r="E322" i="113"/>
  <c r="E264" i="113"/>
  <c r="E253" i="113"/>
  <c r="G270" i="119" s="1"/>
  <c r="F253" i="113"/>
  <c r="H270" i="119" s="1"/>
  <c r="E250" i="113"/>
  <c r="F250" i="113"/>
  <c r="E236" i="113"/>
  <c r="G357" i="119" s="1"/>
  <c r="F236" i="113"/>
  <c r="H357" i="119" s="1"/>
  <c r="E227" i="113"/>
  <c r="G979" i="119" s="1"/>
  <c r="F227" i="113"/>
  <c r="E185" i="113"/>
  <c r="G563" i="119" s="1"/>
  <c r="H386" i="120" s="1"/>
  <c r="F185" i="113"/>
  <c r="H563" i="119" s="1"/>
  <c r="I386" i="120" s="1"/>
  <c r="E180" i="113"/>
  <c r="G726" i="119" s="1"/>
  <c r="F180" i="113"/>
  <c r="H726" i="119" s="1"/>
  <c r="E159" i="113"/>
  <c r="G713" i="119" s="1"/>
  <c r="F159" i="113"/>
  <c r="H713" i="119" s="1"/>
  <c r="E146" i="113"/>
  <c r="G936" i="119" s="1"/>
  <c r="F146" i="113"/>
  <c r="H936" i="119" s="1"/>
  <c r="E143" i="113"/>
  <c r="G950" i="119" s="1"/>
  <c r="H998" i="120" s="1"/>
  <c r="F143" i="113"/>
  <c r="H950" i="119" s="1"/>
  <c r="I998" i="120" s="1"/>
  <c r="E107" i="113"/>
  <c r="G524" i="119" s="1"/>
  <c r="F107" i="113"/>
  <c r="H524" i="119" s="1"/>
  <c r="E106" i="113"/>
  <c r="F106" i="113"/>
  <c r="G632" i="119"/>
  <c r="H632" i="119"/>
  <c r="E84" i="113"/>
  <c r="F84" i="113"/>
  <c r="E69" i="113"/>
  <c r="F69" i="113"/>
  <c r="E68" i="113"/>
  <c r="F68" i="113"/>
  <c r="E49" i="113"/>
  <c r="F49" i="113"/>
  <c r="E53" i="113"/>
  <c r="G510" i="119" s="1"/>
  <c r="F53" i="113"/>
  <c r="H510" i="119" s="1"/>
  <c r="E54" i="113"/>
  <c r="G513" i="119" s="1"/>
  <c r="F54" i="113"/>
  <c r="H513" i="119" s="1"/>
  <c r="G433" i="119" l="1"/>
  <c r="H433" i="119"/>
  <c r="H865" i="119"/>
  <c r="F251" i="113"/>
  <c r="G865" i="119"/>
  <c r="E251" i="113"/>
  <c r="E249" i="113" s="1"/>
  <c r="G534" i="119"/>
  <c r="H855" i="120"/>
  <c r="G507" i="119"/>
  <c r="H507" i="119"/>
  <c r="E105" i="113"/>
  <c r="G521" i="119"/>
  <c r="H842" i="120" s="1"/>
  <c r="H841" i="120" s="1"/>
  <c r="H979" i="119"/>
  <c r="H633" i="119"/>
  <c r="F97" i="113"/>
  <c r="H549" i="119"/>
  <c r="F83" i="113"/>
  <c r="H421" i="119"/>
  <c r="H623" i="119"/>
  <c r="I915" i="120"/>
  <c r="E263" i="113"/>
  <c r="G258" i="119"/>
  <c r="G257" i="119" s="1"/>
  <c r="G256" i="119" s="1"/>
  <c r="H201" i="120" s="1"/>
  <c r="H200" i="120" s="1"/>
  <c r="F24" i="119"/>
  <c r="H915" i="120"/>
  <c r="G421" i="119"/>
  <c r="G549" i="119"/>
  <c r="E83" i="113"/>
  <c r="G623" i="119"/>
  <c r="F105" i="113"/>
  <c r="H521" i="119"/>
  <c r="I842" i="120" s="1"/>
  <c r="H19" i="119" l="1"/>
  <c r="E325" i="113"/>
  <c r="G47" i="119" s="1"/>
  <c r="F325" i="113"/>
  <c r="H47" i="119" s="1"/>
  <c r="E324" i="113"/>
  <c r="G400" i="119" s="1"/>
  <c r="F324" i="113"/>
  <c r="H400" i="119" s="1"/>
  <c r="F321" i="113"/>
  <c r="E320" i="113"/>
  <c r="F320" i="113"/>
  <c r="E319" i="113"/>
  <c r="G251" i="119" s="1"/>
  <c r="F319" i="113"/>
  <c r="H251" i="119" s="1"/>
  <c r="E316" i="113"/>
  <c r="F316" i="113"/>
  <c r="E218" i="113"/>
  <c r="F218" i="113"/>
  <c r="E204" i="113"/>
  <c r="F204" i="113"/>
  <c r="E193" i="113"/>
  <c r="F193" i="113"/>
  <c r="E191" i="113"/>
  <c r="F191" i="113"/>
  <c r="E187" i="113"/>
  <c r="F187" i="113"/>
  <c r="F182" i="113"/>
  <c r="E182" i="113"/>
  <c r="E181" i="113"/>
  <c r="G729" i="119" s="1"/>
  <c r="F181" i="113"/>
  <c r="H729" i="119" s="1"/>
  <c r="E174" i="113"/>
  <c r="F174" i="113"/>
  <c r="E160" i="113"/>
  <c r="G716" i="119" s="1"/>
  <c r="F160" i="113"/>
  <c r="H716" i="119" s="1"/>
  <c r="F151" i="113"/>
  <c r="E147" i="113"/>
  <c r="G939" i="119" s="1"/>
  <c r="F147" i="113"/>
  <c r="H939" i="119" s="1"/>
  <c r="E103" i="113"/>
  <c r="F103" i="113"/>
  <c r="D84" i="113"/>
  <c r="E74" i="113"/>
  <c r="F74" i="113"/>
  <c r="E14" i="113"/>
  <c r="F14" i="113"/>
  <c r="F190" i="113" l="1"/>
  <c r="E190" i="113"/>
  <c r="D115" i="113" l="1"/>
  <c r="D112" i="113" s="1"/>
  <c r="D122" i="113" l="1"/>
  <c r="D70" i="113"/>
  <c r="D14" i="113"/>
  <c r="H91" i="119"/>
  <c r="H88" i="119" s="1"/>
  <c r="E157" i="113" l="1"/>
  <c r="F157" i="113"/>
  <c r="F211" i="113" l="1"/>
  <c r="F209" i="113" s="1"/>
  <c r="E211" i="113"/>
  <c r="E209" i="113" s="1"/>
  <c r="G287" i="119" l="1"/>
  <c r="H287" i="119"/>
  <c r="F826" i="119"/>
  <c r="H827" i="119" l="1"/>
  <c r="H828" i="119" s="1"/>
  <c r="F827" i="119"/>
  <c r="G827" i="119"/>
  <c r="G828" i="119" s="1"/>
  <c r="G987" i="119" l="1"/>
  <c r="E224" i="113"/>
  <c r="H987" i="119"/>
  <c r="F224" i="113"/>
  <c r="F828" i="119"/>
  <c r="G983" i="120" s="1"/>
  <c r="F981" i="119"/>
  <c r="H973" i="119" l="1"/>
  <c r="G973" i="119"/>
  <c r="E12" i="121"/>
  <c r="D17" i="121"/>
  <c r="D12" i="121" s="1"/>
  <c r="C15" i="121"/>
  <c r="D15" i="121" l="1"/>
  <c r="C12" i="121"/>
  <c r="F507" i="119" l="1"/>
  <c r="D321" i="113"/>
  <c r="D325" i="113"/>
  <c r="D324" i="113"/>
  <c r="D320" i="113"/>
  <c r="D319" i="113"/>
  <c r="D316" i="113"/>
  <c r="E315" i="113"/>
  <c r="F315" i="113"/>
  <c r="D315" i="113"/>
  <c r="E313" i="113"/>
  <c r="F313" i="113"/>
  <c r="D313" i="113"/>
  <c r="E312" i="113"/>
  <c r="F312" i="113"/>
  <c r="D312" i="113"/>
  <c r="E272" i="113"/>
  <c r="F272" i="113"/>
  <c r="H409" i="119" l="1"/>
  <c r="D340" i="113"/>
  <c r="G409" i="119"/>
  <c r="H587" i="119"/>
  <c r="G587" i="119"/>
  <c r="F409" i="119"/>
  <c r="G348" i="120"/>
  <c r="D174" i="113"/>
  <c r="H433" i="120"/>
  <c r="I433" i="120"/>
  <c r="D159" i="113"/>
  <c r="E145" i="113"/>
  <c r="F145" i="113"/>
  <c r="D146" i="113"/>
  <c r="D147" i="113" s="1"/>
  <c r="F713" i="119" l="1"/>
  <c r="G433" i="120" s="1"/>
  <c r="D145" i="113"/>
  <c r="F716" i="119"/>
  <c r="G436" i="120" s="1"/>
  <c r="E115" i="113"/>
  <c r="E112" i="113" s="1"/>
  <c r="F115" i="113"/>
  <c r="F112" i="113" s="1"/>
  <c r="F101" i="113"/>
  <c r="D158" i="113" l="1"/>
  <c r="H649" i="119"/>
  <c r="F100" i="113"/>
  <c r="I436" i="120"/>
  <c r="F158" i="113"/>
  <c r="H436" i="120"/>
  <c r="E158" i="113"/>
  <c r="D17" i="113"/>
  <c r="D143" i="113" l="1"/>
  <c r="F144" i="113" l="1"/>
  <c r="H953" i="119" s="1"/>
  <c r="F953" i="119"/>
  <c r="F950" i="119"/>
  <c r="G998" i="120" s="1"/>
  <c r="E144" i="113"/>
  <c r="G953" i="119" s="1"/>
  <c r="D250" i="113"/>
  <c r="D249" i="113" s="1"/>
  <c r="G1001" i="120" l="1"/>
  <c r="G580" i="120"/>
  <c r="H1001" i="120"/>
  <c r="I1001" i="120"/>
  <c r="E142" i="113"/>
  <c r="F142" i="113"/>
  <c r="D142" i="113"/>
  <c r="F833" i="119"/>
  <c r="D106" i="113"/>
  <c r="F521" i="119" s="1"/>
  <c r="G842" i="120" s="1"/>
  <c r="F868" i="119" l="1"/>
  <c r="G868" i="119"/>
  <c r="F249" i="113"/>
  <c r="H868" i="119"/>
  <c r="D107" i="113"/>
  <c r="D105" i="113" s="1"/>
  <c r="D78" i="113"/>
  <c r="E58" i="112" l="1"/>
  <c r="E46" i="112" s="1"/>
  <c r="F58" i="112"/>
  <c r="F46" i="112" s="1"/>
  <c r="E33" i="113" l="1"/>
  <c r="F33" i="113"/>
  <c r="E36" i="113"/>
  <c r="F36" i="113"/>
  <c r="D36" i="113"/>
  <c r="E42" i="113"/>
  <c r="F42" i="113"/>
  <c r="D42" i="113"/>
  <c r="E45" i="113"/>
  <c r="F45" i="113"/>
  <c r="D45" i="113"/>
  <c r="E39" i="113"/>
  <c r="F39" i="113"/>
  <c r="F243" i="113" l="1"/>
  <c r="F238" i="113" s="1"/>
  <c r="D177" i="113"/>
  <c r="F186" i="113"/>
  <c r="E186" i="113"/>
  <c r="D185" i="113"/>
  <c r="D180" i="113"/>
  <c r="F563" i="119" l="1"/>
  <c r="G386" i="120" s="1"/>
  <c r="E184" i="113"/>
  <c r="G565" i="119"/>
  <c r="F184" i="113"/>
  <c r="H565" i="119"/>
  <c r="F729" i="119"/>
  <c r="F726" i="119"/>
  <c r="F179" i="113" l="1"/>
  <c r="E179" i="113"/>
  <c r="G691" i="120"/>
  <c r="H56" i="119"/>
  <c r="G56" i="119"/>
  <c r="F52" i="119"/>
  <c r="G345" i="120" l="1"/>
  <c r="G347" i="120"/>
  <c r="F411" i="119" l="1"/>
  <c r="F410" i="119" s="1"/>
  <c r="F406" i="119" l="1"/>
  <c r="G350" i="120"/>
  <c r="G349" i="120" s="1"/>
  <c r="G346" i="120" l="1"/>
  <c r="G344" i="120" s="1"/>
  <c r="G343" i="120" s="1"/>
  <c r="G678" i="120" l="1"/>
  <c r="G674" i="120"/>
  <c r="G673" i="120" s="1"/>
  <c r="D34" i="112" l="1"/>
  <c r="D21" i="112"/>
  <c r="G361" i="119" l="1"/>
  <c r="H361" i="119"/>
  <c r="F361" i="119"/>
  <c r="F360" i="119" s="1"/>
  <c r="F359" i="119" s="1"/>
  <c r="G360" i="119" l="1"/>
  <c r="G359" i="119"/>
  <c r="H360" i="119"/>
  <c r="H359" i="119" s="1"/>
  <c r="F237" i="113" l="1"/>
  <c r="I301" i="120"/>
  <c r="E237" i="113"/>
  <c r="H301" i="120"/>
  <c r="H302" i="120" l="1"/>
  <c r="H300" i="120" s="1"/>
  <c r="G358" i="119"/>
  <c r="I302" i="120"/>
  <c r="I300" i="120" s="1"/>
  <c r="H358" i="119"/>
  <c r="E235" i="113"/>
  <c r="F235" i="113"/>
  <c r="G255" i="119" l="1"/>
  <c r="H255" i="119"/>
  <c r="D25" i="113" l="1"/>
  <c r="D264" i="113" l="1"/>
  <c r="F258" i="119" s="1"/>
  <c r="F257" i="119" s="1"/>
  <c r="F256" i="119" s="1"/>
  <c r="D263" i="113" l="1"/>
  <c r="G201" i="120" l="1"/>
  <c r="G200" i="120" s="1"/>
  <c r="F255" i="119"/>
  <c r="H278" i="120" l="1"/>
  <c r="H277" i="120" s="1"/>
  <c r="I278" i="120"/>
  <c r="I277" i="120" s="1"/>
  <c r="F169" i="119"/>
  <c r="G278" i="120"/>
  <c r="G277" i="120" s="1"/>
  <c r="G533" i="120" l="1"/>
  <c r="G881" i="120"/>
  <c r="G569" i="120" l="1"/>
  <c r="G567" i="120" s="1"/>
  <c r="G845" i="120" l="1"/>
  <c r="G844" i="120" s="1"/>
  <c r="G843" i="120" s="1"/>
  <c r="G448" i="119"/>
  <c r="H448" i="119"/>
  <c r="G463" i="119"/>
  <c r="H463" i="119"/>
  <c r="F520" i="119"/>
  <c r="F524" i="119"/>
  <c r="F523" i="119" s="1"/>
  <c r="F522" i="119" s="1"/>
  <c r="F517" i="119" l="1"/>
  <c r="F519" i="119"/>
  <c r="F518" i="119" s="1"/>
  <c r="F504" i="119"/>
  <c r="H845" i="120" l="1"/>
  <c r="H844" i="120" s="1"/>
  <c r="H843" i="120" s="1"/>
  <c r="G523" i="119"/>
  <c r="G522" i="119" s="1"/>
  <c r="G504" i="119"/>
  <c r="H825" i="120"/>
  <c r="I845" i="120"/>
  <c r="I844" i="120" s="1"/>
  <c r="I843" i="120" s="1"/>
  <c r="H523" i="119"/>
  <c r="H522" i="119" s="1"/>
  <c r="H504" i="119"/>
  <c r="I825" i="120"/>
  <c r="H520" i="119"/>
  <c r="H519" i="119" s="1"/>
  <c r="G520" i="119"/>
  <c r="G519" i="119" s="1"/>
  <c r="G518" i="119" l="1"/>
  <c r="G517" i="119" s="1"/>
  <c r="H518" i="119"/>
  <c r="H517" i="119" s="1"/>
  <c r="D257" i="113" l="1"/>
  <c r="G187" i="120"/>
  <c r="F242" i="119"/>
  <c r="F421" i="119"/>
  <c r="F451" i="119"/>
  <c r="G751" i="120" l="1"/>
  <c r="G775" i="120"/>
  <c r="D182" i="113" l="1"/>
  <c r="H118" i="120" l="1"/>
  <c r="I118" i="120"/>
  <c r="G118" i="120"/>
  <c r="G476" i="119"/>
  <c r="G475" i="119" s="1"/>
  <c r="H476" i="119"/>
  <c r="H475" i="119" s="1"/>
  <c r="G98" i="120"/>
  <c r="F147" i="119" l="1"/>
  <c r="E43" i="113"/>
  <c r="F43" i="113"/>
  <c r="D43" i="113"/>
  <c r="D40" i="113"/>
  <c r="E40" i="113"/>
  <c r="F40" i="113"/>
  <c r="E34" i="113"/>
  <c r="F34" i="113"/>
  <c r="D34" i="113"/>
  <c r="E31" i="113"/>
  <c r="F31" i="113"/>
  <c r="D31" i="113"/>
  <c r="D29" i="113"/>
  <c r="F467" i="119" l="1"/>
  <c r="G793" i="120"/>
  <c r="G800" i="120"/>
  <c r="F474" i="119"/>
  <c r="F473" i="119" s="1"/>
  <c r="F472" i="119" s="1"/>
  <c r="G803" i="120"/>
  <c r="F477" i="119"/>
  <c r="F476" i="119" s="1"/>
  <c r="F475" i="119" s="1"/>
  <c r="F470" i="119"/>
  <c r="G796" i="120"/>
  <c r="D28" i="113"/>
  <c r="I569" i="120"/>
  <c r="I568" i="120"/>
  <c r="I566" i="120"/>
  <c r="G880" i="119"/>
  <c r="F880" i="119"/>
  <c r="H878" i="119"/>
  <c r="H877" i="119" s="1"/>
  <c r="G878" i="119"/>
  <c r="F878" i="119"/>
  <c r="H875" i="119"/>
  <c r="H874" i="119" s="1"/>
  <c r="G875" i="119"/>
  <c r="G874" i="119" s="1"/>
  <c r="F875" i="119"/>
  <c r="F874" i="119" s="1"/>
  <c r="H872" i="119"/>
  <c r="H871" i="119" s="1"/>
  <c r="G872" i="119"/>
  <c r="G871" i="119" s="1"/>
  <c r="F872" i="119"/>
  <c r="F871" i="119" s="1"/>
  <c r="H590" i="120"/>
  <c r="I590" i="120"/>
  <c r="G590" i="120"/>
  <c r="H592" i="120"/>
  <c r="I592" i="120"/>
  <c r="G592" i="120"/>
  <c r="H587" i="120"/>
  <c r="H586" i="120" s="1"/>
  <c r="I587" i="120"/>
  <c r="I586" i="120" s="1"/>
  <c r="G587" i="120"/>
  <c r="G586" i="120" s="1"/>
  <c r="H584" i="120"/>
  <c r="H583" i="120" s="1"/>
  <c r="I584" i="120"/>
  <c r="I583" i="120" s="1"/>
  <c r="G584" i="120"/>
  <c r="G583" i="120" s="1"/>
  <c r="A597" i="120"/>
  <c r="H589" i="120" l="1"/>
  <c r="H870" i="119"/>
  <c r="H869" i="119" s="1"/>
  <c r="F877" i="119"/>
  <c r="F870" i="119" s="1"/>
  <c r="F869" i="119" s="1"/>
  <c r="G877" i="119"/>
  <c r="G589" i="120"/>
  <c r="G582" i="120" s="1"/>
  <c r="G581" i="120" s="1"/>
  <c r="F471" i="119"/>
  <c r="I589" i="120"/>
  <c r="I582" i="120" l="1"/>
  <c r="I581" i="120" s="1"/>
  <c r="G870" i="119"/>
  <c r="H582" i="120"/>
  <c r="H581" i="120" s="1"/>
  <c r="G869" i="119"/>
  <c r="G840" i="119"/>
  <c r="H840" i="119"/>
  <c r="H553" i="120"/>
  <c r="I553" i="120"/>
  <c r="G553" i="120"/>
  <c r="H800" i="120"/>
  <c r="H799" i="120" s="1"/>
  <c r="H798" i="120" s="1"/>
  <c r="I800" i="120"/>
  <c r="I799" i="120" s="1"/>
  <c r="I798" i="120" s="1"/>
  <c r="G799" i="120"/>
  <c r="G798" i="120" s="1"/>
  <c r="H803" i="120"/>
  <c r="H802" i="120" s="1"/>
  <c r="H801" i="120" s="1"/>
  <c r="I803" i="120"/>
  <c r="I802" i="120" s="1"/>
  <c r="I801" i="120" s="1"/>
  <c r="H796" i="120"/>
  <c r="I796" i="120"/>
  <c r="H793" i="120"/>
  <c r="I793" i="120"/>
  <c r="G473" i="119"/>
  <c r="G472" i="119" s="1"/>
  <c r="G471" i="119" s="1"/>
  <c r="H473" i="119"/>
  <c r="H472" i="119" s="1"/>
  <c r="H471" i="119" s="1"/>
  <c r="G470" i="119"/>
  <c r="H470" i="119"/>
  <c r="G467" i="119"/>
  <c r="H467" i="119"/>
  <c r="H797" i="120" l="1"/>
  <c r="I797" i="120"/>
  <c r="G802" i="120" l="1"/>
  <c r="G801" i="120" s="1"/>
  <c r="G797" i="120" s="1"/>
  <c r="A599" i="120"/>
  <c r="H134" i="119" l="1"/>
  <c r="G134" i="119"/>
  <c r="G819" i="119"/>
  <c r="H819" i="119"/>
  <c r="F819" i="119"/>
  <c r="H548" i="120"/>
  <c r="I548" i="120"/>
  <c r="G548" i="120"/>
  <c r="H87" i="120"/>
  <c r="I87" i="120"/>
  <c r="H603" i="120"/>
  <c r="H602" i="120" s="1"/>
  <c r="I603" i="120"/>
  <c r="I602" i="120" s="1"/>
  <c r="G603" i="120"/>
  <c r="G602" i="120" s="1"/>
  <c r="A598" i="120"/>
  <c r="H888" i="119"/>
  <c r="G888" i="119"/>
  <c r="H886" i="119"/>
  <c r="G886" i="119"/>
  <c r="G601" i="120"/>
  <c r="G600" i="120" s="1"/>
  <c r="F840" i="119"/>
  <c r="G885" i="119" l="1"/>
  <c r="H885" i="119"/>
  <c r="G884" i="119"/>
  <c r="G87" i="120"/>
  <c r="I601" i="120"/>
  <c r="I600" i="120" s="1"/>
  <c r="I599" i="120" s="1"/>
  <c r="H601" i="120"/>
  <c r="H600" i="120" s="1"/>
  <c r="H599" i="120" s="1"/>
  <c r="F134" i="119"/>
  <c r="F886" i="119"/>
  <c r="F885" i="119" s="1"/>
  <c r="G599" i="120"/>
  <c r="G596" i="120" s="1"/>
  <c r="I598" i="120" l="1"/>
  <c r="I597" i="120" s="1"/>
  <c r="I596" i="120"/>
  <c r="H883" i="119"/>
  <c r="H598" i="120"/>
  <c r="H597" i="120" s="1"/>
  <c r="H596" i="120"/>
  <c r="G883" i="119"/>
  <c r="G598" i="120"/>
  <c r="G597" i="120" s="1"/>
  <c r="F884" i="119"/>
  <c r="F883" i="119"/>
  <c r="H884" i="119"/>
  <c r="I738" i="120"/>
  <c r="H676" i="120" l="1"/>
  <c r="I676" i="120"/>
  <c r="G626" i="119" l="1"/>
  <c r="G625" i="119" s="1"/>
  <c r="G624" i="119" s="1"/>
  <c r="E73" i="113"/>
  <c r="H323" i="120"/>
  <c r="I323" i="120"/>
  <c r="H230" i="120"/>
  <c r="I230" i="120"/>
  <c r="H175" i="120"/>
  <c r="I175" i="120"/>
  <c r="H151" i="120"/>
  <c r="H150" i="120" s="1"/>
  <c r="I151" i="120"/>
  <c r="I150" i="120" s="1"/>
  <c r="H148" i="120"/>
  <c r="I148" i="120"/>
  <c r="H145" i="120"/>
  <c r="I145" i="120"/>
  <c r="H866" i="120"/>
  <c r="I866" i="120"/>
  <c r="G457" i="119"/>
  <c r="H457" i="119"/>
  <c r="H911" i="120"/>
  <c r="H910" i="120" s="1"/>
  <c r="H909" i="120" s="1"/>
  <c r="H457" i="120"/>
  <c r="I457" i="120"/>
  <c r="G457" i="120"/>
  <c r="H454" i="120"/>
  <c r="I454" i="120"/>
  <c r="H450" i="120"/>
  <c r="I450" i="120"/>
  <c r="H447" i="120"/>
  <c r="I447" i="120"/>
  <c r="H276" i="120"/>
  <c r="H275" i="120" s="1"/>
  <c r="H274" i="120" s="1"/>
  <c r="I276" i="120"/>
  <c r="I275" i="120" s="1"/>
  <c r="I274" i="120" s="1"/>
  <c r="G276" i="120"/>
  <c r="G275" i="120" s="1"/>
  <c r="G274" i="120" s="1"/>
  <c r="H242" i="120"/>
  <c r="I242" i="120"/>
  <c r="G242" i="120"/>
  <c r="H93" i="120"/>
  <c r="I93" i="120"/>
  <c r="H90" i="120"/>
  <c r="I90" i="120"/>
  <c r="G748" i="119"/>
  <c r="H748" i="119"/>
  <c r="G745" i="119"/>
  <c r="H745" i="119"/>
  <c r="G298" i="119"/>
  <c r="H298" i="119"/>
  <c r="F298" i="119"/>
  <c r="H240" i="120"/>
  <c r="I240" i="120"/>
  <c r="E257" i="113"/>
  <c r="F257" i="113"/>
  <c r="F296" i="119" l="1"/>
  <c r="H296" i="119"/>
  <c r="G240" i="120"/>
  <c r="I273" i="120"/>
  <c r="I272" i="120" s="1"/>
  <c r="I271" i="120" s="1"/>
  <c r="I270" i="120" s="1"/>
  <c r="H273" i="120"/>
  <c r="H272" i="120" s="1"/>
  <c r="H271" i="120" s="1"/>
  <c r="H270" i="120" s="1"/>
  <c r="G296" i="119"/>
  <c r="G273" i="120" l="1"/>
  <c r="G272" i="120" s="1"/>
  <c r="G271" i="120" s="1"/>
  <c r="G270" i="120" s="1"/>
  <c r="D172" i="113"/>
  <c r="H626" i="119" l="1"/>
  <c r="F73" i="113"/>
  <c r="I911" i="120"/>
  <c r="I910" i="120" s="1"/>
  <c r="I909" i="120" s="1"/>
  <c r="H625" i="119"/>
  <c r="H624" i="119" s="1"/>
  <c r="G450" i="120"/>
  <c r="F748" i="119"/>
  <c r="F745" i="119"/>
  <c r="G447" i="120"/>
  <c r="G622" i="119"/>
  <c r="G621" i="119" s="1"/>
  <c r="H907" i="120"/>
  <c r="H906" i="120" s="1"/>
  <c r="G908" i="120"/>
  <c r="F623" i="119"/>
  <c r="I908" i="120"/>
  <c r="I907" i="120" s="1"/>
  <c r="I906" i="120" s="1"/>
  <c r="H622" i="119"/>
  <c r="H621" i="119" s="1"/>
  <c r="G454" i="120"/>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E34" i="112"/>
  <c r="F34" i="112"/>
  <c r="C39" i="112"/>
  <c r="D39" i="112"/>
  <c r="C43" i="112"/>
  <c r="E43" i="112"/>
  <c r="F43" i="112"/>
  <c r="C58" i="112"/>
  <c r="C46" i="112" s="1"/>
  <c r="C73" i="112"/>
  <c r="C72" i="112" s="1"/>
  <c r="C80" i="112"/>
  <c r="C92" i="112"/>
  <c r="E73" i="112"/>
  <c r="F73" i="112"/>
  <c r="D95" i="112"/>
  <c r="E95" i="112"/>
  <c r="F95" i="112"/>
  <c r="D72" i="112" l="1"/>
  <c r="G620" i="119"/>
  <c r="H905" i="120"/>
  <c r="G907" i="120"/>
  <c r="G906" i="120" s="1"/>
  <c r="F622" i="119"/>
  <c r="F621" i="119" s="1"/>
  <c r="F72" i="112"/>
  <c r="G911" i="120"/>
  <c r="G910" i="120" s="1"/>
  <c r="G909" i="120" s="1"/>
  <c r="F626" i="119"/>
  <c r="F625" i="119" s="1"/>
  <c r="F624" i="119" s="1"/>
  <c r="H620" i="119"/>
  <c r="I905" i="120"/>
  <c r="D10" i="112"/>
  <c r="E72" i="112"/>
  <c r="C10" i="112"/>
  <c r="F10" i="112"/>
  <c r="E10" i="112"/>
  <c r="C42" i="112"/>
  <c r="C41" i="112" s="1"/>
  <c r="E42" i="112" l="1"/>
  <c r="E41" i="112" s="1"/>
  <c r="E103" i="112" s="1"/>
  <c r="D19" i="121" s="1"/>
  <c r="F42" i="112"/>
  <c r="F41" i="112" s="1"/>
  <c r="F103" i="112" s="1"/>
  <c r="E19" i="121" s="1"/>
  <c r="D42" i="112"/>
  <c r="D41" i="112" s="1"/>
  <c r="D103" i="112" s="1"/>
  <c r="C19" i="121" s="1"/>
  <c r="F620" i="119"/>
  <c r="G905" i="120"/>
  <c r="C103" i="112"/>
  <c r="F339" i="113" l="1"/>
  <c r="E339" i="113"/>
  <c r="D253" i="113"/>
  <c r="H1022" i="120" l="1"/>
  <c r="G999" i="119"/>
  <c r="E340" i="113"/>
  <c r="I1022" i="120"/>
  <c r="H999" i="119"/>
  <c r="F340" i="113"/>
  <c r="H29" i="120"/>
  <c r="I29" i="120"/>
  <c r="G29" i="120"/>
  <c r="H858" i="120"/>
  <c r="I858" i="120"/>
  <c r="H862" i="120"/>
  <c r="I862" i="120"/>
  <c r="H873" i="120" l="1"/>
  <c r="H872" i="120" s="1"/>
  <c r="H871" i="120" s="1"/>
  <c r="I873" i="120"/>
  <c r="I872" i="120" s="1"/>
  <c r="I871" i="120" s="1"/>
  <c r="H789" i="120"/>
  <c r="I789" i="120"/>
  <c r="H782" i="120"/>
  <c r="I782" i="120"/>
  <c r="I775" i="120"/>
  <c r="H772" i="120"/>
  <c r="I772" i="120"/>
  <c r="H580" i="120"/>
  <c r="I580" i="120"/>
  <c r="H537" i="120"/>
  <c r="I537" i="120"/>
  <c r="H521" i="120"/>
  <c r="H518" i="120"/>
  <c r="I518" i="120"/>
  <c r="H515" i="120"/>
  <c r="I515" i="120"/>
  <c r="H513" i="120"/>
  <c r="I513" i="120"/>
  <c r="H510" i="120"/>
  <c r="I510" i="120"/>
  <c r="H507" i="120"/>
  <c r="I507" i="120"/>
  <c r="G476" i="120"/>
  <c r="G479" i="120"/>
  <c r="H269" i="120"/>
  <c r="I269" i="120"/>
  <c r="G269" i="120"/>
  <c r="F779" i="119"/>
  <c r="G389" i="119"/>
  <c r="H389" i="119"/>
  <c r="F389" i="119"/>
  <c r="G386" i="119"/>
  <c r="H386" i="119"/>
  <c r="H775" i="120"/>
  <c r="I855" i="120"/>
  <c r="H680" i="120"/>
  <c r="H679" i="120" s="1"/>
  <c r="I680" i="120"/>
  <c r="I679" i="120" s="1"/>
  <c r="G680" i="120"/>
  <c r="G679" i="120" s="1"/>
  <c r="H712" i="120"/>
  <c r="H711" i="120" s="1"/>
  <c r="I712" i="120"/>
  <c r="I711" i="120" s="1"/>
  <c r="G712" i="120"/>
  <c r="G711" i="120" s="1"/>
  <c r="H396" i="120"/>
  <c r="H395" i="120" s="1"/>
  <c r="H394" i="120" s="1"/>
  <c r="I396" i="120"/>
  <c r="I395" i="120" s="1"/>
  <c r="I394" i="120" s="1"/>
  <c r="G396" i="120"/>
  <c r="G395" i="120" s="1"/>
  <c r="G394" i="120" s="1"/>
  <c r="G216" i="120"/>
  <c r="I901" i="120"/>
  <c r="I900" i="120" s="1"/>
  <c r="H901" i="120"/>
  <c r="H900" i="120" s="1"/>
  <c r="G901" i="120"/>
  <c r="G900" i="120" s="1"/>
  <c r="H42" i="120"/>
  <c r="I42" i="120"/>
  <c r="G42" i="120"/>
  <c r="H27" i="120"/>
  <c r="I27" i="120"/>
  <c r="G27" i="120"/>
  <c r="G26" i="120" s="1"/>
  <c r="H19" i="120"/>
  <c r="I19" i="120"/>
  <c r="G19" i="120"/>
  <c r="F273" i="119"/>
  <c r="G551" i="119"/>
  <c r="G550" i="119" s="1"/>
  <c r="H551" i="119"/>
  <c r="H550" i="119" s="1"/>
  <c r="I859" i="120"/>
  <c r="G859" i="120"/>
  <c r="G855" i="120"/>
  <c r="H84" i="120"/>
  <c r="I84" i="120"/>
  <c r="H82" i="120"/>
  <c r="I82" i="120"/>
  <c r="F540" i="119" l="1"/>
  <c r="F85" i="119"/>
  <c r="H687" i="120"/>
  <c r="I687" i="120"/>
  <c r="H25" i="120"/>
  <c r="I25" i="120"/>
  <c r="F587" i="119"/>
  <c r="F586" i="119" s="1"/>
  <c r="F585" i="119" s="1"/>
  <c r="G586" i="119"/>
  <c r="G585" i="119" s="1"/>
  <c r="H586" i="119"/>
  <c r="H585" i="119" s="1"/>
  <c r="G25" i="120" l="1"/>
  <c r="D259" i="113"/>
  <c r="D256" i="113" s="1"/>
  <c r="F259" i="113"/>
  <c r="F256" i="113" s="1"/>
  <c r="E259" i="113"/>
  <c r="E256" i="113" s="1"/>
  <c r="G870" i="120" l="1"/>
  <c r="G869" i="120" s="1"/>
  <c r="G868" i="120" s="1"/>
  <c r="F549" i="119"/>
  <c r="I266" i="120"/>
  <c r="G266" i="120"/>
  <c r="I870" i="120"/>
  <c r="I869" i="120" s="1"/>
  <c r="I868" i="120" s="1"/>
  <c r="H548" i="119"/>
  <c r="H547" i="119" s="1"/>
  <c r="H266" i="120"/>
  <c r="G548" i="119"/>
  <c r="G547" i="119" s="1"/>
  <c r="H870" i="120"/>
  <c r="H869" i="120" s="1"/>
  <c r="H868" i="120" s="1"/>
  <c r="E255" i="113"/>
  <c r="G276" i="119" s="1"/>
  <c r="D255" i="113"/>
  <c r="D252" i="113" s="1"/>
  <c r="H867" i="120" l="1"/>
  <c r="I867" i="120"/>
  <c r="H546" i="119"/>
  <c r="G546" i="119"/>
  <c r="F548" i="119"/>
  <c r="F547" i="119" s="1"/>
  <c r="D83" i="113"/>
  <c r="F552" i="119"/>
  <c r="F551" i="119" s="1"/>
  <c r="F550" i="119" s="1"/>
  <c r="G873" i="120"/>
  <c r="G872" i="120" s="1"/>
  <c r="G871" i="120" s="1"/>
  <c r="G867" i="120" s="1"/>
  <c r="I221" i="120"/>
  <c r="G221" i="120"/>
  <c r="F276" i="119"/>
  <c r="H221" i="120"/>
  <c r="F546" i="119" l="1"/>
  <c r="F254" i="113"/>
  <c r="I216" i="120" s="1"/>
  <c r="E254" i="113"/>
  <c r="E252" i="113" s="1"/>
  <c r="I213" i="120"/>
  <c r="H213" i="120"/>
  <c r="F270" i="119"/>
  <c r="G213" i="120"/>
  <c r="G273" i="119" l="1"/>
  <c r="F252" i="113"/>
  <c r="H273" i="119"/>
  <c r="H216" i="120"/>
  <c r="G323" i="120"/>
  <c r="F565" i="119"/>
  <c r="G234" i="120" l="1"/>
  <c r="H256" i="120"/>
  <c r="H255" i="120" s="1"/>
  <c r="I256" i="120"/>
  <c r="I255" i="120" s="1"/>
  <c r="G256" i="120"/>
  <c r="H261" i="120"/>
  <c r="H260" i="120" s="1"/>
  <c r="I261" i="120"/>
  <c r="I260" i="120" s="1"/>
  <c r="G261" i="120"/>
  <c r="G260" i="120" s="1"/>
  <c r="H307" i="120"/>
  <c r="H306" i="120" s="1"/>
  <c r="H305" i="120" s="1"/>
  <c r="H304" i="120" s="1"/>
  <c r="H303" i="120" s="1"/>
  <c r="I307" i="120"/>
  <c r="I306" i="120" s="1"/>
  <c r="I305" i="120" s="1"/>
  <c r="I304" i="120" s="1"/>
  <c r="I303" i="120" s="1"/>
  <c r="G307" i="120"/>
  <c r="G306" i="120" s="1"/>
  <c r="G305" i="120" s="1"/>
  <c r="G304" i="120" s="1"/>
  <c r="G303" i="120" s="1"/>
  <c r="H388" i="120"/>
  <c r="H387" i="120" s="1"/>
  <c r="I388" i="120"/>
  <c r="I387" i="120" s="1"/>
  <c r="G388" i="120"/>
  <c r="G387" i="120" s="1"/>
  <c r="H402" i="120"/>
  <c r="H401" i="120" s="1"/>
  <c r="H400" i="120" s="1"/>
  <c r="H399" i="120" s="1"/>
  <c r="I402" i="120"/>
  <c r="I401" i="120" s="1"/>
  <c r="I400" i="120" s="1"/>
  <c r="I399" i="120" s="1"/>
  <c r="H408" i="120"/>
  <c r="H407" i="120" s="1"/>
  <c r="H406" i="120" s="1"/>
  <c r="I408" i="120"/>
  <c r="I407" i="120" s="1"/>
  <c r="I406" i="120" s="1"/>
  <c r="G24" i="119"/>
  <c r="I669" i="120"/>
  <c r="G68" i="119"/>
  <c r="H67" i="119"/>
  <c r="H536" i="120"/>
  <c r="H535" i="120" s="1"/>
  <c r="H534" i="120" s="1"/>
  <c r="I536" i="120"/>
  <c r="I535" i="120" s="1"/>
  <c r="I534" i="120" s="1"/>
  <c r="G537" i="120"/>
  <c r="H788" i="120"/>
  <c r="H787" i="120" s="1"/>
  <c r="I788" i="120"/>
  <c r="I787" i="120" s="1"/>
  <c r="G789" i="120"/>
  <c r="G788" i="120" s="1"/>
  <c r="G787" i="120" s="1"/>
  <c r="H988" i="120"/>
  <c r="H987" i="120" s="1"/>
  <c r="H986" i="120" s="1"/>
  <c r="H985" i="120" s="1"/>
  <c r="H984" i="120" s="1"/>
  <c r="I988" i="120"/>
  <c r="I987" i="120" s="1"/>
  <c r="I986" i="120" s="1"/>
  <c r="I985" i="120" s="1"/>
  <c r="I984" i="120" s="1"/>
  <c r="G988" i="120"/>
  <c r="H853" i="120"/>
  <c r="I853" i="120"/>
  <c r="G542" i="119"/>
  <c r="G541" i="119" s="1"/>
  <c r="H542" i="119"/>
  <c r="G536" i="119"/>
  <c r="G535" i="119" s="1"/>
  <c r="H536" i="119"/>
  <c r="H535" i="119" s="1"/>
  <c r="F535" i="119"/>
  <c r="G986" i="119"/>
  <c r="G985" i="119" s="1"/>
  <c r="G984" i="119" s="1"/>
  <c r="H986" i="119"/>
  <c r="H985" i="119" s="1"/>
  <c r="H984" i="119" s="1"/>
  <c r="H655" i="119"/>
  <c r="F655" i="119"/>
  <c r="F542" i="119"/>
  <c r="F541" i="119" s="1"/>
  <c r="G451" i="119"/>
  <c r="H451" i="119"/>
  <c r="G269" i="119"/>
  <c r="G268" i="119" s="1"/>
  <c r="H269" i="119"/>
  <c r="H268" i="119" s="1"/>
  <c r="F199" i="119"/>
  <c r="F198" i="119" s="1"/>
  <c r="F197" i="119" s="1"/>
  <c r="G294" i="120"/>
  <c r="H933" i="120"/>
  <c r="H932" i="120" s="1"/>
  <c r="I933" i="120"/>
  <c r="I932" i="120" s="1"/>
  <c r="G933" i="120"/>
  <c r="G932" i="120" s="1"/>
  <c r="H348" i="120"/>
  <c r="I348" i="120"/>
  <c r="G342" i="120"/>
  <c r="H149" i="120"/>
  <c r="I149" i="120"/>
  <c r="G151" i="120"/>
  <c r="G150" i="120" s="1"/>
  <c r="G149" i="120" s="1"/>
  <c r="G637" i="119"/>
  <c r="H637" i="119"/>
  <c r="F637" i="119"/>
  <c r="H320" i="120"/>
  <c r="G388" i="119" s="1"/>
  <c r="G387" i="119" s="1"/>
  <c r="I320" i="120"/>
  <c r="H388" i="119" s="1"/>
  <c r="H387" i="119" s="1"/>
  <c r="G320" i="120"/>
  <c r="G319" i="120" s="1"/>
  <c r="G318" i="120" s="1"/>
  <c r="H317" i="120"/>
  <c r="H316" i="120" s="1"/>
  <c r="H315" i="120" s="1"/>
  <c r="I317" i="120"/>
  <c r="I316" i="120" s="1"/>
  <c r="I315" i="120" s="1"/>
  <c r="H1017" i="120"/>
  <c r="G1018" i="120"/>
  <c r="G1016" i="120"/>
  <c r="G1015" i="120" s="1"/>
  <c r="H982" i="120"/>
  <c r="I982" i="120"/>
  <c r="G982" i="120"/>
  <c r="G981" i="120" s="1"/>
  <c r="H979" i="120"/>
  <c r="I979" i="120"/>
  <c r="G979" i="120"/>
  <c r="H960" i="120"/>
  <c r="H959" i="120" s="1"/>
  <c r="G960" i="120"/>
  <c r="G959" i="120" s="1"/>
  <c r="H958" i="120"/>
  <c r="H957" i="120" s="1"/>
  <c r="I958" i="120"/>
  <c r="I957" i="120" s="1"/>
  <c r="G958" i="120"/>
  <c r="G957" i="120" s="1"/>
  <c r="H955" i="120"/>
  <c r="H954" i="120" s="1"/>
  <c r="I955" i="120"/>
  <c r="I954" i="120" s="1"/>
  <c r="G955" i="120"/>
  <c r="G954" i="120" s="1"/>
  <c r="H950" i="120"/>
  <c r="H949" i="120" s="1"/>
  <c r="I950" i="120"/>
  <c r="I949" i="120" s="1"/>
  <c r="G950" i="120"/>
  <c r="H945" i="120"/>
  <c r="H944" i="120" s="1"/>
  <c r="H938" i="120" s="1"/>
  <c r="I945" i="120"/>
  <c r="I944" i="120" s="1"/>
  <c r="G944" i="120"/>
  <c r="G938" i="120" s="1"/>
  <c r="H930" i="120"/>
  <c r="H928" i="120" s="1"/>
  <c r="I930" i="120"/>
  <c r="I928" i="120" s="1"/>
  <c r="G930" i="120"/>
  <c r="G928" i="120" s="1"/>
  <c r="H927" i="120"/>
  <c r="H926" i="120" s="1"/>
  <c r="H925" i="120" s="1"/>
  <c r="I927" i="120"/>
  <c r="I926" i="120" s="1"/>
  <c r="G927" i="120"/>
  <c r="G926" i="120" s="1"/>
  <c r="H865" i="120"/>
  <c r="H864" i="120" s="1"/>
  <c r="I865" i="120"/>
  <c r="I864" i="120" s="1"/>
  <c r="G866" i="120"/>
  <c r="G865" i="120" s="1"/>
  <c r="G864" i="120" s="1"/>
  <c r="H861" i="120"/>
  <c r="H860" i="120" s="1"/>
  <c r="I861" i="120"/>
  <c r="I860" i="120" s="1"/>
  <c r="H857" i="120"/>
  <c r="H856" i="120" s="1"/>
  <c r="I857" i="120"/>
  <c r="I856" i="120" s="1"/>
  <c r="G862" i="120"/>
  <c r="G861" i="120" s="1"/>
  <c r="G860" i="120" s="1"/>
  <c r="G858" i="120"/>
  <c r="G853" i="120"/>
  <c r="H810" i="120"/>
  <c r="H809" i="120" s="1"/>
  <c r="H808" i="120" s="1"/>
  <c r="I810" i="120"/>
  <c r="I809" i="120" s="1"/>
  <c r="I808" i="120" s="1"/>
  <c r="H807" i="120"/>
  <c r="H806" i="120" s="1"/>
  <c r="H805" i="120" s="1"/>
  <c r="I807" i="120"/>
  <c r="I806" i="120" s="1"/>
  <c r="I805" i="120" s="1"/>
  <c r="G807" i="120"/>
  <c r="G806" i="120" s="1"/>
  <c r="G805" i="120" s="1"/>
  <c r="H781" i="120"/>
  <c r="I781" i="120"/>
  <c r="G782" i="120"/>
  <c r="H774" i="120"/>
  <c r="H773" i="120" s="1"/>
  <c r="I774" i="120"/>
  <c r="I773" i="120" s="1"/>
  <c r="I771" i="120"/>
  <c r="I770" i="120" s="1"/>
  <c r="G772" i="120"/>
  <c r="G771" i="120" s="1"/>
  <c r="G770" i="120" s="1"/>
  <c r="H751" i="120"/>
  <c r="H750" i="120" s="1"/>
  <c r="H749" i="120" s="1"/>
  <c r="I751" i="120"/>
  <c r="I750" i="120" s="1"/>
  <c r="I749" i="120" s="1"/>
  <c r="G750" i="120"/>
  <c r="G749" i="120" s="1"/>
  <c r="H748" i="120"/>
  <c r="H747" i="120" s="1"/>
  <c r="H746" i="120" s="1"/>
  <c r="I748" i="120"/>
  <c r="I747" i="120" s="1"/>
  <c r="I746" i="120" s="1"/>
  <c r="G748" i="120"/>
  <c r="G747" i="120" s="1"/>
  <c r="G746" i="120" s="1"/>
  <c r="H745" i="120"/>
  <c r="I745" i="120"/>
  <c r="G745" i="120"/>
  <c r="H738" i="120"/>
  <c r="H737" i="120" s="1"/>
  <c r="I737" i="120"/>
  <c r="G738" i="120"/>
  <c r="G737" i="120" s="1"/>
  <c r="H736" i="120"/>
  <c r="H735" i="120" s="1"/>
  <c r="I736" i="120"/>
  <c r="I735" i="120" s="1"/>
  <c r="G736" i="120"/>
  <c r="G735" i="120" s="1"/>
  <c r="G734" i="120"/>
  <c r="G733" i="120" s="1"/>
  <c r="G732" i="120" s="1"/>
  <c r="H727" i="120"/>
  <c r="H726" i="120" s="1"/>
  <c r="H725" i="120" s="1"/>
  <c r="H724" i="120" s="1"/>
  <c r="I727" i="120"/>
  <c r="I726" i="120" s="1"/>
  <c r="I725" i="120" s="1"/>
  <c r="I724" i="120" s="1"/>
  <c r="G727" i="120"/>
  <c r="G726" i="120" s="1"/>
  <c r="G725" i="120" s="1"/>
  <c r="G724" i="120" s="1"/>
  <c r="H721" i="120"/>
  <c r="H720" i="120" s="1"/>
  <c r="H715" i="120" s="1"/>
  <c r="I721" i="120"/>
  <c r="I720" i="120" s="1"/>
  <c r="I715" i="120" s="1"/>
  <c r="H719" i="120"/>
  <c r="I719" i="120"/>
  <c r="H693" i="120"/>
  <c r="H692" i="120" s="1"/>
  <c r="I693" i="120"/>
  <c r="I692" i="120" s="1"/>
  <c r="G693" i="120"/>
  <c r="G692" i="120" s="1"/>
  <c r="H675" i="120"/>
  <c r="I675" i="120"/>
  <c r="G675" i="120"/>
  <c r="H643" i="120"/>
  <c r="H642" i="120" s="1"/>
  <c r="H641" i="120" s="1"/>
  <c r="I643" i="120"/>
  <c r="I642" i="120" s="1"/>
  <c r="I641" i="120" s="1"/>
  <c r="G643" i="120"/>
  <c r="G642" i="120" s="1"/>
  <c r="G641" i="120" s="1"/>
  <c r="H640" i="120"/>
  <c r="H639" i="120" s="1"/>
  <c r="H638" i="120" s="1"/>
  <c r="I640" i="120"/>
  <c r="I639" i="120" s="1"/>
  <c r="I638" i="120" s="1"/>
  <c r="G640" i="120"/>
  <c r="G639" i="120" s="1"/>
  <c r="G638" i="120" s="1"/>
  <c r="H609" i="120"/>
  <c r="I609" i="120"/>
  <c r="G609" i="120"/>
  <c r="I579" i="120"/>
  <c r="G579" i="120"/>
  <c r="H569" i="120"/>
  <c r="H568" i="120"/>
  <c r="H566" i="120"/>
  <c r="H565" i="120" s="1"/>
  <c r="G566" i="120"/>
  <c r="H552" i="120"/>
  <c r="I552" i="120"/>
  <c r="G552" i="120"/>
  <c r="H520" i="120"/>
  <c r="H519" i="120" s="1"/>
  <c r="G521" i="120"/>
  <c r="G520" i="120" s="1"/>
  <c r="G519" i="120" s="1"/>
  <c r="H517" i="120"/>
  <c r="H516" i="120" s="1"/>
  <c r="I517" i="120"/>
  <c r="I516" i="120" s="1"/>
  <c r="G518" i="120"/>
  <c r="G517" i="120" s="1"/>
  <c r="G516" i="120" s="1"/>
  <c r="I514" i="120"/>
  <c r="H514" i="120"/>
  <c r="G515" i="120"/>
  <c r="G514" i="120" s="1"/>
  <c r="H512" i="120"/>
  <c r="H511" i="120" s="1"/>
  <c r="I512" i="120"/>
  <c r="I511" i="120" s="1"/>
  <c r="G513" i="120"/>
  <c r="H509" i="120"/>
  <c r="H508" i="120" s="1"/>
  <c r="I509" i="120"/>
  <c r="I508" i="120" s="1"/>
  <c r="G510" i="120"/>
  <c r="G509" i="120" s="1"/>
  <c r="G508" i="120" s="1"/>
  <c r="H506" i="120"/>
  <c r="H505" i="120" s="1"/>
  <c r="I506" i="120"/>
  <c r="I505" i="120" s="1"/>
  <c r="G507" i="120"/>
  <c r="G506" i="120" s="1"/>
  <c r="G505" i="120" s="1"/>
  <c r="H490" i="120"/>
  <c r="H489" i="120" s="1"/>
  <c r="H488" i="120" s="1"/>
  <c r="I490" i="120"/>
  <c r="I489" i="120" s="1"/>
  <c r="I488" i="120" s="1"/>
  <c r="G490" i="120"/>
  <c r="G489" i="120" s="1"/>
  <c r="G488" i="120" s="1"/>
  <c r="H482" i="120"/>
  <c r="H481" i="120" s="1"/>
  <c r="H480" i="120" s="1"/>
  <c r="I482" i="120"/>
  <c r="I481" i="120" s="1"/>
  <c r="I480" i="120" s="1"/>
  <c r="G482" i="120"/>
  <c r="H472" i="120"/>
  <c r="I472" i="120"/>
  <c r="G472" i="120"/>
  <c r="H471" i="120"/>
  <c r="I471" i="120"/>
  <c r="H462" i="120"/>
  <c r="H461" i="120" s="1"/>
  <c r="I462" i="120"/>
  <c r="I461" i="120" s="1"/>
  <c r="G462" i="120"/>
  <c r="G461" i="120" s="1"/>
  <c r="H429" i="120"/>
  <c r="H428" i="120" s="1"/>
  <c r="I429" i="120"/>
  <c r="I428" i="120" s="1"/>
  <c r="G429" i="120"/>
  <c r="G428" i="120" s="1"/>
  <c r="H427" i="120"/>
  <c r="I427" i="120"/>
  <c r="G426" i="120"/>
  <c r="G408" i="120"/>
  <c r="G407" i="120" s="1"/>
  <c r="G406" i="120" s="1"/>
  <c r="G402" i="120"/>
  <c r="H375" i="120"/>
  <c r="H374" i="120" s="1"/>
  <c r="H373" i="120" s="1"/>
  <c r="I375" i="120"/>
  <c r="I374" i="120" s="1"/>
  <c r="I373" i="120" s="1"/>
  <c r="G375" i="120"/>
  <c r="H372" i="120"/>
  <c r="I372" i="120"/>
  <c r="G371" i="120"/>
  <c r="H314" i="120"/>
  <c r="H313" i="120" s="1"/>
  <c r="I314" i="120"/>
  <c r="I313" i="120" s="1"/>
  <c r="H310" i="120"/>
  <c r="H309" i="120" s="1"/>
  <c r="H308" i="120" s="1"/>
  <c r="G310" i="120"/>
  <c r="G309" i="120" s="1"/>
  <c r="G308" i="120" s="1"/>
  <c r="H294" i="120"/>
  <c r="I294" i="120"/>
  <c r="H251" i="120"/>
  <c r="H250" i="120" s="1"/>
  <c r="I251" i="120"/>
  <c r="I250" i="120" s="1"/>
  <c r="G250" i="120"/>
  <c r="H235" i="120"/>
  <c r="H234" i="120" s="1"/>
  <c r="I235" i="120"/>
  <c r="I234" i="120" s="1"/>
  <c r="H229" i="120"/>
  <c r="H228" i="120" s="1"/>
  <c r="I229" i="120"/>
  <c r="I228" i="120" s="1"/>
  <c r="G230" i="120"/>
  <c r="I215" i="120"/>
  <c r="I214" i="120" s="1"/>
  <c r="F272" i="119"/>
  <c r="F271" i="119" s="1"/>
  <c r="H212" i="120"/>
  <c r="H211" i="120" s="1"/>
  <c r="I212" i="120"/>
  <c r="I211" i="120" s="1"/>
  <c r="H174" i="120"/>
  <c r="H173" i="120" s="1"/>
  <c r="G175" i="120"/>
  <c r="G174" i="120" s="1"/>
  <c r="G173" i="120" s="1"/>
  <c r="H147" i="120"/>
  <c r="H146" i="120" s="1"/>
  <c r="I147" i="120"/>
  <c r="I146" i="120" s="1"/>
  <c r="G148" i="120"/>
  <c r="G147" i="120" s="1"/>
  <c r="G146" i="120" s="1"/>
  <c r="H144" i="120"/>
  <c r="H143" i="120" s="1"/>
  <c r="I144" i="120"/>
  <c r="I143" i="120" s="1"/>
  <c r="G145" i="120"/>
  <c r="G144" i="120" s="1"/>
  <c r="G143" i="120" s="1"/>
  <c r="H108" i="120"/>
  <c r="H107" i="120" s="1"/>
  <c r="I108" i="120"/>
  <c r="I107" i="120" s="1"/>
  <c r="G108" i="120"/>
  <c r="G107" i="120" s="1"/>
  <c r="H92" i="120"/>
  <c r="I92" i="120"/>
  <c r="G93" i="120"/>
  <c r="G92" i="120" s="1"/>
  <c r="H89" i="120"/>
  <c r="H88" i="120" s="1"/>
  <c r="I89" i="120"/>
  <c r="I88" i="120" s="1"/>
  <c r="G90" i="120"/>
  <c r="G89" i="120" s="1"/>
  <c r="G88" i="120" s="1"/>
  <c r="H83" i="120"/>
  <c r="I83" i="120"/>
  <c r="G84" i="120"/>
  <c r="G83" i="120" s="1"/>
  <c r="H69" i="120"/>
  <c r="H68" i="120" s="1"/>
  <c r="I69" i="120"/>
  <c r="I68" i="120" s="1"/>
  <c r="G69" i="120"/>
  <c r="G68" i="120" s="1"/>
  <c r="H49" i="120"/>
  <c r="H48" i="120" s="1"/>
  <c r="I49" i="120"/>
  <c r="I48" i="120" s="1"/>
  <c r="G49" i="120"/>
  <c r="G48" i="120" s="1"/>
  <c r="I1007" i="120"/>
  <c r="I1006" i="120" s="1"/>
  <c r="H1007" i="120"/>
  <c r="H1006" i="120" s="1"/>
  <c r="G1007" i="120"/>
  <c r="G1006" i="120" s="1"/>
  <c r="I1004" i="120"/>
  <c r="I1003" i="120" s="1"/>
  <c r="I1002" i="120" s="1"/>
  <c r="H1004" i="120"/>
  <c r="H1003" i="120" s="1"/>
  <c r="H1002" i="120" s="1"/>
  <c r="G1004" i="120"/>
  <c r="G1003" i="120" s="1"/>
  <c r="G1002" i="120" s="1"/>
  <c r="I1000" i="120"/>
  <c r="I999" i="120" s="1"/>
  <c r="H1000" i="120"/>
  <c r="H999" i="120" s="1"/>
  <c r="G1000" i="120"/>
  <c r="G999" i="120" s="1"/>
  <c r="I997" i="120"/>
  <c r="I996" i="120" s="1"/>
  <c r="H997" i="120"/>
  <c r="H996" i="120" s="1"/>
  <c r="G997" i="120"/>
  <c r="G996" i="120" s="1"/>
  <c r="I993" i="120"/>
  <c r="I992" i="120" s="1"/>
  <c r="H993" i="120"/>
  <c r="H992" i="120" s="1"/>
  <c r="G993" i="120"/>
  <c r="G992" i="120" s="1"/>
  <c r="I964" i="120"/>
  <c r="I963" i="120" s="1"/>
  <c r="I962" i="120" s="1"/>
  <c r="I961" i="120" s="1"/>
  <c r="H964" i="120"/>
  <c r="H963" i="120" s="1"/>
  <c r="H962" i="120" s="1"/>
  <c r="H961" i="120" s="1"/>
  <c r="G964" i="120"/>
  <c r="G963" i="120" s="1"/>
  <c r="G962" i="120" s="1"/>
  <c r="G961" i="120" s="1"/>
  <c r="G949" i="120"/>
  <c r="I934" i="120"/>
  <c r="H934" i="120"/>
  <c r="G934" i="120"/>
  <c r="I919" i="120"/>
  <c r="I918" i="120" s="1"/>
  <c r="H919" i="120"/>
  <c r="H918" i="120" s="1"/>
  <c r="G919" i="120"/>
  <c r="G918" i="120" s="1"/>
  <c r="I916" i="120"/>
  <c r="H916" i="120"/>
  <c r="G916" i="120"/>
  <c r="I898" i="120"/>
  <c r="I897" i="120" s="1"/>
  <c r="H898" i="120"/>
  <c r="H897" i="120" s="1"/>
  <c r="G898" i="120"/>
  <c r="G897" i="120" s="1"/>
  <c r="I895" i="120"/>
  <c r="H895" i="120"/>
  <c r="G895" i="120"/>
  <c r="I893" i="120"/>
  <c r="H893" i="120"/>
  <c r="G893" i="120"/>
  <c r="I889" i="120"/>
  <c r="I888" i="120" s="1"/>
  <c r="H889" i="120"/>
  <c r="H888" i="120" s="1"/>
  <c r="G889" i="120"/>
  <c r="G888" i="120" s="1"/>
  <c r="I886" i="120"/>
  <c r="H886" i="120"/>
  <c r="G886" i="120"/>
  <c r="G880" i="120"/>
  <c r="G879" i="120" s="1"/>
  <c r="I880" i="120"/>
  <c r="I879" i="120" s="1"/>
  <c r="H880" i="120"/>
  <c r="H879" i="120" s="1"/>
  <c r="I875" i="120"/>
  <c r="I874" i="120" s="1"/>
  <c r="H875" i="120"/>
  <c r="H874" i="120" s="1"/>
  <c r="G875" i="120"/>
  <c r="G874" i="120" s="1"/>
  <c r="I818" i="120"/>
  <c r="H818" i="120"/>
  <c r="G818" i="120"/>
  <c r="I812" i="120"/>
  <c r="I811" i="120" s="1"/>
  <c r="H812" i="120"/>
  <c r="H811" i="120" s="1"/>
  <c r="G812" i="120"/>
  <c r="G811" i="120" s="1"/>
  <c r="I795" i="120"/>
  <c r="I794" i="120" s="1"/>
  <c r="H795" i="120"/>
  <c r="H794" i="120" s="1"/>
  <c r="G795" i="120"/>
  <c r="G794" i="120" s="1"/>
  <c r="I792" i="120"/>
  <c r="I791" i="120" s="1"/>
  <c r="H792" i="120"/>
  <c r="H791" i="120" s="1"/>
  <c r="G792" i="120"/>
  <c r="G791" i="120" s="1"/>
  <c r="I785" i="120"/>
  <c r="I784" i="120" s="1"/>
  <c r="H785" i="120"/>
  <c r="H784" i="120" s="1"/>
  <c r="G785" i="120"/>
  <c r="G784" i="120" s="1"/>
  <c r="H780" i="120"/>
  <c r="I778" i="120"/>
  <c r="I777" i="120" s="1"/>
  <c r="H778" i="120"/>
  <c r="H777" i="120" s="1"/>
  <c r="G778" i="120"/>
  <c r="G777" i="120" s="1"/>
  <c r="H771" i="120"/>
  <c r="H770" i="120" s="1"/>
  <c r="I765" i="120"/>
  <c r="I764" i="120" s="1"/>
  <c r="I763" i="120" s="1"/>
  <c r="I762" i="120" s="1"/>
  <c r="H765" i="120"/>
  <c r="H764" i="120" s="1"/>
  <c r="H763" i="120" s="1"/>
  <c r="H762" i="120" s="1"/>
  <c r="G765" i="120"/>
  <c r="G764" i="120" s="1"/>
  <c r="G763" i="120" s="1"/>
  <c r="G762" i="120" s="1"/>
  <c r="I760" i="120"/>
  <c r="I759" i="120" s="1"/>
  <c r="I755" i="120" s="1"/>
  <c r="H760" i="120"/>
  <c r="H759" i="120" s="1"/>
  <c r="H755" i="120" s="1"/>
  <c r="G760" i="120"/>
  <c r="G759" i="120" s="1"/>
  <c r="G755" i="120" s="1"/>
  <c r="I728" i="120"/>
  <c r="H728" i="120"/>
  <c r="G728" i="120"/>
  <c r="I722" i="120"/>
  <c r="H722" i="120"/>
  <c r="G722" i="120"/>
  <c r="I709" i="120"/>
  <c r="H709" i="120"/>
  <c r="G709" i="120"/>
  <c r="I707" i="120"/>
  <c r="I706" i="120" s="1"/>
  <c r="H707" i="120"/>
  <c r="H706" i="120" s="1"/>
  <c r="G707" i="120"/>
  <c r="G706" i="120" s="1"/>
  <c r="I704" i="120"/>
  <c r="I703" i="120" s="1"/>
  <c r="H704" i="120"/>
  <c r="H703" i="120" s="1"/>
  <c r="G704" i="120"/>
  <c r="G703" i="120" s="1"/>
  <c r="I701" i="120"/>
  <c r="H701" i="120"/>
  <c r="G701" i="120"/>
  <c r="I695" i="120"/>
  <c r="I694" i="120" s="1"/>
  <c r="H695" i="120"/>
  <c r="H694" i="120" s="1"/>
  <c r="G695" i="120"/>
  <c r="G694" i="120" s="1"/>
  <c r="I690" i="120"/>
  <c r="H690" i="120"/>
  <c r="G690" i="120"/>
  <c r="I677" i="120"/>
  <c r="H677" i="120"/>
  <c r="G677" i="120"/>
  <c r="I670" i="120"/>
  <c r="H670" i="120"/>
  <c r="G670" i="120"/>
  <c r="I660" i="120"/>
  <c r="I659" i="120" s="1"/>
  <c r="I658" i="120" s="1"/>
  <c r="I657" i="120" s="1"/>
  <c r="H660" i="120"/>
  <c r="H659" i="120" s="1"/>
  <c r="H658" i="120" s="1"/>
  <c r="H657" i="120" s="1"/>
  <c r="G660" i="120"/>
  <c r="G659" i="120" s="1"/>
  <c r="G658" i="120" s="1"/>
  <c r="G657" i="120" s="1"/>
  <c r="I655" i="120"/>
  <c r="I654" i="120" s="1"/>
  <c r="I653" i="120" s="1"/>
  <c r="H655" i="120"/>
  <c r="H654" i="120" s="1"/>
  <c r="H653" i="120" s="1"/>
  <c r="G655" i="120"/>
  <c r="G654" i="120" s="1"/>
  <c r="G653" i="120" s="1"/>
  <c r="I649" i="120"/>
  <c r="I648" i="120" s="1"/>
  <c r="H649" i="120"/>
  <c r="H648" i="120" s="1"/>
  <c r="G649" i="120"/>
  <c r="G648" i="120" s="1"/>
  <c r="I646" i="120"/>
  <c r="I645" i="120" s="1"/>
  <c r="H646" i="120"/>
  <c r="H645" i="120" s="1"/>
  <c r="G646" i="120"/>
  <c r="G645" i="120" s="1"/>
  <c r="I635" i="120"/>
  <c r="I634" i="120" s="1"/>
  <c r="H635" i="120"/>
  <c r="H634" i="120" s="1"/>
  <c r="G635" i="120"/>
  <c r="G634" i="120" s="1"/>
  <c r="I632" i="120"/>
  <c r="I631" i="120" s="1"/>
  <c r="H632" i="120"/>
  <c r="H631" i="120" s="1"/>
  <c r="G632" i="120"/>
  <c r="G631" i="120" s="1"/>
  <c r="G628" i="120"/>
  <c r="G627" i="120" s="1"/>
  <c r="G626" i="120" s="1"/>
  <c r="I628" i="120"/>
  <c r="I627" i="120" s="1"/>
  <c r="I626" i="120" s="1"/>
  <c r="H628" i="120"/>
  <c r="H627" i="120" s="1"/>
  <c r="H626" i="120" s="1"/>
  <c r="G624" i="120"/>
  <c r="I624" i="120"/>
  <c r="H624" i="120"/>
  <c r="G623" i="120"/>
  <c r="G622" i="120" s="1"/>
  <c r="I622" i="120"/>
  <c r="H622" i="120"/>
  <c r="I619" i="120"/>
  <c r="H619" i="120"/>
  <c r="G619" i="120"/>
  <c r="I617" i="120"/>
  <c r="H617" i="120"/>
  <c r="G617" i="120"/>
  <c r="I614" i="120"/>
  <c r="H614" i="120"/>
  <c r="G614" i="120"/>
  <c r="I612" i="120"/>
  <c r="H612" i="120"/>
  <c r="G612" i="120"/>
  <c r="H579" i="120"/>
  <c r="I573" i="120"/>
  <c r="H573" i="120"/>
  <c r="G573" i="120"/>
  <c r="I571" i="120"/>
  <c r="H571" i="120"/>
  <c r="G571" i="120"/>
  <c r="G547" i="120"/>
  <c r="G546" i="120" s="1"/>
  <c r="I547" i="120"/>
  <c r="I546" i="120" s="1"/>
  <c r="H547" i="120"/>
  <c r="H546" i="120" s="1"/>
  <c r="I544" i="120"/>
  <c r="I543" i="120" s="1"/>
  <c r="H544" i="120"/>
  <c r="H543" i="120" s="1"/>
  <c r="G544" i="120"/>
  <c r="G543" i="120" s="1"/>
  <c r="I539" i="120"/>
  <c r="I538" i="120" s="1"/>
  <c r="H539" i="120"/>
  <c r="H538" i="120" s="1"/>
  <c r="G539" i="120"/>
  <c r="G538" i="120" s="1"/>
  <c r="I532" i="120"/>
  <c r="I531" i="120" s="1"/>
  <c r="H532" i="120"/>
  <c r="H531" i="120" s="1"/>
  <c r="G532" i="120"/>
  <c r="G531" i="120" s="1"/>
  <c r="I525" i="120"/>
  <c r="I524" i="120" s="1"/>
  <c r="H525" i="120"/>
  <c r="H524" i="120" s="1"/>
  <c r="H522" i="120" s="1"/>
  <c r="G525" i="120"/>
  <c r="G524" i="120" s="1"/>
  <c r="G522" i="120" s="1"/>
  <c r="I502" i="120"/>
  <c r="I501" i="120" s="1"/>
  <c r="H502" i="120"/>
  <c r="H501" i="120" s="1"/>
  <c r="G502" i="120"/>
  <c r="G501" i="120" s="1"/>
  <c r="I499" i="120"/>
  <c r="I498" i="120" s="1"/>
  <c r="H499" i="120"/>
  <c r="H498" i="120" s="1"/>
  <c r="G499" i="120"/>
  <c r="G498" i="120" s="1"/>
  <c r="I496" i="120"/>
  <c r="I495" i="120" s="1"/>
  <c r="H496" i="120"/>
  <c r="H495" i="120" s="1"/>
  <c r="G496" i="120"/>
  <c r="G495" i="120" s="1"/>
  <c r="I493" i="120"/>
  <c r="I492" i="120" s="1"/>
  <c r="H493" i="120"/>
  <c r="H492" i="120" s="1"/>
  <c r="G493" i="120"/>
  <c r="G492" i="120" s="1"/>
  <c r="I484" i="120"/>
  <c r="I483" i="120" s="1"/>
  <c r="H484" i="120"/>
  <c r="H483" i="120" s="1"/>
  <c r="G484" i="120"/>
  <c r="G483" i="120" s="1"/>
  <c r="I478" i="120"/>
  <c r="I477" i="120" s="1"/>
  <c r="H478" i="120"/>
  <c r="H477" i="120" s="1"/>
  <c r="G478" i="120"/>
  <c r="G477" i="120" s="1"/>
  <c r="I475" i="120"/>
  <c r="I474" i="120" s="1"/>
  <c r="H475" i="120"/>
  <c r="H474" i="120" s="1"/>
  <c r="G475" i="120"/>
  <c r="G474" i="120" s="1"/>
  <c r="I464" i="120"/>
  <c r="H464" i="120"/>
  <c r="G464" i="120"/>
  <c r="G456" i="120"/>
  <c r="G455" i="120" s="1"/>
  <c r="I456" i="120"/>
  <c r="I455" i="120" s="1"/>
  <c r="H456" i="120"/>
  <c r="H455" i="120" s="1"/>
  <c r="I453" i="120"/>
  <c r="I452" i="120" s="1"/>
  <c r="H453" i="120"/>
  <c r="H452" i="120" s="1"/>
  <c r="G453" i="120"/>
  <c r="G452" i="120" s="1"/>
  <c r="G449" i="120"/>
  <c r="G448" i="120" s="1"/>
  <c r="I449" i="120"/>
  <c r="I448" i="120" s="1"/>
  <c r="H449" i="120"/>
  <c r="H448" i="120" s="1"/>
  <c r="I446" i="120"/>
  <c r="I445" i="120" s="1"/>
  <c r="H446" i="120"/>
  <c r="H445" i="120" s="1"/>
  <c r="G446" i="120"/>
  <c r="G445" i="120" s="1"/>
  <c r="I442" i="120"/>
  <c r="I441" i="120" s="1"/>
  <c r="H442" i="120"/>
  <c r="H441" i="120" s="1"/>
  <c r="G442" i="120"/>
  <c r="G441" i="120" s="1"/>
  <c r="I439" i="120"/>
  <c r="I438" i="120" s="1"/>
  <c r="H439" i="120"/>
  <c r="H438" i="120" s="1"/>
  <c r="G439" i="120"/>
  <c r="G438" i="120" s="1"/>
  <c r="I435" i="120"/>
  <c r="I434" i="120" s="1"/>
  <c r="H435" i="120"/>
  <c r="H434" i="120" s="1"/>
  <c r="G435" i="120"/>
  <c r="G434" i="120" s="1"/>
  <c r="I432" i="120"/>
  <c r="H432" i="120"/>
  <c r="G432" i="120"/>
  <c r="I415" i="120"/>
  <c r="H415" i="120"/>
  <c r="G415" i="120"/>
  <c r="I413" i="120"/>
  <c r="H413" i="120"/>
  <c r="G413" i="120"/>
  <c r="I392" i="120"/>
  <c r="I391" i="120" s="1"/>
  <c r="H392" i="120"/>
  <c r="H391" i="120" s="1"/>
  <c r="G392" i="120"/>
  <c r="G391" i="120" s="1"/>
  <c r="I389" i="120"/>
  <c r="H389" i="120"/>
  <c r="G389" i="120"/>
  <c r="I385" i="120"/>
  <c r="H385" i="120"/>
  <c r="G385" i="120"/>
  <c r="I377" i="120"/>
  <c r="I376" i="120" s="1"/>
  <c r="H377" i="120"/>
  <c r="H376" i="120" s="1"/>
  <c r="G377" i="120"/>
  <c r="G376" i="120" s="1"/>
  <c r="I368" i="120"/>
  <c r="I367" i="120" s="1"/>
  <c r="H368" i="120"/>
  <c r="H367" i="120" s="1"/>
  <c r="G368" i="120"/>
  <c r="G367" i="120" s="1"/>
  <c r="I362" i="120"/>
  <c r="I361" i="120" s="1"/>
  <c r="H362" i="120"/>
  <c r="H361" i="120" s="1"/>
  <c r="G362" i="120"/>
  <c r="G361" i="120" s="1"/>
  <c r="I359" i="120"/>
  <c r="I358" i="120" s="1"/>
  <c r="H359" i="120"/>
  <c r="H358" i="120" s="1"/>
  <c r="G359" i="120"/>
  <c r="G358" i="120" s="1"/>
  <c r="I356" i="120"/>
  <c r="I355" i="120" s="1"/>
  <c r="H356" i="120"/>
  <c r="H355" i="120" s="1"/>
  <c r="G356" i="120"/>
  <c r="G355" i="120" s="1"/>
  <c r="I340" i="120"/>
  <c r="H340" i="120"/>
  <c r="G340" i="120"/>
  <c r="I335" i="120"/>
  <c r="H335" i="120"/>
  <c r="G335" i="120"/>
  <c r="I333" i="120"/>
  <c r="H333" i="120"/>
  <c r="G333" i="120"/>
  <c r="I324" i="120"/>
  <c r="H324" i="120"/>
  <c r="G324" i="120"/>
  <c r="I322" i="120"/>
  <c r="H322" i="120"/>
  <c r="G322" i="120"/>
  <c r="I296" i="120"/>
  <c r="I295" i="120" s="1"/>
  <c r="H296" i="120"/>
  <c r="H295" i="120" s="1"/>
  <c r="G296" i="120"/>
  <c r="G295" i="120" s="1"/>
  <c r="I290" i="120"/>
  <c r="I289" i="120" s="1"/>
  <c r="H290" i="120"/>
  <c r="H289" i="120" s="1"/>
  <c r="G290" i="120"/>
  <c r="G289" i="120" s="1"/>
  <c r="I287" i="120"/>
  <c r="I286" i="120" s="1"/>
  <c r="I285" i="120" s="1"/>
  <c r="H287" i="120"/>
  <c r="H286" i="120" s="1"/>
  <c r="H285" i="120" s="1"/>
  <c r="G287" i="120"/>
  <c r="G286" i="120" s="1"/>
  <c r="G285" i="120" s="1"/>
  <c r="I248" i="120"/>
  <c r="H248" i="120"/>
  <c r="G248" i="120"/>
  <c r="I241" i="120"/>
  <c r="H241" i="120"/>
  <c r="G241" i="120"/>
  <c r="I239" i="120"/>
  <c r="H239" i="120"/>
  <c r="G239" i="120"/>
  <c r="I238" i="120"/>
  <c r="H238" i="120"/>
  <c r="G238" i="120"/>
  <c r="I220" i="120"/>
  <c r="I219" i="120" s="1"/>
  <c r="H220" i="120"/>
  <c r="H219" i="120" s="1"/>
  <c r="G220" i="120"/>
  <c r="G219" i="120" s="1"/>
  <c r="I217" i="120"/>
  <c r="H217" i="120"/>
  <c r="G217" i="120"/>
  <c r="I207" i="120"/>
  <c r="I206" i="120" s="1"/>
  <c r="I205" i="120" s="1"/>
  <c r="H207" i="120"/>
  <c r="H206" i="120" s="1"/>
  <c r="H205" i="120" s="1"/>
  <c r="G207" i="120"/>
  <c r="G206" i="120" s="1"/>
  <c r="G205" i="120" s="1"/>
  <c r="I198" i="120"/>
  <c r="I197" i="120" s="1"/>
  <c r="H198" i="120"/>
  <c r="H197" i="120" s="1"/>
  <c r="G198" i="120"/>
  <c r="G197" i="120" s="1"/>
  <c r="I186" i="120"/>
  <c r="I185" i="120" s="1"/>
  <c r="H186" i="120"/>
  <c r="H185" i="120" s="1"/>
  <c r="G186" i="120"/>
  <c r="G185" i="120" s="1"/>
  <c r="I174" i="120"/>
  <c r="I173" i="120" s="1"/>
  <c r="I171" i="120"/>
  <c r="I170" i="120" s="1"/>
  <c r="H171" i="120"/>
  <c r="H170" i="120" s="1"/>
  <c r="G171" i="120"/>
  <c r="G170" i="120" s="1"/>
  <c r="I168" i="120"/>
  <c r="H168" i="120"/>
  <c r="G168" i="120"/>
  <c r="I166" i="120"/>
  <c r="H166" i="120"/>
  <c r="G166" i="120"/>
  <c r="I163" i="120"/>
  <c r="I162" i="120" s="1"/>
  <c r="H163" i="120"/>
  <c r="H162" i="120" s="1"/>
  <c r="G163" i="120"/>
  <c r="G162" i="120" s="1"/>
  <c r="I160" i="120"/>
  <c r="I159" i="120" s="1"/>
  <c r="I158" i="120" s="1"/>
  <c r="I157" i="120" s="1"/>
  <c r="H160" i="120"/>
  <c r="H159" i="120" s="1"/>
  <c r="H158" i="120" s="1"/>
  <c r="H157" i="120" s="1"/>
  <c r="G160" i="120"/>
  <c r="G159" i="120" s="1"/>
  <c r="G158" i="120" s="1"/>
  <c r="G157" i="120" s="1"/>
  <c r="I155" i="120"/>
  <c r="I154" i="120" s="1"/>
  <c r="I153" i="120" s="1"/>
  <c r="I152" i="120" s="1"/>
  <c r="H155" i="120"/>
  <c r="H154" i="120" s="1"/>
  <c r="H153" i="120" s="1"/>
  <c r="H152" i="120" s="1"/>
  <c r="G155" i="120"/>
  <c r="G154" i="120" s="1"/>
  <c r="G153" i="120" s="1"/>
  <c r="G152" i="120" s="1"/>
  <c r="I141" i="120"/>
  <c r="I140" i="120" s="1"/>
  <c r="H141" i="120"/>
  <c r="H140" i="120" s="1"/>
  <c r="G141" i="120"/>
  <c r="G140" i="120" s="1"/>
  <c r="G138" i="120"/>
  <c r="G137" i="120" s="1"/>
  <c r="I138" i="120"/>
  <c r="I137" i="120" s="1"/>
  <c r="H138" i="120"/>
  <c r="H137" i="120" s="1"/>
  <c r="I135" i="120"/>
  <c r="I134" i="120" s="1"/>
  <c r="H135" i="120"/>
  <c r="H134" i="120" s="1"/>
  <c r="G135" i="120"/>
  <c r="G134" i="120" s="1"/>
  <c r="I130" i="120"/>
  <c r="I129" i="120" s="1"/>
  <c r="H130" i="120"/>
  <c r="H129" i="120" s="1"/>
  <c r="G130" i="120"/>
  <c r="G129" i="120" s="1"/>
  <c r="I126" i="120"/>
  <c r="I125" i="120" s="1"/>
  <c r="H126" i="120"/>
  <c r="H125" i="120" s="1"/>
  <c r="G126" i="120"/>
  <c r="G125" i="120" s="1"/>
  <c r="I120" i="120"/>
  <c r="I119" i="120" s="1"/>
  <c r="H120" i="120"/>
  <c r="H119" i="120" s="1"/>
  <c r="G120" i="120"/>
  <c r="G119" i="120" s="1"/>
  <c r="I117" i="120"/>
  <c r="I116" i="120" s="1"/>
  <c r="H117" i="120"/>
  <c r="H116" i="120" s="1"/>
  <c r="G117" i="120"/>
  <c r="G116" i="120" s="1"/>
  <c r="I114" i="120"/>
  <c r="I113" i="120" s="1"/>
  <c r="H114" i="120"/>
  <c r="H113" i="120" s="1"/>
  <c r="G114" i="120"/>
  <c r="G113" i="120" s="1"/>
  <c r="I111" i="120"/>
  <c r="I110" i="120" s="1"/>
  <c r="I109" i="120" s="1"/>
  <c r="H111" i="120"/>
  <c r="H110" i="120" s="1"/>
  <c r="H109" i="120" s="1"/>
  <c r="G111" i="120"/>
  <c r="G110" i="120" s="1"/>
  <c r="G109" i="120" s="1"/>
  <c r="F109" i="120"/>
  <c r="I99" i="120"/>
  <c r="H99" i="120"/>
  <c r="G99" i="120"/>
  <c r="I97" i="120"/>
  <c r="H97" i="120"/>
  <c r="G97" i="120"/>
  <c r="I94" i="120"/>
  <c r="H94" i="120"/>
  <c r="G94" i="120"/>
  <c r="I86" i="120"/>
  <c r="I85" i="120" s="1"/>
  <c r="H86" i="120"/>
  <c r="H85" i="120" s="1"/>
  <c r="G86" i="120"/>
  <c r="G85" i="120" s="1"/>
  <c r="I76" i="120"/>
  <c r="I75" i="120" s="1"/>
  <c r="H76" i="120"/>
  <c r="H75" i="120" s="1"/>
  <c r="G76" i="120"/>
  <c r="G75" i="120" s="1"/>
  <c r="I72" i="120"/>
  <c r="H72" i="120"/>
  <c r="G72" i="120"/>
  <c r="I70" i="120"/>
  <c r="H70" i="120"/>
  <c r="G70" i="120"/>
  <c r="I63" i="120"/>
  <c r="H63" i="120"/>
  <c r="G63" i="120"/>
  <c r="I58" i="120"/>
  <c r="H58" i="120"/>
  <c r="G58" i="120"/>
  <c r="G53" i="120"/>
  <c r="G50" i="120" s="1"/>
  <c r="I53" i="120"/>
  <c r="H53" i="120"/>
  <c r="I41" i="120"/>
  <c r="I40" i="120" s="1"/>
  <c r="I39" i="120" s="1"/>
  <c r="I38" i="120" s="1"/>
  <c r="I37" i="120" s="1"/>
  <c r="H41" i="120"/>
  <c r="H40" i="120" s="1"/>
  <c r="H39" i="120" s="1"/>
  <c r="H38" i="120" s="1"/>
  <c r="H37" i="120" s="1"/>
  <c r="G41" i="120"/>
  <c r="G40" i="120" s="1"/>
  <c r="I28" i="120"/>
  <c r="H28" i="120"/>
  <c r="G28" i="120"/>
  <c r="H26" i="120"/>
  <c r="I26" i="120"/>
  <c r="I24" i="120"/>
  <c r="H24" i="120"/>
  <c r="G24" i="120"/>
  <c r="H18" i="120"/>
  <c r="G18" i="120"/>
  <c r="G17" i="120" s="1"/>
  <c r="G16" i="120" s="1"/>
  <c r="G15" i="120" s="1"/>
  <c r="G14" i="120" s="1"/>
  <c r="I18" i="120"/>
  <c r="G938" i="119"/>
  <c r="G937" i="119" s="1"/>
  <c r="H938" i="119"/>
  <c r="H937" i="119" s="1"/>
  <c r="F939" i="119"/>
  <c r="F938" i="119" s="1"/>
  <c r="F937" i="119" s="1"/>
  <c r="G935" i="119"/>
  <c r="G934" i="119" s="1"/>
  <c r="H935" i="119"/>
  <c r="H934" i="119" s="1"/>
  <c r="F936" i="119"/>
  <c r="G894" i="119"/>
  <c r="H894" i="119"/>
  <c r="F895" i="119"/>
  <c r="G867" i="119"/>
  <c r="H867" i="119"/>
  <c r="H866" i="119" s="1"/>
  <c r="F867" i="119"/>
  <c r="I983" i="120"/>
  <c r="H983" i="120"/>
  <c r="F539" i="119"/>
  <c r="G978" i="119"/>
  <c r="G977" i="119" s="1"/>
  <c r="G976" i="119" s="1"/>
  <c r="H978" i="119"/>
  <c r="H998" i="119"/>
  <c r="H997" i="119" s="1"/>
  <c r="G998" i="119"/>
  <c r="G997" i="119" s="1"/>
  <c r="H996" i="119"/>
  <c r="H995" i="119" s="1"/>
  <c r="G996" i="119"/>
  <c r="G995" i="119" s="1"/>
  <c r="F815" i="119"/>
  <c r="F814" i="119" s="1"/>
  <c r="G815" i="119"/>
  <c r="G814" i="119" s="1"/>
  <c r="H815" i="119"/>
  <c r="H814" i="119" s="1"/>
  <c r="F811" i="119"/>
  <c r="F804" i="119"/>
  <c r="G786" i="119"/>
  <c r="F787" i="119"/>
  <c r="F786" i="119" s="1"/>
  <c r="F785" i="119" s="1"/>
  <c r="G783" i="119"/>
  <c r="G782" i="119" s="1"/>
  <c r="H783" i="119"/>
  <c r="H782" i="119" s="1"/>
  <c r="F784" i="119"/>
  <c r="F783" i="119" s="1"/>
  <c r="F782" i="119" s="1"/>
  <c r="G780" i="119"/>
  <c r="H780" i="119"/>
  <c r="F781" i="119"/>
  <c r="F780" i="119" s="1"/>
  <c r="G770" i="119"/>
  <c r="G769" i="119" s="1"/>
  <c r="G768" i="119" s="1"/>
  <c r="H770" i="119"/>
  <c r="H769" i="119" s="1"/>
  <c r="H768" i="119" s="1"/>
  <c r="F770" i="119"/>
  <c r="F769" i="119" s="1"/>
  <c r="F768" i="119" s="1"/>
  <c r="G767" i="119"/>
  <c r="G766" i="119" s="1"/>
  <c r="G765" i="119" s="1"/>
  <c r="H767" i="119"/>
  <c r="H766" i="119" s="1"/>
  <c r="H765" i="119" s="1"/>
  <c r="F767" i="119"/>
  <c r="F766" i="119" s="1"/>
  <c r="F765" i="119" s="1"/>
  <c r="G755" i="119"/>
  <c r="G754" i="119" s="1"/>
  <c r="H755" i="119"/>
  <c r="H754" i="119" s="1"/>
  <c r="F756" i="119"/>
  <c r="G750" i="119"/>
  <c r="G749" i="119" s="1"/>
  <c r="H750" i="119"/>
  <c r="H749" i="119" s="1"/>
  <c r="F751" i="119"/>
  <c r="F750" i="119" s="1"/>
  <c r="F749" i="119" s="1"/>
  <c r="G734" i="119"/>
  <c r="G733" i="119" s="1"/>
  <c r="H734" i="119"/>
  <c r="H733" i="119" s="1"/>
  <c r="F734" i="119"/>
  <c r="F733" i="119" s="1"/>
  <c r="G722" i="119"/>
  <c r="H722" i="119"/>
  <c r="G721" i="119"/>
  <c r="H721" i="119"/>
  <c r="F722" i="119"/>
  <c r="G707" i="119"/>
  <c r="G706" i="119" s="1"/>
  <c r="H707" i="119"/>
  <c r="H706" i="119" s="1"/>
  <c r="F707" i="119"/>
  <c r="F706" i="119" s="1"/>
  <c r="G704" i="119"/>
  <c r="H704" i="119"/>
  <c r="F705" i="119"/>
  <c r="G462" i="119"/>
  <c r="G461" i="119" s="1"/>
  <c r="H462" i="119"/>
  <c r="H461" i="119" s="1"/>
  <c r="F463" i="119"/>
  <c r="F462" i="119" s="1"/>
  <c r="F461" i="119" s="1"/>
  <c r="G679" i="119"/>
  <c r="G678" i="119" s="1"/>
  <c r="G677" i="119" s="1"/>
  <c r="H679" i="119"/>
  <c r="H678" i="119" s="1"/>
  <c r="H677" i="119" s="1"/>
  <c r="F679" i="119"/>
  <c r="F678" i="119" s="1"/>
  <c r="F677" i="119" s="1"/>
  <c r="G670" i="119"/>
  <c r="G669" i="119" s="1"/>
  <c r="H670" i="119"/>
  <c r="H669" i="119" s="1"/>
  <c r="F670" i="119"/>
  <c r="F669" i="119" s="1"/>
  <c r="G671" i="119"/>
  <c r="F672" i="119"/>
  <c r="F671" i="119" s="1"/>
  <c r="G666" i="119"/>
  <c r="H666" i="119"/>
  <c r="F667" i="119"/>
  <c r="F666" i="119" s="1"/>
  <c r="G664" i="119"/>
  <c r="H664" i="119"/>
  <c r="F665" i="119"/>
  <c r="F664" i="119" s="1"/>
  <c r="G660" i="119"/>
  <c r="G659" i="119" s="1"/>
  <c r="H660" i="119"/>
  <c r="H659" i="119" s="1"/>
  <c r="F660" i="119"/>
  <c r="F659" i="119" s="1"/>
  <c r="F650" i="119" s="1"/>
  <c r="G648" i="119"/>
  <c r="G647" i="119" s="1"/>
  <c r="H648" i="119"/>
  <c r="H647" i="119" s="1"/>
  <c r="F649" i="119"/>
  <c r="F648" i="119" s="1"/>
  <c r="F647" i="119" s="1"/>
  <c r="G644" i="119"/>
  <c r="G643" i="119" s="1"/>
  <c r="H644" i="119"/>
  <c r="H643" i="119" s="1"/>
  <c r="F644" i="119"/>
  <c r="F643" i="119" s="1"/>
  <c r="G583" i="119"/>
  <c r="G582" i="119" s="1"/>
  <c r="H583" i="119"/>
  <c r="H582" i="119" s="1"/>
  <c r="F584" i="119"/>
  <c r="F557" i="119"/>
  <c r="F556" i="119"/>
  <c r="G545" i="119"/>
  <c r="H545" i="119"/>
  <c r="F545" i="119"/>
  <c r="G487" i="119"/>
  <c r="G486" i="119" s="1"/>
  <c r="H487" i="119"/>
  <c r="H486" i="119" s="1"/>
  <c r="G484" i="119"/>
  <c r="G483" i="119" s="1"/>
  <c r="H484" i="119"/>
  <c r="H483" i="119" s="1"/>
  <c r="F485" i="119"/>
  <c r="F484" i="119" s="1"/>
  <c r="F483" i="119" s="1"/>
  <c r="G456" i="119"/>
  <c r="G455" i="119" s="1"/>
  <c r="H456" i="119"/>
  <c r="H455" i="119" s="1"/>
  <c r="F457" i="119"/>
  <c r="F456" i="119" s="1"/>
  <c r="F455" i="119" s="1"/>
  <c r="G447" i="119"/>
  <c r="G446" i="119" s="1"/>
  <c r="H447" i="119"/>
  <c r="H446" i="119" s="1"/>
  <c r="F448" i="119"/>
  <c r="G423" i="119"/>
  <c r="G422" i="119" s="1"/>
  <c r="H423" i="119"/>
  <c r="H422" i="119" s="1"/>
  <c r="F424" i="119"/>
  <c r="F423" i="119" s="1"/>
  <c r="F422" i="119" s="1"/>
  <c r="G420" i="119"/>
  <c r="G419" i="119" s="1"/>
  <c r="H420" i="119"/>
  <c r="H419" i="119" s="1"/>
  <c r="F420" i="119"/>
  <c r="F419" i="119" s="1"/>
  <c r="G417" i="119"/>
  <c r="H417" i="119"/>
  <c r="F418" i="119"/>
  <c r="F378" i="119"/>
  <c r="F377" i="119" s="1"/>
  <c r="G374" i="119"/>
  <c r="H374" i="119"/>
  <c r="G286" i="119"/>
  <c r="G285" i="119" s="1"/>
  <c r="H286" i="119"/>
  <c r="H285" i="119" s="1"/>
  <c r="F287" i="119"/>
  <c r="G307" i="119"/>
  <c r="H307" i="119"/>
  <c r="F306" i="119"/>
  <c r="G290" i="119"/>
  <c r="H290" i="119"/>
  <c r="F290" i="119"/>
  <c r="G281" i="119"/>
  <c r="G280" i="119" s="1"/>
  <c r="H281" i="119"/>
  <c r="H280" i="119" s="1"/>
  <c r="F281" i="119"/>
  <c r="F280" i="119" s="1"/>
  <c r="H47" i="120"/>
  <c r="H46" i="120" s="1"/>
  <c r="I47" i="120"/>
  <c r="I46" i="120" s="1"/>
  <c r="G47" i="120"/>
  <c r="G46" i="120" s="1"/>
  <c r="I62" i="120"/>
  <c r="I61" i="120" s="1"/>
  <c r="H62" i="120"/>
  <c r="H61" i="120" s="1"/>
  <c r="G61" i="120"/>
  <c r="H67" i="120"/>
  <c r="H66" i="120" s="1"/>
  <c r="I67" i="120"/>
  <c r="I66" i="120" s="1"/>
  <c r="G67" i="120"/>
  <c r="G66" i="120" s="1"/>
  <c r="G195" i="119"/>
  <c r="G194" i="119" s="1"/>
  <c r="H195" i="119"/>
  <c r="H194" i="119" s="1"/>
  <c r="F196" i="119"/>
  <c r="G198" i="119"/>
  <c r="G197" i="119" s="1"/>
  <c r="H198" i="119"/>
  <c r="H197" i="119" s="1"/>
  <c r="G204" i="119"/>
  <c r="G203" i="119" s="1"/>
  <c r="H204" i="119"/>
  <c r="H203" i="119" s="1"/>
  <c r="F205" i="119"/>
  <c r="F204" i="119" s="1"/>
  <c r="F203" i="119" s="1"/>
  <c r="G230" i="119"/>
  <c r="H230" i="119"/>
  <c r="F230" i="119"/>
  <c r="F229" i="119" s="1"/>
  <c r="F228" i="119" s="1"/>
  <c r="G421" i="120"/>
  <c r="G420" i="120" s="1"/>
  <c r="H421" i="120"/>
  <c r="H420" i="120" s="1"/>
  <c r="H419" i="120"/>
  <c r="H418" i="120" s="1"/>
  <c r="I419" i="120"/>
  <c r="I418" i="120" s="1"/>
  <c r="G419" i="120"/>
  <c r="G418" i="120" s="1"/>
  <c r="H52" i="120"/>
  <c r="I52" i="120"/>
  <c r="H57" i="120"/>
  <c r="I57" i="120"/>
  <c r="I56" i="120" s="1"/>
  <c r="G57" i="120"/>
  <c r="G138" i="119"/>
  <c r="G137" i="119" s="1"/>
  <c r="H138" i="119"/>
  <c r="H137" i="119" s="1"/>
  <c r="F139" i="119"/>
  <c r="F138" i="119" s="1"/>
  <c r="F137" i="119" s="1"/>
  <c r="G141" i="119"/>
  <c r="H141" i="119"/>
  <c r="F141" i="119"/>
  <c r="G408" i="119"/>
  <c r="G407" i="119" s="1"/>
  <c r="H408" i="119"/>
  <c r="H407" i="119" s="1"/>
  <c r="F408" i="119"/>
  <c r="F407" i="119" s="1"/>
  <c r="G377" i="119"/>
  <c r="H377" i="119"/>
  <c r="G370" i="119"/>
  <c r="G369" i="119" s="1"/>
  <c r="F371" i="119"/>
  <c r="F370" i="119" s="1"/>
  <c r="F369" i="119" s="1"/>
  <c r="G367" i="119"/>
  <c r="G366" i="119" s="1"/>
  <c r="G365" i="119" s="1"/>
  <c r="G364" i="119" s="1"/>
  <c r="H367" i="119"/>
  <c r="H366" i="119" s="1"/>
  <c r="H365" i="119" s="1"/>
  <c r="H364" i="119" s="1"/>
  <c r="F368" i="119"/>
  <c r="F367" i="119" s="1"/>
  <c r="F366" i="119" s="1"/>
  <c r="G346" i="119"/>
  <c r="G345" i="119" s="1"/>
  <c r="H346" i="119"/>
  <c r="H345" i="119" s="1"/>
  <c r="F347" i="119"/>
  <c r="H81" i="120"/>
  <c r="I81" i="120"/>
  <c r="G82" i="120"/>
  <c r="G81" i="120" s="1"/>
  <c r="H1014" i="120"/>
  <c r="H1013" i="120" s="1"/>
  <c r="I1014" i="120"/>
  <c r="I1013" i="120" s="1"/>
  <c r="G1014" i="120"/>
  <c r="G1013" i="120" s="1"/>
  <c r="H689" i="120"/>
  <c r="H688" i="120" s="1"/>
  <c r="I689" i="120"/>
  <c r="I688" i="120" s="1"/>
  <c r="G689" i="120"/>
  <c r="G688" i="120" s="1"/>
  <c r="G685" i="120" s="1"/>
  <c r="H686" i="120"/>
  <c r="I686" i="120"/>
  <c r="H674" i="120"/>
  <c r="H673" i="120" s="1"/>
  <c r="I674" i="120"/>
  <c r="I673" i="120" s="1"/>
  <c r="G18" i="119"/>
  <c r="H18" i="119"/>
  <c r="F19" i="119"/>
  <c r="F997" i="119"/>
  <c r="F995" i="119"/>
  <c r="F993" i="119"/>
  <c r="H988" i="119"/>
  <c r="G988" i="119"/>
  <c r="F988" i="119"/>
  <c r="H982" i="119"/>
  <c r="G982" i="119"/>
  <c r="F982" i="119"/>
  <c r="H971" i="119"/>
  <c r="H970" i="119" s="1"/>
  <c r="H969" i="119" s="1"/>
  <c r="H968" i="119" s="1"/>
  <c r="G971" i="119"/>
  <c r="G970" i="119" s="1"/>
  <c r="G969" i="119" s="1"/>
  <c r="G968" i="119" s="1"/>
  <c r="F971" i="119"/>
  <c r="F970" i="119" s="1"/>
  <c r="F969" i="119" s="1"/>
  <c r="F968" i="119" s="1"/>
  <c r="F966" i="119"/>
  <c r="F965" i="119" s="1"/>
  <c r="F964" i="119" s="1"/>
  <c r="F961" i="119" s="1"/>
  <c r="H966" i="119"/>
  <c r="H965" i="119" s="1"/>
  <c r="H964" i="119" s="1"/>
  <c r="G966" i="119"/>
  <c r="G965" i="119" s="1"/>
  <c r="G964" i="119" s="1"/>
  <c r="H956" i="119"/>
  <c r="H955" i="119" s="1"/>
  <c r="G956" i="119"/>
  <c r="G955" i="119" s="1"/>
  <c r="F956" i="119"/>
  <c r="F955" i="119" s="1"/>
  <c r="H952" i="119"/>
  <c r="H951" i="119" s="1"/>
  <c r="G952" i="119"/>
  <c r="G951" i="119" s="1"/>
  <c r="F952" i="119"/>
  <c r="F951" i="119" s="1"/>
  <c r="H949" i="119"/>
  <c r="H948" i="119" s="1"/>
  <c r="G949" i="119"/>
  <c r="G948" i="119" s="1"/>
  <c r="F949" i="119"/>
  <c r="F948" i="119" s="1"/>
  <c r="H945" i="119"/>
  <c r="H944" i="119" s="1"/>
  <c r="H940" i="119" s="1"/>
  <c r="G945" i="119"/>
  <c r="G944" i="119" s="1"/>
  <c r="G940" i="119" s="1"/>
  <c r="F945" i="119"/>
  <c r="F944" i="119" s="1"/>
  <c r="F940" i="119" s="1"/>
  <c r="H931" i="119"/>
  <c r="H930" i="119" s="1"/>
  <c r="G931" i="119"/>
  <c r="G930" i="119" s="1"/>
  <c r="F931" i="119"/>
  <c r="F930" i="119" s="1"/>
  <c r="H928" i="119"/>
  <c r="H927" i="119" s="1"/>
  <c r="G928" i="119"/>
  <c r="G927" i="119" s="1"/>
  <c r="F928" i="119"/>
  <c r="F927" i="119" s="1"/>
  <c r="H924" i="119"/>
  <c r="H923" i="119" s="1"/>
  <c r="H922" i="119" s="1"/>
  <c r="G924" i="119"/>
  <c r="G923" i="119" s="1"/>
  <c r="G922" i="119" s="1"/>
  <c r="F924" i="119"/>
  <c r="F923" i="119" s="1"/>
  <c r="F922" i="119" s="1"/>
  <c r="H916" i="119"/>
  <c r="G916" i="119"/>
  <c r="F916" i="119"/>
  <c r="F914" i="119"/>
  <c r="H914" i="119"/>
  <c r="G914" i="119"/>
  <c r="H911" i="119"/>
  <c r="H910" i="119" s="1"/>
  <c r="H909" i="119" s="1"/>
  <c r="G911" i="119"/>
  <c r="G910" i="119" s="1"/>
  <c r="G909" i="119" s="1"/>
  <c r="F911" i="119"/>
  <c r="F910" i="119" s="1"/>
  <c r="F909" i="119" s="1"/>
  <c r="H839" i="119"/>
  <c r="G839" i="119"/>
  <c r="F839" i="119"/>
  <c r="F832" i="119"/>
  <c r="F831" i="119" s="1"/>
  <c r="F830" i="119" s="1"/>
  <c r="F829" i="119" s="1"/>
  <c r="H832" i="119"/>
  <c r="H831" i="119" s="1"/>
  <c r="H830" i="119" s="1"/>
  <c r="H829" i="119" s="1"/>
  <c r="G832" i="119"/>
  <c r="G831" i="119" s="1"/>
  <c r="G830" i="119" s="1"/>
  <c r="G829" i="119" s="1"/>
  <c r="H823" i="119"/>
  <c r="H822" i="119" s="1"/>
  <c r="G823" i="119"/>
  <c r="G822" i="119" s="1"/>
  <c r="F823" i="119"/>
  <c r="F822" i="119" s="1"/>
  <c r="F818" i="119"/>
  <c r="F817" i="119" s="1"/>
  <c r="H818" i="119"/>
  <c r="H817" i="119" s="1"/>
  <c r="G818" i="119"/>
  <c r="G817" i="119" s="1"/>
  <c r="H797" i="119"/>
  <c r="H796" i="119" s="1"/>
  <c r="H795" i="119" s="1"/>
  <c r="H794" i="119" s="1"/>
  <c r="G797" i="119"/>
  <c r="G796" i="119" s="1"/>
  <c r="G795" i="119" s="1"/>
  <c r="G794" i="119" s="1"/>
  <c r="F797" i="119"/>
  <c r="F796" i="119" s="1"/>
  <c r="F795" i="119" s="1"/>
  <c r="F794" i="119" s="1"/>
  <c r="H792" i="119"/>
  <c r="G792" i="119"/>
  <c r="F792" i="119"/>
  <c r="H790" i="119"/>
  <c r="G790" i="119"/>
  <c r="F790" i="119"/>
  <c r="H778" i="119"/>
  <c r="H777" i="119" s="1"/>
  <c r="G778" i="119"/>
  <c r="G777" i="119" s="1"/>
  <c r="F778" i="119"/>
  <c r="F777" i="119" s="1"/>
  <c r="H775" i="119"/>
  <c r="H774" i="119" s="1"/>
  <c r="G775" i="119"/>
  <c r="G774" i="119" s="1"/>
  <c r="F775" i="119"/>
  <c r="F774" i="119" s="1"/>
  <c r="H772" i="119"/>
  <c r="H771" i="119" s="1"/>
  <c r="G772" i="119"/>
  <c r="G771" i="119" s="1"/>
  <c r="F772" i="119"/>
  <c r="F771" i="119" s="1"/>
  <c r="H762" i="119"/>
  <c r="H761" i="119" s="1"/>
  <c r="G762" i="119"/>
  <c r="G761" i="119" s="1"/>
  <c r="F762" i="119"/>
  <c r="F761" i="119" s="1"/>
  <c r="H759" i="119"/>
  <c r="H758" i="119" s="1"/>
  <c r="H757" i="119" s="1"/>
  <c r="G759" i="119"/>
  <c r="G758" i="119" s="1"/>
  <c r="G757" i="119" s="1"/>
  <c r="F759" i="119"/>
  <c r="F758" i="119" s="1"/>
  <c r="F757" i="119" s="1"/>
  <c r="F571" i="119"/>
  <c r="F570" i="119" s="1"/>
  <c r="H571" i="119"/>
  <c r="H570" i="119" s="1"/>
  <c r="G571" i="119"/>
  <c r="G570" i="119" s="1"/>
  <c r="H568" i="119"/>
  <c r="H567" i="119" s="1"/>
  <c r="G568" i="119"/>
  <c r="G567" i="119" s="1"/>
  <c r="F568" i="119"/>
  <c r="F567" i="119" s="1"/>
  <c r="H747" i="119"/>
  <c r="H746" i="119" s="1"/>
  <c r="G747" i="119"/>
  <c r="G746" i="119" s="1"/>
  <c r="F747" i="119"/>
  <c r="F746" i="119" s="1"/>
  <c r="H744" i="119"/>
  <c r="H743" i="119" s="1"/>
  <c r="G744" i="119"/>
  <c r="G743" i="119" s="1"/>
  <c r="F744" i="119"/>
  <c r="F743" i="119" s="1"/>
  <c r="H740" i="119"/>
  <c r="H739" i="119" s="1"/>
  <c r="G740" i="119"/>
  <c r="G739" i="119" s="1"/>
  <c r="F740" i="119"/>
  <c r="F739" i="119" s="1"/>
  <c r="H737" i="119"/>
  <c r="H736" i="119" s="1"/>
  <c r="G737" i="119"/>
  <c r="G736" i="119" s="1"/>
  <c r="F737" i="119"/>
  <c r="F736" i="119" s="1"/>
  <c r="H728" i="119"/>
  <c r="H727" i="119" s="1"/>
  <c r="G728" i="119"/>
  <c r="G727" i="119" s="1"/>
  <c r="F728" i="119"/>
  <c r="F727" i="119" s="1"/>
  <c r="H725" i="119"/>
  <c r="H724" i="119" s="1"/>
  <c r="G725" i="119"/>
  <c r="G724" i="119" s="1"/>
  <c r="F725" i="119"/>
  <c r="F724" i="119" s="1"/>
  <c r="H715" i="119"/>
  <c r="H714" i="119" s="1"/>
  <c r="G715" i="119"/>
  <c r="G714" i="119" s="1"/>
  <c r="F715" i="119"/>
  <c r="F714" i="119" s="1"/>
  <c r="H712" i="119"/>
  <c r="H711" i="119" s="1"/>
  <c r="G712" i="119"/>
  <c r="G711" i="119" s="1"/>
  <c r="F712" i="119"/>
  <c r="F711" i="119" s="1"/>
  <c r="H708" i="119"/>
  <c r="G708" i="119"/>
  <c r="F708" i="119"/>
  <c r="G693" i="119"/>
  <c r="H691" i="119"/>
  <c r="F688" i="119"/>
  <c r="F687" i="119" s="1"/>
  <c r="H688" i="119"/>
  <c r="H687" i="119" s="1"/>
  <c r="G688" i="119"/>
  <c r="G687" i="119" s="1"/>
  <c r="H685" i="119"/>
  <c r="G685" i="119"/>
  <c r="F685" i="119"/>
  <c r="H683" i="119"/>
  <c r="G683" i="119"/>
  <c r="F683" i="119"/>
  <c r="H674" i="119"/>
  <c r="H673" i="119" s="1"/>
  <c r="G674" i="119"/>
  <c r="G673" i="119" s="1"/>
  <c r="F674" i="119"/>
  <c r="F673" i="119" s="1"/>
  <c r="H645" i="119"/>
  <c r="G645" i="119"/>
  <c r="F645" i="119"/>
  <c r="F639" i="119"/>
  <c r="H639" i="119"/>
  <c r="G639" i="119"/>
  <c r="H629" i="119"/>
  <c r="G629" i="119"/>
  <c r="F629" i="119"/>
  <c r="H613" i="119"/>
  <c r="H612" i="119" s="1"/>
  <c r="G613" i="119"/>
  <c r="G612" i="119" s="1"/>
  <c r="F613" i="119"/>
  <c r="F612" i="119" s="1"/>
  <c r="H610" i="119"/>
  <c r="H609" i="119" s="1"/>
  <c r="G610" i="119"/>
  <c r="G609" i="119" s="1"/>
  <c r="F610" i="119"/>
  <c r="F609" i="119" s="1"/>
  <c r="H607" i="119"/>
  <c r="H606" i="119" s="1"/>
  <c r="H605" i="119" s="1"/>
  <c r="G607" i="119"/>
  <c r="G606" i="119" s="1"/>
  <c r="G605" i="119" s="1"/>
  <c r="F607" i="119"/>
  <c r="F606" i="119" s="1"/>
  <c r="F605" i="119" s="1"/>
  <c r="H603" i="119"/>
  <c r="G603" i="119"/>
  <c r="F603" i="119"/>
  <c r="H601" i="119"/>
  <c r="H600" i="119" s="1"/>
  <c r="H599" i="119" s="1"/>
  <c r="H598" i="119" s="1"/>
  <c r="H597" i="119" s="1"/>
  <c r="G601" i="119"/>
  <c r="G600" i="119" s="1"/>
  <c r="G599" i="119" s="1"/>
  <c r="G598" i="119" s="1"/>
  <c r="G597" i="119" s="1"/>
  <c r="F601" i="119"/>
  <c r="F600" i="119" s="1"/>
  <c r="F599" i="119" s="1"/>
  <c r="F598" i="119" s="1"/>
  <c r="F597" i="119" s="1"/>
  <c r="H578" i="119"/>
  <c r="H577" i="119" s="1"/>
  <c r="G578" i="119"/>
  <c r="G577" i="119" s="1"/>
  <c r="F578" i="119"/>
  <c r="F577" i="119" s="1"/>
  <c r="H575" i="119"/>
  <c r="H574" i="119" s="1"/>
  <c r="H573" i="119" s="1"/>
  <c r="G575" i="119"/>
  <c r="G574" i="119" s="1"/>
  <c r="G573" i="119" s="1"/>
  <c r="F575" i="119"/>
  <c r="F574" i="119" s="1"/>
  <c r="F573" i="119" s="1"/>
  <c r="H564" i="119"/>
  <c r="G564" i="119"/>
  <c r="F564" i="119"/>
  <c r="H562" i="119"/>
  <c r="G562" i="119"/>
  <c r="F562" i="119"/>
  <c r="F558" i="119"/>
  <c r="H558" i="119"/>
  <c r="G558" i="119"/>
  <c r="H541" i="119"/>
  <c r="H491" i="119"/>
  <c r="H490" i="119" s="1"/>
  <c r="H489" i="119" s="1"/>
  <c r="G491" i="119"/>
  <c r="G490" i="119" s="1"/>
  <c r="G489" i="119" s="1"/>
  <c r="F491" i="119"/>
  <c r="F490" i="119" s="1"/>
  <c r="F489" i="119" s="1"/>
  <c r="H469" i="119"/>
  <c r="H468" i="119" s="1"/>
  <c r="G469" i="119"/>
  <c r="G468" i="119" s="1"/>
  <c r="F469" i="119"/>
  <c r="F468" i="119" s="1"/>
  <c r="F466" i="119"/>
  <c r="F465" i="119" s="1"/>
  <c r="H466" i="119"/>
  <c r="H465" i="119" s="1"/>
  <c r="G466" i="119"/>
  <c r="G465" i="119" s="1"/>
  <c r="H459" i="119"/>
  <c r="H458" i="119" s="1"/>
  <c r="G459" i="119"/>
  <c r="G458" i="119" s="1"/>
  <c r="F459" i="119"/>
  <c r="F458" i="119" s="1"/>
  <c r="H453" i="119"/>
  <c r="H452" i="119" s="1"/>
  <c r="G453" i="119"/>
  <c r="G452" i="119" s="1"/>
  <c r="F453" i="119"/>
  <c r="F452" i="119" s="1"/>
  <c r="H441" i="119"/>
  <c r="H440" i="119" s="1"/>
  <c r="H439" i="119" s="1"/>
  <c r="H438" i="119" s="1"/>
  <c r="H434" i="119" s="1"/>
  <c r="G441" i="119"/>
  <c r="G440" i="119" s="1"/>
  <c r="G439" i="119" s="1"/>
  <c r="G438" i="119" s="1"/>
  <c r="G434" i="119" s="1"/>
  <c r="F441" i="119"/>
  <c r="F440" i="119" s="1"/>
  <c r="F439" i="119" s="1"/>
  <c r="F438" i="119" s="1"/>
  <c r="F434" i="119" s="1"/>
  <c r="H427" i="119"/>
  <c r="H426" i="119" s="1"/>
  <c r="H425" i="119" s="1"/>
  <c r="G427" i="119"/>
  <c r="G426" i="119" s="1"/>
  <c r="G425" i="119" s="1"/>
  <c r="F427" i="119"/>
  <c r="F426" i="119" s="1"/>
  <c r="F425" i="119" s="1"/>
  <c r="H401" i="119"/>
  <c r="G401" i="119"/>
  <c r="F401" i="119"/>
  <c r="H396" i="119"/>
  <c r="G396" i="119"/>
  <c r="F396" i="119"/>
  <c r="H394" i="119"/>
  <c r="G394" i="119"/>
  <c r="F394" i="119"/>
  <c r="H379" i="119"/>
  <c r="G379" i="119"/>
  <c r="F379" i="119"/>
  <c r="H352" i="119"/>
  <c r="H351" i="119" s="1"/>
  <c r="G352" i="119"/>
  <c r="G351" i="119" s="1"/>
  <c r="F352" i="119"/>
  <c r="F351" i="119" s="1"/>
  <c r="F350" i="119"/>
  <c r="F349" i="119" s="1"/>
  <c r="F348" i="119" s="1"/>
  <c r="H349" i="119"/>
  <c r="H348" i="119" s="1"/>
  <c r="G349" i="119"/>
  <c r="G348" i="119" s="1"/>
  <c r="H343" i="119"/>
  <c r="H342" i="119" s="1"/>
  <c r="G343" i="119"/>
  <c r="G342" i="119" s="1"/>
  <c r="F343" i="119"/>
  <c r="F342" i="119" s="1"/>
  <c r="H316" i="119"/>
  <c r="G316" i="119"/>
  <c r="F316" i="119"/>
  <c r="H311" i="119"/>
  <c r="G311" i="119"/>
  <c r="F311" i="119"/>
  <c r="H304" i="119"/>
  <c r="G304" i="119"/>
  <c r="F304" i="119"/>
  <c r="H297" i="119"/>
  <c r="G297" i="119"/>
  <c r="F297" i="119"/>
  <c r="H295" i="119"/>
  <c r="G295" i="119"/>
  <c r="F295" i="119"/>
  <c r="H294" i="119"/>
  <c r="G294" i="119"/>
  <c r="F294" i="119"/>
  <c r="H288" i="119"/>
  <c r="G288" i="119"/>
  <c r="F288" i="119"/>
  <c r="H275" i="119"/>
  <c r="G275" i="119"/>
  <c r="G274" i="119" s="1"/>
  <c r="F275" i="119"/>
  <c r="F274" i="119" s="1"/>
  <c r="H266" i="119"/>
  <c r="H265" i="119" s="1"/>
  <c r="G266" i="119"/>
  <c r="G265" i="119" s="1"/>
  <c r="F266" i="119"/>
  <c r="F265" i="119" s="1"/>
  <c r="H253" i="119"/>
  <c r="H252" i="119" s="1"/>
  <c r="G253" i="119"/>
  <c r="G252" i="119" s="1"/>
  <c r="F253" i="119"/>
  <c r="F252" i="119" s="1"/>
  <c r="H241" i="119"/>
  <c r="H240" i="119" s="1"/>
  <c r="G241" i="119"/>
  <c r="G240" i="119" s="1"/>
  <c r="F241" i="119"/>
  <c r="F240" i="119" s="1"/>
  <c r="H226" i="119"/>
  <c r="H225" i="119" s="1"/>
  <c r="G226" i="119"/>
  <c r="G225" i="119" s="1"/>
  <c r="F226" i="119"/>
  <c r="F225" i="119" s="1"/>
  <c r="H223" i="119"/>
  <c r="G223" i="119"/>
  <c r="F223" i="119"/>
  <c r="H221" i="119"/>
  <c r="G221" i="119"/>
  <c r="F221" i="119"/>
  <c r="H218" i="119"/>
  <c r="H217" i="119" s="1"/>
  <c r="G218" i="119"/>
  <c r="G217" i="119" s="1"/>
  <c r="F218" i="119"/>
  <c r="F217" i="119" s="1"/>
  <c r="H212" i="119"/>
  <c r="G212" i="119"/>
  <c r="F212" i="119"/>
  <c r="H210" i="119"/>
  <c r="H208" i="119" s="1"/>
  <c r="G210" i="119"/>
  <c r="G208" i="119" s="1"/>
  <c r="F210" i="119"/>
  <c r="F208" i="119" s="1"/>
  <c r="H209" i="119"/>
  <c r="H207" i="119" s="1"/>
  <c r="H206" i="119" s="1"/>
  <c r="G209" i="119"/>
  <c r="G207" i="119" s="1"/>
  <c r="G206" i="119" s="1"/>
  <c r="F209" i="119"/>
  <c r="F207" i="119" s="1"/>
  <c r="F206" i="119" s="1"/>
  <c r="H201" i="119"/>
  <c r="H200" i="119" s="1"/>
  <c r="G201" i="119"/>
  <c r="G200" i="119" s="1"/>
  <c r="F201" i="119"/>
  <c r="F200" i="119" s="1"/>
  <c r="H192" i="119"/>
  <c r="H191" i="119" s="1"/>
  <c r="G192" i="119"/>
  <c r="G191" i="119" s="1"/>
  <c r="F192" i="119"/>
  <c r="F191" i="119" s="1"/>
  <c r="H189" i="119"/>
  <c r="H188" i="119" s="1"/>
  <c r="G189" i="119"/>
  <c r="G188" i="119" s="1"/>
  <c r="F189" i="119"/>
  <c r="F188" i="119" s="1"/>
  <c r="H186" i="119"/>
  <c r="H185" i="119" s="1"/>
  <c r="G186" i="119"/>
  <c r="G185" i="119" s="1"/>
  <c r="F186" i="119"/>
  <c r="F185" i="119" s="1"/>
  <c r="H181" i="119"/>
  <c r="H180" i="119" s="1"/>
  <c r="G181" i="119"/>
  <c r="G180" i="119" s="1"/>
  <c r="F181" i="119"/>
  <c r="F180" i="119" s="1"/>
  <c r="H177" i="119"/>
  <c r="H176" i="119" s="1"/>
  <c r="G177" i="119"/>
  <c r="G176" i="119" s="1"/>
  <c r="F177" i="119"/>
  <c r="F176" i="119" s="1"/>
  <c r="H171" i="119"/>
  <c r="H170" i="119" s="1"/>
  <c r="G171" i="119"/>
  <c r="G170" i="119" s="1"/>
  <c r="F171" i="119"/>
  <c r="F170" i="119" s="1"/>
  <c r="F168" i="119"/>
  <c r="F167" i="119" s="1"/>
  <c r="H168" i="119"/>
  <c r="H167" i="119" s="1"/>
  <c r="G168" i="119"/>
  <c r="G167" i="119" s="1"/>
  <c r="H165" i="119"/>
  <c r="H164" i="119" s="1"/>
  <c r="G165" i="119"/>
  <c r="G164" i="119" s="1"/>
  <c r="F165" i="119"/>
  <c r="F164" i="119" s="1"/>
  <c r="H162" i="119"/>
  <c r="G162" i="119"/>
  <c r="F162" i="119"/>
  <c r="H160" i="119"/>
  <c r="G160" i="119"/>
  <c r="F160" i="119"/>
  <c r="H156" i="119"/>
  <c r="H155" i="119" s="1"/>
  <c r="H153" i="119" s="1"/>
  <c r="H152" i="119" s="1"/>
  <c r="G156" i="119"/>
  <c r="G155" i="119" s="1"/>
  <c r="G153" i="119" s="1"/>
  <c r="G152" i="119" s="1"/>
  <c r="F156" i="119"/>
  <c r="H148" i="119"/>
  <c r="H145" i="119" s="1"/>
  <c r="G148" i="119"/>
  <c r="G145" i="119" s="1"/>
  <c r="F148" i="119"/>
  <c r="F145" i="119" s="1"/>
  <c r="H146" i="119"/>
  <c r="G146" i="119"/>
  <c r="F146" i="119"/>
  <c r="H143" i="119"/>
  <c r="G143" i="119"/>
  <c r="F143" i="119"/>
  <c r="H135" i="119"/>
  <c r="G135" i="119"/>
  <c r="F135" i="119"/>
  <c r="H133" i="119"/>
  <c r="H132" i="119" s="1"/>
  <c r="G133" i="119"/>
  <c r="G132" i="119" s="1"/>
  <c r="F133" i="119"/>
  <c r="F132" i="119" s="1"/>
  <c r="H130" i="119"/>
  <c r="G130" i="119"/>
  <c r="F130" i="119"/>
  <c r="F128" i="119"/>
  <c r="H123" i="119"/>
  <c r="H122" i="119" s="1"/>
  <c r="G123" i="119"/>
  <c r="G122" i="119" s="1"/>
  <c r="F123" i="119"/>
  <c r="F122" i="119" s="1"/>
  <c r="H120" i="119"/>
  <c r="H119" i="119" s="1"/>
  <c r="G120" i="119"/>
  <c r="G119" i="119" s="1"/>
  <c r="F120" i="119"/>
  <c r="F119" i="119" s="1"/>
  <c r="H117" i="119"/>
  <c r="H116" i="119" s="1"/>
  <c r="G117" i="119"/>
  <c r="G116" i="119" s="1"/>
  <c r="G115" i="119" s="1"/>
  <c r="F117" i="119"/>
  <c r="F116" i="119" s="1"/>
  <c r="F115" i="119" s="1"/>
  <c r="H112" i="119"/>
  <c r="G112" i="119"/>
  <c r="F112" i="119"/>
  <c r="H110" i="119"/>
  <c r="G110" i="119"/>
  <c r="H106" i="119"/>
  <c r="H103" i="119" s="1"/>
  <c r="G106" i="119"/>
  <c r="G103" i="119" s="1"/>
  <c r="F106" i="119"/>
  <c r="F103" i="119" s="1"/>
  <c r="G101" i="119"/>
  <c r="F101" i="119"/>
  <c r="H96" i="119"/>
  <c r="G96" i="119"/>
  <c r="F96" i="119"/>
  <c r="G91" i="119"/>
  <c r="G88" i="119" s="1"/>
  <c r="F91" i="119"/>
  <c r="F84" i="119"/>
  <c r="F83" i="119" s="1"/>
  <c r="H84" i="119"/>
  <c r="H83" i="119" s="1"/>
  <c r="G84" i="119"/>
  <c r="G83" i="119" s="1"/>
  <c r="H78" i="119"/>
  <c r="H77" i="119" s="1"/>
  <c r="G78" i="119"/>
  <c r="G77" i="119" s="1"/>
  <c r="F78" i="119"/>
  <c r="F77" i="119" s="1"/>
  <c r="H72" i="119"/>
  <c r="G72" i="119"/>
  <c r="F72" i="119"/>
  <c r="H71" i="119"/>
  <c r="H70" i="119" s="1"/>
  <c r="G71" i="119"/>
  <c r="G70" i="119" s="1"/>
  <c r="F71" i="119"/>
  <c r="F70" i="119" s="1"/>
  <c r="H65" i="119"/>
  <c r="G65" i="119"/>
  <c r="H63" i="119"/>
  <c r="G63" i="119"/>
  <c r="F63" i="119"/>
  <c r="H61" i="119"/>
  <c r="F61" i="119"/>
  <c r="H58" i="119"/>
  <c r="G58" i="119"/>
  <c r="F58" i="119"/>
  <c r="F51" i="119" s="1"/>
  <c r="G54" i="119"/>
  <c r="G52" i="119"/>
  <c r="H43" i="119"/>
  <c r="G43" i="119"/>
  <c r="F43" i="119"/>
  <c r="H41" i="119"/>
  <c r="F41" i="119"/>
  <c r="G41" i="119"/>
  <c r="H39" i="119"/>
  <c r="F39" i="119"/>
  <c r="G39" i="119"/>
  <c r="H33" i="119"/>
  <c r="G33" i="119"/>
  <c r="F33" i="119"/>
  <c r="H31" i="119"/>
  <c r="G31" i="119"/>
  <c r="F31" i="119"/>
  <c r="H29" i="119"/>
  <c r="G29" i="119"/>
  <c r="H26" i="119"/>
  <c r="G26" i="119"/>
  <c r="F26" i="119"/>
  <c r="E51" i="113"/>
  <c r="F51" i="113"/>
  <c r="D51" i="113"/>
  <c r="I754" i="120"/>
  <c r="I753" i="120" s="1"/>
  <c r="I752" i="120" s="1"/>
  <c r="D68" i="113"/>
  <c r="G212" i="120"/>
  <c r="G211" i="120" s="1"/>
  <c r="I265" i="120"/>
  <c r="I264" i="120" s="1"/>
  <c r="G265" i="120"/>
  <c r="G264" i="120" s="1"/>
  <c r="E163" i="113"/>
  <c r="F163" i="113"/>
  <c r="F162" i="113" s="1"/>
  <c r="D163" i="113"/>
  <c r="D162" i="113" s="1"/>
  <c r="D224" i="113"/>
  <c r="G810" i="120"/>
  <c r="G809" i="120" s="1"/>
  <c r="G808" i="120" s="1"/>
  <c r="E243" i="113"/>
  <c r="E238" i="113" s="1"/>
  <c r="H845" i="119"/>
  <c r="D243" i="113"/>
  <c r="F845" i="119" s="1"/>
  <c r="G558" i="120" s="1"/>
  <c r="D239" i="113"/>
  <c r="D236" i="113"/>
  <c r="G302" i="120" s="1"/>
  <c r="F632" i="119"/>
  <c r="D69" i="113"/>
  <c r="H339" i="120"/>
  <c r="H338" i="120" s="1"/>
  <c r="H337" i="120" s="1"/>
  <c r="H329" i="120" s="1"/>
  <c r="I339" i="120"/>
  <c r="I338" i="120" s="1"/>
  <c r="I337" i="120" s="1"/>
  <c r="I329" i="120" s="1"/>
  <c r="G339" i="120"/>
  <c r="D54" i="113"/>
  <c r="H831" i="120"/>
  <c r="H830" i="120" s="1"/>
  <c r="H829" i="120" s="1"/>
  <c r="I831" i="120"/>
  <c r="I830" i="120" s="1"/>
  <c r="I829" i="120" s="1"/>
  <c r="D53" i="113"/>
  <c r="F510" i="119" s="1"/>
  <c r="H824" i="120"/>
  <c r="H823" i="120" s="1"/>
  <c r="I824" i="120"/>
  <c r="I823" i="120" s="1"/>
  <c r="G825" i="120"/>
  <c r="G824" i="120" s="1"/>
  <c r="G823" i="120" s="1"/>
  <c r="H196" i="120"/>
  <c r="I196" i="120"/>
  <c r="H36" i="120"/>
  <c r="H35" i="120" s="1"/>
  <c r="H34" i="120" s="1"/>
  <c r="I36" i="120"/>
  <c r="I35" i="120" s="1"/>
  <c r="I34" i="120" s="1"/>
  <c r="H124" i="120"/>
  <c r="H123" i="120" s="1"/>
  <c r="H122" i="120" s="1"/>
  <c r="I124" i="120"/>
  <c r="I123" i="120" s="1"/>
  <c r="I122" i="120" s="1"/>
  <c r="H821" i="120"/>
  <c r="H820" i="120" s="1"/>
  <c r="I821" i="120"/>
  <c r="I820" i="120" s="1"/>
  <c r="G821" i="120"/>
  <c r="G820" i="120" s="1"/>
  <c r="F980" i="119"/>
  <c r="G123" i="120"/>
  <c r="G122" i="120" s="1"/>
  <c r="F247" i="113"/>
  <c r="E247" i="113"/>
  <c r="D247" i="113"/>
  <c r="F244" i="113"/>
  <c r="E244" i="113"/>
  <c r="D244" i="113"/>
  <c r="F233" i="113"/>
  <c r="F232" i="113" s="1"/>
  <c r="E233" i="113"/>
  <c r="E232" i="113" s="1"/>
  <c r="D233" i="113"/>
  <c r="D232" i="113" s="1"/>
  <c r="I310" i="120"/>
  <c r="I309" i="120" s="1"/>
  <c r="I308" i="120" s="1"/>
  <c r="D218" i="113"/>
  <c r="F201" i="113"/>
  <c r="E201" i="113"/>
  <c r="D201" i="113"/>
  <c r="F198" i="113"/>
  <c r="E198" i="113"/>
  <c r="D198" i="113"/>
  <c r="D193" i="113"/>
  <c r="D191" i="113"/>
  <c r="D187" i="113"/>
  <c r="D184" i="113"/>
  <c r="D179" i="113"/>
  <c r="E176" i="113"/>
  <c r="F176" i="113"/>
  <c r="F171" i="113"/>
  <c r="E171" i="113"/>
  <c r="F168" i="113"/>
  <c r="E168" i="113"/>
  <c r="D168" i="113"/>
  <c r="F165" i="113"/>
  <c r="E165" i="113"/>
  <c r="D165" i="113"/>
  <c r="F161" i="113"/>
  <c r="E161" i="113"/>
  <c r="D161" i="113"/>
  <c r="D151" i="113"/>
  <c r="F148" i="113"/>
  <c r="E148" i="113"/>
  <c r="D148" i="113"/>
  <c r="F135" i="113"/>
  <c r="E135" i="113"/>
  <c r="D135" i="113"/>
  <c r="F119" i="113"/>
  <c r="E119" i="113"/>
  <c r="D119" i="113"/>
  <c r="F110" i="113"/>
  <c r="E110" i="113"/>
  <c r="D110" i="113"/>
  <c r="D103" i="113"/>
  <c r="D100" i="113"/>
  <c r="D97" i="113"/>
  <c r="D74" i="113"/>
  <c r="D73" i="113" s="1"/>
  <c r="F57" i="113"/>
  <c r="F56" i="113" s="1"/>
  <c r="E57" i="113"/>
  <c r="E56" i="113" s="1"/>
  <c r="D57" i="113"/>
  <c r="F28" i="113"/>
  <c r="E28" i="113"/>
  <c r="F25" i="113"/>
  <c r="E25" i="113"/>
  <c r="F21" i="113"/>
  <c r="E21" i="113"/>
  <c r="D21" i="113"/>
  <c r="D13" i="113" s="1"/>
  <c r="D171" i="113"/>
  <c r="D56" i="113" l="1"/>
  <c r="G754" i="120"/>
  <c r="G753" i="120" s="1"/>
  <c r="G752" i="120" s="1"/>
  <c r="G925" i="120"/>
  <c r="F636" i="119" s="1"/>
  <c r="F635" i="119" s="1"/>
  <c r="F634" i="119" s="1"/>
  <c r="G542" i="120"/>
  <c r="G541" i="120" s="1"/>
  <c r="H924" i="120"/>
  <c r="H923" i="120" s="1"/>
  <c r="G636" i="119"/>
  <c r="G635" i="119" s="1"/>
  <c r="G634" i="119" s="1"/>
  <c r="G425" i="120"/>
  <c r="I55" i="120"/>
  <c r="F13" i="113"/>
  <c r="F12" i="113" s="1"/>
  <c r="E13" i="113"/>
  <c r="E12" i="113" s="1"/>
  <c r="G60" i="120"/>
  <c r="G45" i="120"/>
  <c r="H60" i="120"/>
  <c r="H229" i="119"/>
  <c r="H228" i="119" s="1"/>
  <c r="I863" i="120"/>
  <c r="I852" i="120" s="1"/>
  <c r="H528" i="119"/>
  <c r="G229" i="119"/>
  <c r="G228" i="119" s="1"/>
  <c r="H863" i="120"/>
  <c r="H849" i="120" s="1"/>
  <c r="G528" i="119"/>
  <c r="F195" i="119"/>
  <c r="F194" i="119" s="1"/>
  <c r="F528" i="119"/>
  <c r="H45" i="120"/>
  <c r="I45" i="120"/>
  <c r="E129" i="113"/>
  <c r="H672" i="120"/>
  <c r="G154" i="119"/>
  <c r="G151" i="119" s="1"/>
  <c r="H555" i="120" s="1"/>
  <c r="H154" i="119"/>
  <c r="H306" i="119"/>
  <c r="H303" i="119" s="1"/>
  <c r="H283" i="119" s="1"/>
  <c r="G306" i="119"/>
  <c r="G303" i="119" s="1"/>
  <c r="G283" i="119" s="1"/>
  <c r="H486" i="120"/>
  <c r="F129" i="113"/>
  <c r="H38" i="119"/>
  <c r="H35" i="119" s="1"/>
  <c r="G581" i="119"/>
  <c r="G580" i="119"/>
  <c r="H91" i="120"/>
  <c r="G38" i="119"/>
  <c r="G35" i="119" s="1"/>
  <c r="F76" i="119"/>
  <c r="F75" i="119" s="1"/>
  <c r="F74" i="119"/>
  <c r="G76" i="119"/>
  <c r="G75" i="119" s="1"/>
  <c r="G74" i="119"/>
  <c r="H373" i="119"/>
  <c r="F663" i="119"/>
  <c r="F662" i="119" s="1"/>
  <c r="E154" i="113"/>
  <c r="H76" i="119"/>
  <c r="H75" i="119" s="1"/>
  <c r="H74" i="119"/>
  <c r="G373" i="119"/>
  <c r="G530" i="120"/>
  <c r="G529" i="120"/>
  <c r="H878" i="120"/>
  <c r="H877" i="120"/>
  <c r="G82" i="119"/>
  <c r="G81" i="119" s="1"/>
  <c r="G80" i="119"/>
  <c r="F555" i="119"/>
  <c r="H530" i="120"/>
  <c r="H529" i="120"/>
  <c r="I878" i="120"/>
  <c r="I877" i="120"/>
  <c r="I312" i="120"/>
  <c r="H82" i="119"/>
  <c r="H81" i="119" s="1"/>
  <c r="H80" i="119"/>
  <c r="G963" i="119"/>
  <c r="G962" i="119" s="1"/>
  <c r="G961" i="119"/>
  <c r="H17" i="119"/>
  <c r="H14" i="119" s="1"/>
  <c r="I530" i="120"/>
  <c r="I529" i="120"/>
  <c r="G878" i="120"/>
  <c r="G877" i="120"/>
  <c r="H312" i="120"/>
  <c r="G23" i="119"/>
  <c r="G28" i="119"/>
  <c r="F82" i="119"/>
  <c r="F81" i="119" s="1"/>
  <c r="F80" i="119"/>
  <c r="H963" i="119"/>
  <c r="H962" i="119" s="1"/>
  <c r="H961" i="119"/>
  <c r="G17" i="119"/>
  <c r="G14" i="119" s="1"/>
  <c r="G340" i="119"/>
  <c r="G752" i="119"/>
  <c r="H28" i="119"/>
  <c r="F38" i="119"/>
  <c r="F35" i="119" s="1"/>
  <c r="H581" i="119"/>
  <c r="H580" i="119"/>
  <c r="G486" i="120"/>
  <c r="H652" i="120"/>
  <c r="H651" i="120"/>
  <c r="G652" i="120"/>
  <c r="G651" i="120"/>
  <c r="I652" i="120"/>
  <c r="I651" i="120"/>
  <c r="I91" i="120"/>
  <c r="H17" i="120"/>
  <c r="H16" i="120" s="1"/>
  <c r="H15" i="120" s="1"/>
  <c r="H14" i="120" s="1"/>
  <c r="I65" i="120"/>
  <c r="H65" i="120"/>
  <c r="I17" i="120"/>
  <c r="I16" i="120" s="1"/>
  <c r="I15" i="120" s="1"/>
  <c r="I14" i="120" s="1"/>
  <c r="I60" i="120"/>
  <c r="H406" i="119"/>
  <c r="H405" i="119" s="1"/>
  <c r="H404" i="119"/>
  <c r="H403" i="119" s="1"/>
  <c r="G406" i="119"/>
  <c r="G405" i="119" s="1"/>
  <c r="G404" i="119"/>
  <c r="G403" i="119" s="1"/>
  <c r="H977" i="119"/>
  <c r="H976" i="119" s="1"/>
  <c r="H975" i="119" s="1"/>
  <c r="H974" i="119" s="1"/>
  <c r="F935" i="119"/>
  <c r="F934" i="119" s="1"/>
  <c r="F933" i="119" s="1"/>
  <c r="G431" i="120"/>
  <c r="G430" i="120" s="1"/>
  <c r="H431" i="120"/>
  <c r="H430" i="120" s="1"/>
  <c r="H808" i="119"/>
  <c r="G808" i="119"/>
  <c r="I431" i="120"/>
  <c r="I430" i="120" s="1"/>
  <c r="H127" i="119"/>
  <c r="G672" i="120"/>
  <c r="F447" i="119"/>
  <c r="F446" i="119" s="1"/>
  <c r="H450" i="119"/>
  <c r="H449" i="119" s="1"/>
  <c r="G987" i="120"/>
  <c r="G986" i="120" s="1"/>
  <c r="G985" i="120" s="1"/>
  <c r="G984" i="120" s="1"/>
  <c r="G370" i="120"/>
  <c r="F894" i="119"/>
  <c r="G450" i="119"/>
  <c r="G449" i="119" s="1"/>
  <c r="G229" i="120"/>
  <c r="G228" i="120" s="1"/>
  <c r="G512" i="120"/>
  <c r="G511" i="120" s="1"/>
  <c r="F583" i="119"/>
  <c r="F582" i="119" s="1"/>
  <c r="F18" i="119"/>
  <c r="F17" i="119" s="1"/>
  <c r="G255" i="120"/>
  <c r="G254" i="120" s="1"/>
  <c r="G253" i="120" s="1"/>
  <c r="D154" i="113"/>
  <c r="G338" i="120"/>
  <c r="G337" i="120" s="1"/>
  <c r="G329" i="120" s="1"/>
  <c r="F286" i="119"/>
  <c r="F285" i="119" s="1"/>
  <c r="F755" i="119"/>
  <c r="F754" i="119" s="1"/>
  <c r="F752" i="119" s="1"/>
  <c r="F303" i="119"/>
  <c r="F302" i="119" s="1"/>
  <c r="F301" i="119" s="1"/>
  <c r="F346" i="119"/>
  <c r="F345" i="119" s="1"/>
  <c r="F341" i="119" s="1"/>
  <c r="G39" i="120"/>
  <c r="G38" i="120" s="1"/>
  <c r="G37" i="120" s="1"/>
  <c r="G401" i="120"/>
  <c r="G400" i="120" s="1"/>
  <c r="G399" i="120" s="1"/>
  <c r="H151" i="119"/>
  <c r="I555" i="120" s="1"/>
  <c r="G51" i="119"/>
  <c r="G785" i="119"/>
  <c r="I981" i="120"/>
  <c r="I980" i="120" s="1"/>
  <c r="H981" i="120"/>
  <c r="H980" i="120" s="1"/>
  <c r="H23" i="120"/>
  <c r="H718" i="120"/>
  <c r="H717" i="120" s="1"/>
  <c r="H1015" i="120"/>
  <c r="I744" i="120"/>
  <c r="I741" i="120" s="1"/>
  <c r="I718" i="120"/>
  <c r="I717" i="120" s="1"/>
  <c r="H744" i="120"/>
  <c r="I1015" i="120"/>
  <c r="I293" i="120"/>
  <c r="H371" i="120"/>
  <c r="H370" i="120" s="1"/>
  <c r="H426" i="120"/>
  <c r="H425" i="120" s="1"/>
  <c r="G481" i="120"/>
  <c r="G480" i="120" s="1"/>
  <c r="G608" i="120"/>
  <c r="G607" i="120" s="1"/>
  <c r="G605" i="120" s="1"/>
  <c r="G604" i="120" s="1"/>
  <c r="I347" i="120"/>
  <c r="I346" i="120" s="1"/>
  <c r="I345" i="120" s="1"/>
  <c r="I344" i="120" s="1"/>
  <c r="I343" i="120" s="1"/>
  <c r="I342" i="120" s="1"/>
  <c r="H293" i="120"/>
  <c r="G374" i="120"/>
  <c r="G373" i="120" s="1"/>
  <c r="I608" i="120"/>
  <c r="I607" i="120" s="1"/>
  <c r="I605" i="120" s="1"/>
  <c r="I604" i="120" s="1"/>
  <c r="H959" i="119"/>
  <c r="H958" i="119" s="1"/>
  <c r="H954" i="119" s="1"/>
  <c r="G744" i="120"/>
  <c r="G741" i="120" s="1"/>
  <c r="H347" i="120"/>
  <c r="H346" i="120" s="1"/>
  <c r="H345" i="120" s="1"/>
  <c r="H344" i="120" s="1"/>
  <c r="H343" i="120" s="1"/>
  <c r="H342" i="120" s="1"/>
  <c r="G293" i="120"/>
  <c r="G292" i="120" s="1"/>
  <c r="I668" i="120"/>
  <c r="I667" i="120" s="1"/>
  <c r="G473" i="120"/>
  <c r="H608" i="120"/>
  <c r="H607" i="120" s="1"/>
  <c r="H605" i="120" s="1"/>
  <c r="H604" i="120" s="1"/>
  <c r="G959" i="119"/>
  <c r="G958" i="119" s="1"/>
  <c r="G954" i="119" s="1"/>
  <c r="G536" i="120"/>
  <c r="G535" i="120" s="1"/>
  <c r="I371" i="120"/>
  <c r="I370" i="120" s="1"/>
  <c r="I426" i="120"/>
  <c r="I425" i="120" s="1"/>
  <c r="G1017" i="120"/>
  <c r="I1017" i="120"/>
  <c r="G565" i="120"/>
  <c r="G564" i="120" s="1"/>
  <c r="G56" i="120"/>
  <c r="G55" i="120" s="1"/>
  <c r="H1020" i="120"/>
  <c r="H1019" i="120" s="1"/>
  <c r="I1020" i="120"/>
  <c r="I1019" i="120" s="1"/>
  <c r="F405" i="119"/>
  <c r="F404" i="119"/>
  <c r="F403" i="119" s="1"/>
  <c r="F963" i="119"/>
  <c r="F962" i="119" s="1"/>
  <c r="F704" i="119"/>
  <c r="F703" i="119" s="1"/>
  <c r="F986" i="119"/>
  <c r="F985" i="119" s="1"/>
  <c r="F984" i="119" s="1"/>
  <c r="F417" i="119"/>
  <c r="G975" i="119"/>
  <c r="G974" i="119" s="1"/>
  <c r="G23" i="120"/>
  <c r="F28" i="119"/>
  <c r="F310" i="119"/>
  <c r="F309" i="119" s="1"/>
  <c r="I937" i="120"/>
  <c r="I936" i="120" s="1"/>
  <c r="I938" i="120"/>
  <c r="G937" i="120"/>
  <c r="G936" i="120" s="1"/>
  <c r="F140" i="119"/>
  <c r="G80" i="120"/>
  <c r="H650" i="119"/>
  <c r="H978" i="120"/>
  <c r="H977" i="120" s="1"/>
  <c r="H840" i="120"/>
  <c r="F237" i="119"/>
  <c r="F236" i="119" s="1"/>
  <c r="F231" i="119" s="1"/>
  <c r="G184" i="120"/>
  <c r="H238" i="119"/>
  <c r="I184" i="120"/>
  <c r="F154" i="113"/>
  <c r="F153" i="113" s="1"/>
  <c r="G238" i="119"/>
  <c r="H184" i="120"/>
  <c r="G863" i="120"/>
  <c r="G852" i="120" s="1"/>
  <c r="F532" i="119"/>
  <c r="F531" i="119" s="1"/>
  <c r="F530" i="119" s="1"/>
  <c r="F529" i="119" s="1"/>
  <c r="G978" i="120"/>
  <c r="G977" i="120" s="1"/>
  <c r="G841" i="120"/>
  <c r="G840" i="120" s="1"/>
  <c r="I978" i="120"/>
  <c r="I977" i="120" s="1"/>
  <c r="I841" i="120"/>
  <c r="I840" i="120" s="1"/>
  <c r="H974" i="120"/>
  <c r="F114" i="119"/>
  <c r="F365" i="119"/>
  <c r="F364" i="119" s="1"/>
  <c r="F154" i="119"/>
  <c r="G106" i="120"/>
  <c r="H106" i="120"/>
  <c r="I106" i="120"/>
  <c r="F60" i="119"/>
  <c r="H810" i="119"/>
  <c r="H809" i="119" s="1"/>
  <c r="G810" i="119"/>
  <c r="G809" i="119" s="1"/>
  <c r="G845" i="119"/>
  <c r="H558" i="120" s="1"/>
  <c r="H557" i="120" s="1"/>
  <c r="H556" i="120" s="1"/>
  <c r="G974" i="120"/>
  <c r="D129" i="113"/>
  <c r="F803" i="119"/>
  <c r="F802" i="119" s="1"/>
  <c r="H803" i="119"/>
  <c r="H802" i="119" s="1"/>
  <c r="G803" i="119"/>
  <c r="G802" i="119" s="1"/>
  <c r="F810" i="119"/>
  <c r="F809" i="119" s="1"/>
  <c r="H914" i="120"/>
  <c r="H913" i="120" s="1"/>
  <c r="H903" i="120" s="1"/>
  <c r="I914" i="120"/>
  <c r="I913" i="120" s="1"/>
  <c r="G611" i="120"/>
  <c r="H299" i="120"/>
  <c r="H298" i="120" s="1"/>
  <c r="I299" i="120"/>
  <c r="I298" i="120" s="1"/>
  <c r="G790" i="120"/>
  <c r="F393" i="119"/>
  <c r="F392" i="119" s="1"/>
  <c r="I165" i="120"/>
  <c r="H464" i="119"/>
  <c r="G523" i="120"/>
  <c r="I885" i="120"/>
  <c r="I884" i="120" s="1"/>
  <c r="I883" i="120" s="1"/>
  <c r="G913" i="119"/>
  <c r="I616" i="120"/>
  <c r="H616" i="120"/>
  <c r="I412" i="120"/>
  <c r="F358" i="119"/>
  <c r="F506" i="119"/>
  <c r="F505" i="119" s="1"/>
  <c r="G196" i="120"/>
  <c r="G655" i="119"/>
  <c r="G491" i="120"/>
  <c r="G464" i="119"/>
  <c r="G831" i="120"/>
  <c r="G830" i="120" s="1"/>
  <c r="G829" i="120" s="1"/>
  <c r="G96" i="120"/>
  <c r="I354" i="120"/>
  <c r="I353" i="120" s="1"/>
  <c r="G644" i="120"/>
  <c r="H133" i="120"/>
  <c r="H132" i="120" s="1"/>
  <c r="H128" i="120" s="1"/>
  <c r="H644" i="120"/>
  <c r="F464" i="119"/>
  <c r="H68" i="119"/>
  <c r="D176" i="113"/>
  <c r="H451" i="120"/>
  <c r="H24" i="119"/>
  <c r="H23" i="119" s="1"/>
  <c r="H20" i="119" s="1"/>
  <c r="G133" i="120"/>
  <c r="G132" i="120" s="1"/>
  <c r="G128" i="120" s="1"/>
  <c r="G570" i="120"/>
  <c r="H444" i="120"/>
  <c r="H491" i="120"/>
  <c r="G630" i="120"/>
  <c r="I384" i="120"/>
  <c r="I383" i="120" s="1"/>
  <c r="H523" i="120"/>
  <c r="I491" i="120"/>
  <c r="H570" i="120"/>
  <c r="G621" i="120"/>
  <c r="H412" i="120"/>
  <c r="I473" i="120"/>
  <c r="I960" i="120"/>
  <c r="I959" i="120" s="1"/>
  <c r="I956" i="120" s="1"/>
  <c r="H671" i="119"/>
  <c r="H668" i="119" s="1"/>
  <c r="I195" i="120"/>
  <c r="I194" i="120" s="1"/>
  <c r="I193" i="120" s="1"/>
  <c r="G995" i="120"/>
  <c r="G991" i="120" s="1"/>
  <c r="G990" i="120" s="1"/>
  <c r="G989" i="120" s="1"/>
  <c r="H195" i="120"/>
  <c r="H194" i="120" s="1"/>
  <c r="H193" i="120" s="1"/>
  <c r="I332" i="120"/>
  <c r="I331" i="120" s="1"/>
  <c r="I330" i="120" s="1"/>
  <c r="I227" i="120"/>
  <c r="H227" i="120"/>
  <c r="F89" i="119"/>
  <c r="F88" i="119" s="1"/>
  <c r="G184" i="119"/>
  <c r="G183" i="119" s="1"/>
  <c r="G179" i="119" s="1"/>
  <c r="H723" i="119"/>
  <c r="F735" i="119"/>
  <c r="H532" i="119"/>
  <c r="H531" i="119" s="1"/>
  <c r="H530" i="119" s="1"/>
  <c r="H529" i="119" s="1"/>
  <c r="H893" i="119"/>
  <c r="H891" i="119" s="1"/>
  <c r="H890" i="119" s="1"/>
  <c r="H96" i="120"/>
  <c r="G566" i="119"/>
  <c r="I521" i="120"/>
  <c r="I520" i="120" s="1"/>
  <c r="I519" i="120" s="1"/>
  <c r="H828" i="120"/>
  <c r="H827" i="120" s="1"/>
  <c r="H826" i="120" s="1"/>
  <c r="G691" i="119"/>
  <c r="G690" i="119" s="1"/>
  <c r="H789" i="119"/>
  <c r="H788" i="119" s="1"/>
  <c r="G532" i="119"/>
  <c r="G531" i="119" s="1"/>
  <c r="G530" i="119" s="1"/>
  <c r="G529" i="119" s="1"/>
  <c r="G825" i="119"/>
  <c r="G721" i="120"/>
  <c r="G720" i="120" s="1"/>
  <c r="G828" i="120"/>
  <c r="G827" i="120" s="1"/>
  <c r="G826" i="120" s="1"/>
  <c r="G314" i="120"/>
  <c r="I828" i="120"/>
  <c r="I827" i="120" s="1"/>
  <c r="I826" i="120" s="1"/>
  <c r="G301" i="120"/>
  <c r="F789" i="119"/>
  <c r="F788" i="119" s="1"/>
  <c r="F825" i="119"/>
  <c r="F821" i="119" s="1"/>
  <c r="H165" i="120"/>
  <c r="I630" i="120"/>
  <c r="G857" i="120"/>
  <c r="G856" i="120" s="1"/>
  <c r="G616" i="120"/>
  <c r="I96" i="120"/>
  <c r="H321" i="120"/>
  <c r="H311" i="120" s="1"/>
  <c r="H332" i="120"/>
  <c r="H331" i="120" s="1"/>
  <c r="H330" i="120" s="1"/>
  <c r="G437" i="120"/>
  <c r="I437" i="120"/>
  <c r="G451" i="120"/>
  <c r="H611" i="120"/>
  <c r="I790" i="120"/>
  <c r="G321" i="120"/>
  <c r="I321" i="120"/>
  <c r="I311" i="120" s="1"/>
  <c r="I210" i="120"/>
  <c r="I209" i="120" s="1"/>
  <c r="G247" i="120"/>
  <c r="G246" i="120" s="1"/>
  <c r="G245" i="120" s="1"/>
  <c r="H790" i="120"/>
  <c r="I931" i="120"/>
  <c r="G384" i="120"/>
  <c r="G383" i="120" s="1"/>
  <c r="H473" i="120"/>
  <c r="H995" i="120"/>
  <c r="H991" i="120" s="1"/>
  <c r="H990" i="120" s="1"/>
  <c r="H989" i="120" s="1"/>
  <c r="H247" i="120"/>
  <c r="H246" i="120" s="1"/>
  <c r="H245" i="120" s="1"/>
  <c r="G65" i="120"/>
  <c r="H51" i="120"/>
  <c r="H50" i="120" s="1"/>
  <c r="G67" i="119"/>
  <c r="G94" i="119"/>
  <c r="G93" i="119" s="1"/>
  <c r="E94" i="112" s="1"/>
  <c r="E317" i="113" s="1"/>
  <c r="G980" i="120"/>
  <c r="I925" i="120"/>
  <c r="G99" i="119"/>
  <c r="G98" i="119" s="1"/>
  <c r="E93" i="112" s="1"/>
  <c r="E318" i="113" s="1"/>
  <c r="H669" i="120"/>
  <c r="H720" i="119"/>
  <c r="I254" i="120"/>
  <c r="I253" i="120" s="1"/>
  <c r="I780" i="120"/>
  <c r="I504" i="120"/>
  <c r="H94" i="119"/>
  <c r="G669" i="120"/>
  <c r="F23" i="119"/>
  <c r="I523" i="120"/>
  <c r="I522" i="120"/>
  <c r="F693" i="119"/>
  <c r="G789" i="119"/>
  <c r="G788" i="119" s="1"/>
  <c r="F913" i="119"/>
  <c r="G482" i="119"/>
  <c r="I444" i="120"/>
  <c r="H542" i="120"/>
  <c r="H541" i="120" s="1"/>
  <c r="D190" i="113"/>
  <c r="H370" i="119"/>
  <c r="H369" i="119" s="1"/>
  <c r="F691" i="119"/>
  <c r="F566" i="119"/>
  <c r="G931" i="120"/>
  <c r="H437" i="120"/>
  <c r="I451" i="120"/>
  <c r="H931" i="120"/>
  <c r="H384" i="120"/>
  <c r="H383" i="120" s="1"/>
  <c r="H254" i="120"/>
  <c r="H253" i="120" s="1"/>
  <c r="G504" i="120"/>
  <c r="H637" i="120"/>
  <c r="I804" i="120"/>
  <c r="D235" i="113"/>
  <c r="F94" i="119"/>
  <c r="F93" i="119" s="1"/>
  <c r="I948" i="120"/>
  <c r="I947" i="120" s="1"/>
  <c r="H268" i="120"/>
  <c r="H267" i="120" s="1"/>
  <c r="F400" i="119"/>
  <c r="D238" i="113"/>
  <c r="H174" i="119"/>
  <c r="H173" i="119" s="1"/>
  <c r="F488" i="119"/>
  <c r="F487" i="119" s="1"/>
  <c r="F486" i="119" s="1"/>
  <c r="F482" i="119" s="1"/>
  <c r="F433" i="119"/>
  <c r="F432" i="119" s="1"/>
  <c r="F431" i="119" s="1"/>
  <c r="F430" i="119" s="1"/>
  <c r="F127" i="119"/>
  <c r="H159" i="119"/>
  <c r="H158" i="119" s="1"/>
  <c r="F992" i="119"/>
  <c r="I995" i="120"/>
  <c r="I991" i="120" s="1"/>
  <c r="I990" i="120" s="1"/>
  <c r="I989" i="120" s="1"/>
  <c r="G91" i="120"/>
  <c r="I783" i="120"/>
  <c r="F47" i="119"/>
  <c r="G834" i="120"/>
  <c r="G833" i="120" s="1"/>
  <c r="G832" i="120" s="1"/>
  <c r="G467" i="120"/>
  <c r="G466" i="120" s="1"/>
  <c r="G332" i="120"/>
  <c r="G354" i="120"/>
  <c r="G353" i="120" s="1"/>
  <c r="H354" i="120"/>
  <c r="H353" i="120" s="1"/>
  <c r="I570" i="120"/>
  <c r="H630" i="120"/>
  <c r="I644" i="120"/>
  <c r="G783" i="120"/>
  <c r="H470" i="120"/>
  <c r="H841" i="119"/>
  <c r="H838" i="119" s="1"/>
  <c r="G174" i="119"/>
  <c r="G173" i="119" s="1"/>
  <c r="I834" i="120"/>
  <c r="I833" i="120" s="1"/>
  <c r="I832" i="120" s="1"/>
  <c r="G399" i="119"/>
  <c r="G398" i="119" s="1"/>
  <c r="H432" i="119"/>
  <c r="H431" i="119" s="1"/>
  <c r="H430" i="119" s="1"/>
  <c r="H414" i="119" s="1"/>
  <c r="G317" i="120"/>
  <c r="G316" i="120" s="1"/>
  <c r="G315" i="120" s="1"/>
  <c r="F386" i="119"/>
  <c r="F385" i="119" s="1"/>
  <c r="F384" i="119" s="1"/>
  <c r="H735" i="119"/>
  <c r="F742" i="119"/>
  <c r="H566" i="119"/>
  <c r="I23" i="120"/>
  <c r="I133" i="120"/>
  <c r="I132" i="120" s="1"/>
  <c r="I128" i="120" s="1"/>
  <c r="G412" i="120"/>
  <c r="G444" i="120"/>
  <c r="H621" i="120"/>
  <c r="G892" i="120"/>
  <c r="G891" i="120" s="1"/>
  <c r="I892" i="120"/>
  <c r="I891" i="120" s="1"/>
  <c r="H834" i="120"/>
  <c r="H833" i="120" s="1"/>
  <c r="H832" i="120" s="1"/>
  <c r="H469" i="120"/>
  <c r="H468" i="120" s="1"/>
  <c r="H467" i="120" s="1"/>
  <c r="H466" i="120" s="1"/>
  <c r="I611" i="120"/>
  <c r="I621" i="120"/>
  <c r="G310" i="119"/>
  <c r="G309" i="119" s="1"/>
  <c r="H310" i="119"/>
  <c r="H309" i="119" s="1"/>
  <c r="G735" i="119"/>
  <c r="G813" i="119"/>
  <c r="G812" i="119" s="1"/>
  <c r="G947" i="119"/>
  <c r="F893" i="119"/>
  <c r="H885" i="120"/>
  <c r="H884" i="120" s="1"/>
  <c r="H883" i="120" s="1"/>
  <c r="G885" i="120"/>
  <c r="G884" i="120" s="1"/>
  <c r="G883" i="120" s="1"/>
  <c r="H319" i="120"/>
  <c r="H318" i="120" s="1"/>
  <c r="G237" i="119"/>
  <c r="G236" i="119" s="1"/>
  <c r="G231" i="119" s="1"/>
  <c r="F719" i="119"/>
  <c r="F718" i="119" s="1"/>
  <c r="F717" i="119" s="1"/>
  <c r="G272" i="119"/>
  <c r="G271" i="119" s="1"/>
  <c r="G264" i="119" s="1"/>
  <c r="G263" i="119" s="1"/>
  <c r="H215" i="120"/>
  <c r="H214" i="120" s="1"/>
  <c r="H210" i="120" s="1"/>
  <c r="H209" i="120" s="1"/>
  <c r="H204" i="120" s="1"/>
  <c r="H718" i="119"/>
  <c r="H717" i="119" s="1"/>
  <c r="I469" i="120"/>
  <c r="I468" i="120" s="1"/>
  <c r="I467" i="120" s="1"/>
  <c r="I466" i="120" s="1"/>
  <c r="H54" i="119"/>
  <c r="H99" i="119"/>
  <c r="H98" i="119" s="1"/>
  <c r="F93" i="112" s="1"/>
  <c r="F318" i="113" s="1"/>
  <c r="F238" i="119"/>
  <c r="H482" i="119"/>
  <c r="F668" i="119"/>
  <c r="H825" i="119"/>
  <c r="G718" i="119"/>
  <c r="G717" i="119" s="1"/>
  <c r="H786" i="119"/>
  <c r="H752" i="119" s="1"/>
  <c r="G165" i="120"/>
  <c r="F69" i="119"/>
  <c r="G1021" i="120"/>
  <c r="G159" i="119"/>
  <c r="G158" i="119" s="1"/>
  <c r="H220" i="119"/>
  <c r="F561" i="119"/>
  <c r="D204" i="113"/>
  <c r="F375" i="119"/>
  <c r="H399" i="119"/>
  <c r="H398" i="119" s="1"/>
  <c r="F357" i="119"/>
  <c r="G356" i="119"/>
  <c r="G355" i="119" s="1"/>
  <c r="G354" i="119" s="1"/>
  <c r="H265" i="120"/>
  <c r="H264" i="120" s="1"/>
  <c r="H52" i="119"/>
  <c r="G61" i="119"/>
  <c r="G60" i="119" s="1"/>
  <c r="G127" i="119"/>
  <c r="H184" i="119"/>
  <c r="H183" i="119" s="1"/>
  <c r="H179" i="119" s="1"/>
  <c r="F220" i="119"/>
  <c r="G393" i="119"/>
  <c r="G392" i="119" s="1"/>
  <c r="H393" i="119"/>
  <c r="H392" i="119" s="1"/>
  <c r="H561" i="119"/>
  <c r="F682" i="119"/>
  <c r="F681" i="119" s="1"/>
  <c r="H710" i="119"/>
  <c r="F813" i="119"/>
  <c r="F812" i="119" s="1"/>
  <c r="H913" i="119"/>
  <c r="F947" i="119"/>
  <c r="I421" i="120"/>
  <c r="I420" i="120" s="1"/>
  <c r="I417" i="120" s="1"/>
  <c r="H693" i="119"/>
  <c r="H690" i="119" s="1"/>
  <c r="G804" i="120"/>
  <c r="F450" i="119"/>
  <c r="F449" i="119" s="1"/>
  <c r="G774" i="120"/>
  <c r="G773" i="120" s="1"/>
  <c r="H417" i="120"/>
  <c r="G416" i="119"/>
  <c r="G415" i="119" s="1"/>
  <c r="G642" i="119"/>
  <c r="H703" i="119"/>
  <c r="H892" i="120"/>
  <c r="H891" i="120" s="1"/>
  <c r="I268" i="120"/>
  <c r="I267" i="120" s="1"/>
  <c r="I263" i="120" s="1"/>
  <c r="I262" i="120" s="1"/>
  <c r="G780" i="120"/>
  <c r="G781" i="120"/>
  <c r="G723" i="119"/>
  <c r="G742" i="119"/>
  <c r="F376" i="119"/>
  <c r="G720" i="119"/>
  <c r="I247" i="120"/>
  <c r="I246" i="120" s="1"/>
  <c r="I245" i="120" s="1"/>
  <c r="G948" i="120"/>
  <c r="G947" i="120" s="1"/>
  <c r="G956" i="120"/>
  <c r="I319" i="120"/>
  <c r="I318" i="120" s="1"/>
  <c r="H272" i="119"/>
  <c r="H271" i="119" s="1"/>
  <c r="H264" i="119" s="1"/>
  <c r="H263" i="119" s="1"/>
  <c r="H948" i="120"/>
  <c r="H947" i="120" s="1"/>
  <c r="I542" i="120"/>
  <c r="I541" i="120" s="1"/>
  <c r="I470" i="120"/>
  <c r="H504" i="120"/>
  <c r="G637" i="120"/>
  <c r="I637" i="120"/>
  <c r="G731" i="120"/>
  <c r="H804" i="120"/>
  <c r="H956" i="120"/>
  <c r="H783" i="120"/>
  <c r="I558" i="120"/>
  <c r="I557" i="120" s="1"/>
  <c r="I556" i="120" s="1"/>
  <c r="H844" i="119"/>
  <c r="H843" i="119" s="1"/>
  <c r="G557" i="120"/>
  <c r="G556" i="120" s="1"/>
  <c r="F844" i="119"/>
  <c r="F843" i="119" s="1"/>
  <c r="H416" i="119"/>
  <c r="H415" i="119" s="1"/>
  <c r="H80" i="120"/>
  <c r="H250" i="119"/>
  <c r="H249" i="119" s="1"/>
  <c r="H248" i="119" s="1"/>
  <c r="F269" i="119"/>
  <c r="F268" i="119" s="1"/>
  <c r="F262" i="119" s="1"/>
  <c r="H385" i="119"/>
  <c r="H384" i="119" s="1"/>
  <c r="F388" i="119"/>
  <c r="F387" i="119" s="1"/>
  <c r="H506" i="119"/>
  <c r="H505" i="119" s="1"/>
  <c r="G506" i="119"/>
  <c r="G505" i="119" s="1"/>
  <c r="H46" i="119"/>
  <c r="H45" i="119" s="1"/>
  <c r="G46" i="119"/>
  <c r="G45" i="119" s="1"/>
  <c r="G215" i="120"/>
  <c r="G214" i="120" s="1"/>
  <c r="G210" i="120" s="1"/>
  <c r="G268" i="120"/>
  <c r="G267" i="120" s="1"/>
  <c r="G263" i="120" s="1"/>
  <c r="G262" i="120" s="1"/>
  <c r="F251" i="119"/>
  <c r="G250" i="119"/>
  <c r="G249" i="119" s="1"/>
  <c r="G248" i="119" s="1"/>
  <c r="G385" i="119"/>
  <c r="G384" i="119" s="1"/>
  <c r="H926" i="119"/>
  <c r="G893" i="119"/>
  <c r="G891" i="119" s="1"/>
  <c r="G890" i="119" s="1"/>
  <c r="H555" i="119"/>
  <c r="G284" i="119"/>
  <c r="I565" i="120"/>
  <c r="H284" i="119"/>
  <c r="H237" i="119"/>
  <c r="H236" i="119" s="1"/>
  <c r="H231" i="119" s="1"/>
  <c r="G555" i="119"/>
  <c r="G663" i="119"/>
  <c r="G662" i="119" s="1"/>
  <c r="G703" i="119"/>
  <c r="G764" i="119"/>
  <c r="G753" i="119" s="1"/>
  <c r="G341" i="119"/>
  <c r="F764" i="119"/>
  <c r="I685" i="120"/>
  <c r="I80" i="120"/>
  <c r="G710" i="119"/>
  <c r="H140" i="119"/>
  <c r="G561" i="119"/>
  <c r="F723" i="119"/>
  <c r="H742" i="119"/>
  <c r="F99" i="119"/>
  <c r="F98" i="119" s="1"/>
  <c r="G668" i="119"/>
  <c r="H947" i="119"/>
  <c r="H60" i="119"/>
  <c r="G866" i="119"/>
  <c r="F866" i="119"/>
  <c r="F159" i="119"/>
  <c r="F158" i="119" s="1"/>
  <c r="F184" i="119"/>
  <c r="F183" i="119" s="1"/>
  <c r="F179" i="119" s="1"/>
  <c r="G220" i="119"/>
  <c r="H376" i="119"/>
  <c r="H372" i="119" s="1"/>
  <c r="F642" i="119"/>
  <c r="H682" i="119"/>
  <c r="H681" i="119" s="1"/>
  <c r="F710" i="119"/>
  <c r="F926" i="119"/>
  <c r="G926" i="119"/>
  <c r="G933" i="119"/>
  <c r="G376" i="119"/>
  <c r="G372" i="119" s="1"/>
  <c r="H567" i="120"/>
  <c r="H564" i="120" s="1"/>
  <c r="I567" i="120"/>
  <c r="H663" i="119"/>
  <c r="H662" i="119" s="1"/>
  <c r="G417" i="120"/>
  <c r="I672" i="120"/>
  <c r="H685" i="120"/>
  <c r="H115" i="119"/>
  <c r="H114" i="119"/>
  <c r="G114" i="119"/>
  <c r="H764" i="119"/>
  <c r="H753" i="119" s="1"/>
  <c r="H500" i="119"/>
  <c r="H499" i="119" s="1"/>
  <c r="H341" i="119"/>
  <c r="G682" i="119"/>
  <c r="G681" i="119" s="1"/>
  <c r="H933" i="119"/>
  <c r="H813" i="119"/>
  <c r="H812" i="119" s="1"/>
  <c r="G140" i="119"/>
  <c r="H642" i="119"/>
  <c r="H734" i="120"/>
  <c r="H733" i="120" s="1"/>
  <c r="G994" i="119"/>
  <c r="G993" i="119" s="1"/>
  <c r="G992" i="119" s="1"/>
  <c r="G578" i="120"/>
  <c r="G577" i="120" s="1"/>
  <c r="G576" i="120" s="1"/>
  <c r="G575" i="120" s="1"/>
  <c r="F865" i="119"/>
  <c r="I460" i="120"/>
  <c r="I459" i="120" s="1"/>
  <c r="I458" i="120" s="1"/>
  <c r="H732" i="119"/>
  <c r="H731" i="119" s="1"/>
  <c r="H730" i="119" s="1"/>
  <c r="G732" i="119"/>
  <c r="G731" i="119" s="1"/>
  <c r="G730" i="119" s="1"/>
  <c r="H460" i="120"/>
  <c r="H459" i="120" s="1"/>
  <c r="H458" i="120" s="1"/>
  <c r="H754" i="120"/>
  <c r="H753" i="120" s="1"/>
  <c r="H752" i="120" s="1"/>
  <c r="G432" i="119"/>
  <c r="G431" i="119" s="1"/>
  <c r="G430" i="119" s="1"/>
  <c r="G414" i="119" s="1"/>
  <c r="I974" i="120"/>
  <c r="G36" i="120"/>
  <c r="I734" i="120"/>
  <c r="I733" i="120" s="1"/>
  <c r="H994" i="119"/>
  <c r="H993" i="119" s="1"/>
  <c r="H992" i="119" s="1"/>
  <c r="G719" i="120"/>
  <c r="F979" i="119"/>
  <c r="H864" i="119"/>
  <c r="H863" i="119" s="1"/>
  <c r="I578" i="120"/>
  <c r="I577" i="120" s="1"/>
  <c r="I576" i="120" s="1"/>
  <c r="H578" i="120"/>
  <c r="H577" i="120" s="1"/>
  <c r="H576" i="120" s="1"/>
  <c r="G864" i="119"/>
  <c r="G863" i="119" s="1"/>
  <c r="G460" i="120"/>
  <c r="G459" i="120" s="1"/>
  <c r="G458" i="120" s="1"/>
  <c r="F732" i="119"/>
  <c r="F731" i="119" s="1"/>
  <c r="F730" i="119" s="1"/>
  <c r="G471" i="120"/>
  <c r="G470" i="120" s="1"/>
  <c r="F721" i="119"/>
  <c r="F720" i="119" s="1"/>
  <c r="H56" i="120"/>
  <c r="H55" i="120" s="1"/>
  <c r="I51" i="120"/>
  <c r="I50" i="120" s="1"/>
  <c r="F500" i="119"/>
  <c r="F499" i="119" s="1"/>
  <c r="F498" i="119" s="1"/>
  <c r="G500" i="119"/>
  <c r="G499" i="119" s="1"/>
  <c r="F503" i="119"/>
  <c r="F502" i="119" s="1"/>
  <c r="H503" i="119"/>
  <c r="H502" i="119" s="1"/>
  <c r="G503" i="119"/>
  <c r="G502" i="119" s="1"/>
  <c r="F509" i="119"/>
  <c r="F508" i="119" s="1"/>
  <c r="H509" i="119"/>
  <c r="H508" i="119" s="1"/>
  <c r="G509" i="119"/>
  <c r="G508" i="119" s="1"/>
  <c r="F513" i="119"/>
  <c r="F512" i="119" s="1"/>
  <c r="F511" i="119" s="1"/>
  <c r="H512" i="119"/>
  <c r="H511" i="119" s="1"/>
  <c r="G512" i="119"/>
  <c r="G511" i="119" s="1"/>
  <c r="E162" i="113"/>
  <c r="F808" i="119"/>
  <c r="G226" i="120" l="1"/>
  <c r="H226" i="120"/>
  <c r="I226" i="120"/>
  <c r="F283" i="119"/>
  <c r="H743" i="120"/>
  <c r="H742" i="120" s="1"/>
  <c r="H741" i="120"/>
  <c r="I849" i="120"/>
  <c r="F414" i="119"/>
  <c r="H852" i="120"/>
  <c r="H850" i="120" s="1"/>
  <c r="F443" i="119"/>
  <c r="G767" i="120"/>
  <c r="G534" i="120"/>
  <c r="I924" i="120"/>
  <c r="I923" i="120" s="1"/>
  <c r="I903" i="120" s="1"/>
  <c r="H636" i="119"/>
  <c r="H635" i="119" s="1"/>
  <c r="H634" i="119" s="1"/>
  <c r="D12" i="113"/>
  <c r="G424" i="120"/>
  <c r="F265" i="113"/>
  <c r="F341" i="113" s="1"/>
  <c r="E20" i="121" s="1"/>
  <c r="I105" i="120"/>
  <c r="I104" i="120"/>
  <c r="I103" i="120" s="1"/>
  <c r="I102" i="120" s="1"/>
  <c r="I101" i="120" s="1"/>
  <c r="I44" i="120" s="1"/>
  <c r="H105" i="120"/>
  <c r="H104" i="120"/>
  <c r="H103" i="120" s="1"/>
  <c r="G105" i="120"/>
  <c r="G104" i="120"/>
  <c r="G103" i="120" s="1"/>
  <c r="G102" i="120" s="1"/>
  <c r="G79" i="120"/>
  <c r="G78" i="120" s="1"/>
  <c r="E153" i="113"/>
  <c r="E265" i="113" s="1"/>
  <c r="E341" i="113" s="1"/>
  <c r="D20" i="121" s="1"/>
  <c r="D153" i="113"/>
  <c r="F753" i="119"/>
  <c r="G807" i="119"/>
  <c r="G806" i="119" s="1"/>
  <c r="G805" i="119" s="1"/>
  <c r="I743" i="120"/>
  <c r="I742" i="120" s="1"/>
  <c r="H767" i="120"/>
  <c r="I767" i="120"/>
  <c r="F416" i="119"/>
  <c r="F415" i="119" s="1"/>
  <c r="G366" i="120"/>
  <c r="G365" i="120" s="1"/>
  <c r="G554" i="119"/>
  <c r="G553" i="119"/>
  <c r="I366" i="120"/>
  <c r="I365" i="120" s="1"/>
  <c r="I364" i="120"/>
  <c r="H554" i="119"/>
  <c r="H553" i="119"/>
  <c r="H366" i="120"/>
  <c r="H365" i="120" s="1"/>
  <c r="H364" i="120"/>
  <c r="G364" i="120"/>
  <c r="F554" i="119"/>
  <c r="F553" i="119"/>
  <c r="G849" i="120"/>
  <c r="H445" i="119"/>
  <c r="H444" i="119" s="1"/>
  <c r="I975" i="120"/>
  <c r="G445" i="119"/>
  <c r="G444" i="119" s="1"/>
  <c r="I424" i="120"/>
  <c r="G443" i="119"/>
  <c r="H443" i="119"/>
  <c r="G839" i="120"/>
  <c r="G838" i="120" s="1"/>
  <c r="I839" i="120"/>
  <c r="I838" i="120" s="1"/>
  <c r="H839" i="120"/>
  <c r="H838" i="120" s="1"/>
  <c r="H1012" i="120"/>
  <c r="H1011" i="120" s="1"/>
  <c r="G423" i="120"/>
  <c r="G422" i="120" s="1"/>
  <c r="F20" i="119"/>
  <c r="F340" i="119"/>
  <c r="H302" i="119"/>
  <c r="H301" i="119" s="1"/>
  <c r="G302" i="119"/>
  <c r="G301" i="119" s="1"/>
  <c r="H16" i="119"/>
  <c r="H15" i="119" s="1"/>
  <c r="H701" i="119"/>
  <c r="H700" i="119" s="1"/>
  <c r="H424" i="120"/>
  <c r="G701" i="119"/>
  <c r="G700" i="119" s="1"/>
  <c r="F48" i="119"/>
  <c r="I79" i="120"/>
  <c r="I78" i="120" s="1"/>
  <c r="H79" i="120"/>
  <c r="H78" i="120" s="1"/>
  <c r="H292" i="120"/>
  <c r="H284" i="120"/>
  <c r="H283" i="120" s="1"/>
  <c r="I423" i="120"/>
  <c r="F701" i="119"/>
  <c r="F700" i="119" s="1"/>
  <c r="I486" i="120"/>
  <c r="G801" i="119"/>
  <c r="G800" i="119"/>
  <c r="G16" i="119"/>
  <c r="G15" i="119" s="1"/>
  <c r="H801" i="119"/>
  <c r="H800" i="119"/>
  <c r="G48" i="119"/>
  <c r="F16" i="119"/>
  <c r="F15" i="119" s="1"/>
  <c r="F14" i="119"/>
  <c r="G86" i="119"/>
  <c r="I292" i="120"/>
  <c r="I284" i="120"/>
  <c r="I283" i="120" s="1"/>
  <c r="H423" i="120"/>
  <c r="F891" i="119"/>
  <c r="F890" i="119" s="1"/>
  <c r="G20" i="119"/>
  <c r="H340" i="119"/>
  <c r="I252" i="120"/>
  <c r="G610" i="120"/>
  <c r="G606" i="120" s="1"/>
  <c r="F801" i="119"/>
  <c r="F800" i="119"/>
  <c r="F581" i="119"/>
  <c r="F580" i="119"/>
  <c r="G227" i="120"/>
  <c r="H102" i="120"/>
  <c r="H101" i="120" s="1"/>
  <c r="H44" i="120" s="1"/>
  <c r="H976" i="120"/>
  <c r="H975" i="120"/>
  <c r="H429" i="119"/>
  <c r="H817" i="120"/>
  <c r="H816" i="120" s="1"/>
  <c r="H815" i="120" s="1"/>
  <c r="G391" i="119"/>
  <c r="G390" i="119"/>
  <c r="G339" i="119" s="1"/>
  <c r="G204" i="120"/>
  <c r="G300" i="120"/>
  <c r="G299" i="120" s="1"/>
  <c r="G298" i="120" s="1"/>
  <c r="G284" i="120"/>
  <c r="H807" i="119"/>
  <c r="H806" i="119" s="1"/>
  <c r="H805" i="119" s="1"/>
  <c r="I817" i="120"/>
  <c r="I816" i="120" s="1"/>
  <c r="I815" i="120" s="1"/>
  <c r="G976" i="120"/>
  <c r="G975" i="120"/>
  <c r="I716" i="120"/>
  <c r="I714" i="120"/>
  <c r="G262" i="119"/>
  <c r="G429" i="119"/>
  <c r="G817" i="120"/>
  <c r="G816" i="120" s="1"/>
  <c r="G815" i="120" s="1"/>
  <c r="H262" i="119"/>
  <c r="H575" i="120"/>
  <c r="H716" i="120"/>
  <c r="H714" i="120"/>
  <c r="F429" i="119"/>
  <c r="H391" i="119"/>
  <c r="H390" i="119"/>
  <c r="G862" i="119"/>
  <c r="I575" i="120"/>
  <c r="H862" i="119"/>
  <c r="H820" i="119"/>
  <c r="I912" i="120"/>
  <c r="I904" i="120" s="1"/>
  <c r="H912" i="120"/>
  <c r="H904" i="120" s="1"/>
  <c r="H93" i="119"/>
  <c r="F94" i="112" s="1"/>
  <c r="F317" i="113" s="1"/>
  <c r="G743" i="120"/>
  <c r="G742" i="120" s="1"/>
  <c r="F807" i="119"/>
  <c r="F806" i="119" s="1"/>
  <c r="F805" i="119" s="1"/>
  <c r="F864" i="119"/>
  <c r="F863" i="119" s="1"/>
  <c r="F862" i="119" s="1"/>
  <c r="G331" i="120"/>
  <c r="G330" i="120" s="1"/>
  <c r="H51" i="119"/>
  <c r="H48" i="119" s="1"/>
  <c r="F399" i="119"/>
  <c r="F398" i="119" s="1"/>
  <c r="F390" i="119" s="1"/>
  <c r="F250" i="119"/>
  <c r="F249" i="119" s="1"/>
  <c r="F248" i="119" s="1"/>
  <c r="G35" i="120"/>
  <c r="G34" i="120" s="1"/>
  <c r="F46" i="119"/>
  <c r="F45" i="119" s="1"/>
  <c r="F374" i="119"/>
  <c r="F372" i="119" s="1"/>
  <c r="G313" i="120"/>
  <c r="G311" i="120" s="1"/>
  <c r="F978" i="119"/>
  <c r="F977" i="119" s="1"/>
  <c r="F976" i="119" s="1"/>
  <c r="F975" i="119" s="1"/>
  <c r="F974" i="119" s="1"/>
  <c r="F973" i="119"/>
  <c r="H785" i="119"/>
  <c r="I1012" i="120"/>
  <c r="I1011" i="120" s="1"/>
  <c r="I1010" i="120" s="1"/>
  <c r="I1009" i="120" s="1"/>
  <c r="H973" i="120"/>
  <c r="H972" i="120" s="1"/>
  <c r="H971" i="120" s="1"/>
  <c r="H684" i="120"/>
  <c r="H683" i="120" s="1"/>
  <c r="I684" i="120"/>
  <c r="I683" i="120" s="1"/>
  <c r="I973" i="120"/>
  <c r="I972" i="120" s="1"/>
  <c r="I971" i="120" s="1"/>
  <c r="I22" i="120"/>
  <c r="I21" i="120" s="1"/>
  <c r="I20" i="120" s="1"/>
  <c r="H668" i="120"/>
  <c r="I183" i="120"/>
  <c r="I182" i="120" s="1"/>
  <c r="I181" i="120" s="1"/>
  <c r="I176" i="120" s="1"/>
  <c r="F959" i="119"/>
  <c r="F958" i="119" s="1"/>
  <c r="F954" i="119" s="1"/>
  <c r="G668" i="120"/>
  <c r="G667" i="120" s="1"/>
  <c r="G195" i="120"/>
  <c r="G194" i="120" s="1"/>
  <c r="G193" i="120" s="1"/>
  <c r="H183" i="120"/>
  <c r="H182" i="120" s="1"/>
  <c r="H181" i="120" s="1"/>
  <c r="H176" i="120" s="1"/>
  <c r="H22" i="120"/>
  <c r="H21" i="120" s="1"/>
  <c r="H20" i="120" s="1"/>
  <c r="G973" i="120"/>
  <c r="G972" i="120" s="1"/>
  <c r="G971" i="120" s="1"/>
  <c r="G183" i="120"/>
  <c r="G182" i="120" s="1"/>
  <c r="G181" i="120" s="1"/>
  <c r="G176" i="120" s="1"/>
  <c r="G718" i="120"/>
  <c r="G717" i="120" s="1"/>
  <c r="G684" i="120"/>
  <c r="G683" i="120" s="1"/>
  <c r="G37" i="119"/>
  <c r="G36" i="119" s="1"/>
  <c r="F37" i="119"/>
  <c r="F36" i="119" s="1"/>
  <c r="H37" i="119"/>
  <c r="H36" i="119" s="1"/>
  <c r="G22" i="120"/>
  <c r="G21" i="120" s="1"/>
  <c r="G20" i="120" s="1"/>
  <c r="F264" i="119"/>
  <c r="F263" i="119" s="1"/>
  <c r="G1020" i="120"/>
  <c r="F284" i="119"/>
  <c r="F702" i="119"/>
  <c r="F445" i="119"/>
  <c r="F444" i="119" s="1"/>
  <c r="I411" i="120"/>
  <c r="I410" i="120" s="1"/>
  <c r="I398" i="120" s="1"/>
  <c r="F892" i="119"/>
  <c r="F22" i="119"/>
  <c r="F21" i="119" s="1"/>
  <c r="F174" i="119"/>
  <c r="F173" i="119" s="1"/>
  <c r="D93" i="112"/>
  <c r="D318" i="113" s="1"/>
  <c r="D94" i="112"/>
  <c r="D317" i="113" s="1"/>
  <c r="G487" i="120"/>
  <c r="G851" i="120"/>
  <c r="G850" i="120"/>
  <c r="G844" i="119"/>
  <c r="G843" i="119" s="1"/>
  <c r="F151" i="119"/>
  <c r="I882" i="120"/>
  <c r="G631" i="119"/>
  <c r="G628" i="119" s="1"/>
  <c r="G615" i="119" s="1"/>
  <c r="G209" i="120"/>
  <c r="I976" i="120"/>
  <c r="H631" i="119"/>
  <c r="H628" i="119" s="1"/>
  <c r="H615" i="119" s="1"/>
  <c r="I610" i="120"/>
  <c r="I606" i="120" s="1"/>
  <c r="H610" i="120"/>
  <c r="H606" i="120" s="1"/>
  <c r="F356" i="119"/>
  <c r="F355" i="119" s="1"/>
  <c r="F354" i="119" s="1"/>
  <c r="H851" i="120"/>
  <c r="H411" i="120"/>
  <c r="H410" i="120" s="1"/>
  <c r="H398" i="120" s="1"/>
  <c r="G411" i="120"/>
  <c r="G410" i="120" s="1"/>
  <c r="G398" i="120" s="1"/>
  <c r="G650" i="119"/>
  <c r="H937" i="120"/>
  <c r="H936" i="120" s="1"/>
  <c r="H498" i="119"/>
  <c r="G498" i="119"/>
  <c r="H882" i="120"/>
  <c r="I487" i="120"/>
  <c r="H487" i="120"/>
  <c r="H769" i="120"/>
  <c r="H680" i="119"/>
  <c r="G769" i="120"/>
  <c r="I769" i="120"/>
  <c r="H892" i="119"/>
  <c r="G882" i="120"/>
  <c r="H821" i="119"/>
  <c r="G821" i="119"/>
  <c r="I564" i="120"/>
  <c r="I666" i="120"/>
  <c r="I665" i="120" s="1"/>
  <c r="I664" i="120" s="1"/>
  <c r="I663" i="120" s="1"/>
  <c r="F690" i="119"/>
  <c r="G915" i="120"/>
  <c r="G252" i="120"/>
  <c r="G126" i="119"/>
  <c r="G125" i="119" s="1"/>
  <c r="G50" i="119"/>
  <c r="G49" i="119" s="1"/>
  <c r="F631" i="119"/>
  <c r="F628" i="119" s="1"/>
  <c r="F615" i="119" s="1"/>
  <c r="I554" i="120"/>
  <c r="I551" i="120" s="1"/>
  <c r="I922" i="120"/>
  <c r="I921" i="120" s="1"/>
  <c r="H922" i="120"/>
  <c r="H921" i="120" s="1"/>
  <c r="I851" i="120"/>
  <c r="I850" i="120"/>
  <c r="H263" i="120"/>
  <c r="G680" i="119"/>
  <c r="H150" i="119"/>
  <c r="H22" i="119"/>
  <c r="H21" i="119" s="1"/>
  <c r="G22" i="119"/>
  <c r="G21" i="119" s="1"/>
  <c r="G702" i="119"/>
  <c r="H702" i="119"/>
  <c r="H126" i="119"/>
  <c r="H125" i="119" s="1"/>
  <c r="H356" i="119"/>
  <c r="H355" i="119" s="1"/>
  <c r="H354" i="119" s="1"/>
  <c r="H837" i="119"/>
  <c r="G150" i="119"/>
  <c r="F67" i="119"/>
  <c r="F50" i="119" s="1"/>
  <c r="F68" i="119"/>
  <c r="H554" i="120"/>
  <c r="H551" i="120" s="1"/>
  <c r="H549" i="120" s="1"/>
  <c r="H528" i="120" s="1"/>
  <c r="G841" i="119"/>
  <c r="G838" i="119" s="1"/>
  <c r="G820" i="119" s="1"/>
  <c r="G892" i="119"/>
  <c r="G924" i="120"/>
  <c r="G923" i="120" s="1"/>
  <c r="I732" i="120"/>
  <c r="I731" i="120" s="1"/>
  <c r="H732" i="120"/>
  <c r="H731" i="120" s="1"/>
  <c r="H87" i="119" l="1"/>
  <c r="H262" i="120"/>
  <c r="H252" i="120" s="1"/>
  <c r="H192" i="120" s="1"/>
  <c r="F247" i="119"/>
  <c r="D265" i="113"/>
  <c r="D341" i="113" s="1"/>
  <c r="I352" i="120"/>
  <c r="H352" i="120"/>
  <c r="G101" i="120"/>
  <c r="G44" i="120" s="1"/>
  <c r="G43" i="120" s="1"/>
  <c r="G13" i="120" s="1"/>
  <c r="F86" i="119"/>
  <c r="F13" i="119" s="1"/>
  <c r="F126" i="119"/>
  <c r="F125" i="119" s="1"/>
  <c r="I970" i="120"/>
  <c r="G247" i="119"/>
  <c r="F413" i="119"/>
  <c r="G352" i="120"/>
  <c r="H682" i="120"/>
  <c r="I682" i="120"/>
  <c r="G799" i="119"/>
  <c r="F150" i="119"/>
  <c r="F87" i="119" s="1"/>
  <c r="G970" i="120"/>
  <c r="I192" i="120"/>
  <c r="H247" i="119"/>
  <c r="H970" i="120"/>
  <c r="H799" i="119"/>
  <c r="I549" i="120"/>
  <c r="I528" i="120" s="1"/>
  <c r="G13" i="119"/>
  <c r="H740" i="120"/>
  <c r="H43" i="120"/>
  <c r="H13" i="120" s="1"/>
  <c r="I43" i="120"/>
  <c r="I13" i="120" s="1"/>
  <c r="H667" i="120"/>
  <c r="H666" i="120" s="1"/>
  <c r="H665" i="120" s="1"/>
  <c r="H664" i="120" s="1"/>
  <c r="H663" i="120" s="1"/>
  <c r="G413" i="119"/>
  <c r="G312" i="120"/>
  <c r="G283" i="120"/>
  <c r="H86" i="119"/>
  <c r="H13" i="119" s="1"/>
  <c r="F373" i="119"/>
  <c r="F339" i="119"/>
  <c r="H339" i="119"/>
  <c r="I740" i="120"/>
  <c r="F391" i="119"/>
  <c r="G716" i="120"/>
  <c r="G715" i="120" s="1"/>
  <c r="G714" i="120"/>
  <c r="G627" i="119"/>
  <c r="G616" i="119" s="1"/>
  <c r="H627" i="119"/>
  <c r="H616" i="119" s="1"/>
  <c r="H1010" i="120"/>
  <c r="H1009" i="120" s="1"/>
  <c r="G666" i="120"/>
  <c r="G665" i="120" s="1"/>
  <c r="G664" i="120" s="1"/>
  <c r="G663" i="120" s="1"/>
  <c r="G914" i="120"/>
  <c r="G913" i="120" s="1"/>
  <c r="G903" i="120" s="1"/>
  <c r="G1019" i="120"/>
  <c r="I422" i="120"/>
  <c r="F49" i="119"/>
  <c r="F627" i="119"/>
  <c r="F616" i="119" s="1"/>
  <c r="G837" i="119"/>
  <c r="H422" i="120"/>
  <c r="F497" i="119"/>
  <c r="F496" i="119" s="1"/>
  <c r="H50" i="119"/>
  <c r="H49" i="119" s="1"/>
  <c r="G192" i="120"/>
  <c r="G921" i="120"/>
  <c r="I768" i="120"/>
  <c r="H768" i="120"/>
  <c r="G768" i="120"/>
  <c r="H497" i="119"/>
  <c r="H496" i="119" s="1"/>
  <c r="G87" i="119"/>
  <c r="F680" i="119"/>
  <c r="I550" i="120"/>
  <c r="H550" i="120"/>
  <c r="G497" i="119"/>
  <c r="G496" i="119" s="1"/>
  <c r="C20" i="121" l="1"/>
  <c r="C18" i="121" s="1"/>
  <c r="C21" i="121" s="1"/>
  <c r="G682" i="120"/>
  <c r="G740" i="120"/>
  <c r="G555" i="120"/>
  <c r="G554" i="120" s="1"/>
  <c r="G551" i="120" s="1"/>
  <c r="F841" i="119"/>
  <c r="F838" i="119" s="1"/>
  <c r="I12" i="120"/>
  <c r="G1012" i="120"/>
  <c r="G1011" i="120" s="1"/>
  <c r="G1010" i="120" s="1"/>
  <c r="G1009" i="120" s="1"/>
  <c r="H413" i="119"/>
  <c r="H12" i="120"/>
  <c r="G912" i="120"/>
  <c r="G904" i="120" s="1"/>
  <c r="I739" i="120"/>
  <c r="G739" i="120" l="1"/>
  <c r="F837" i="119"/>
  <c r="F820" i="119"/>
  <c r="F799" i="119" s="1"/>
  <c r="G549" i="120"/>
  <c r="G528" i="120" s="1"/>
  <c r="G550" i="120"/>
  <c r="H739" i="120"/>
  <c r="G1000" i="119"/>
  <c r="G12" i="120" l="1"/>
  <c r="G1023" i="120" s="1"/>
  <c r="F1000" i="119"/>
  <c r="H1023" i="120"/>
  <c r="D18" i="121"/>
  <c r="D21" i="121" s="1"/>
  <c r="E18" i="121" l="1"/>
  <c r="E21" i="121" s="1"/>
  <c r="H1000" i="119"/>
  <c r="I1023" i="120"/>
</calcChain>
</file>

<file path=xl/sharedStrings.xml><?xml version="1.0" encoding="utf-8"?>
<sst xmlns="http://schemas.openxmlformats.org/spreadsheetml/2006/main" count="11494" uniqueCount="1153">
  <si>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</si>
  <si>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</si>
  <si>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</si>
  <si>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</si>
  <si>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</si>
  <si>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</si>
  <si>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</si>
  <si>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</si>
  <si>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</si>
  <si>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</si>
  <si>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</si>
  <si>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</si>
  <si>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</si>
  <si>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</si>
  <si>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</si>
  <si>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</si>
  <si>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</si>
  <si>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</si>
  <si>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</si>
  <si>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</si>
  <si>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</si>
  <si>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</si>
  <si>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</si>
  <si>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</si>
  <si>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</si>
  <si>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</si>
  <si>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</si>
  <si>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</si>
  <si>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</si>
  <si>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</si>
  <si>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</si>
  <si>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</si>
  <si>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</si>
  <si>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</si>
  <si>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</si>
  <si>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</si>
  <si>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</si>
  <si>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</si>
  <si>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</si>
  <si>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</si>
  <si>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</si>
  <si>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</si>
  <si>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</si>
  <si>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</si>
  <si>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</si>
  <si>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</si>
  <si>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</si>
  <si>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</si>
  <si>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</si>
  <si>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</si>
  <si>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</si>
  <si>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</si>
  <si>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</si>
  <si>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</si>
  <si>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</si>
  <si>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</si>
  <si>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</si>
  <si>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</si>
  <si>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</si>
  <si>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</si>
  <si>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</si>
  <si>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</si>
  <si>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</si>
  <si>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</si>
  <si>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</si>
  <si>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</si>
  <si>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</si>
  <si>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</si>
  <si>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</si>
  <si>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</si>
  <si>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</si>
  <si>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</si>
  <si>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</si>
  <si>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</si>
  <si>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</si>
  <si>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</si>
  <si>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</si>
  <si>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</si>
  <si>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</si>
  <si>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</si>
  <si>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</si>
  <si>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</si>
  <si>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</si>
  <si>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</si>
  <si>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</si>
  <si>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</si>
  <si>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</si>
  <si>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</si>
  <si>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</si>
  <si>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</si>
  <si>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</si>
  <si>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</si>
  <si>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</si>
  <si>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</si>
  <si>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</si>
  <si>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</si>
  <si>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</si>
  <si>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</si>
  <si>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</si>
  <si>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</si>
  <si>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</si>
  <si>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</si>
  <si>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</si>
  <si>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</si>
  <si>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</si>
  <si>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</si>
  <si>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</si>
  <si>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</si>
  <si>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</si>
  <si>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</si>
  <si>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</si>
  <si>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</si>
  <si>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</si>
  <si>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</si>
  <si>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</si>
  <si>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</si>
  <si>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</si>
  <si>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</si>
  <si>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</si>
  <si>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</si>
  <si>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</si>
  <si>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</si>
  <si>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</si>
  <si>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</si>
  <si>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</si>
  <si>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</si>
  <si>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</si>
  <si>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</si>
  <si>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</si>
  <si>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</si>
  <si>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</si>
  <si>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</si>
  <si>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</si>
  <si>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</si>
  <si>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</si>
  <si>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</si>
  <si>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</si>
  <si>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</si>
  <si>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</si>
  <si>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</si>
  <si>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</si>
  <si>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</si>
  <si>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</si>
  <si>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</si>
  <si>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</si>
  <si>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</si>
  <si>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</si>
  <si>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</si>
  <si>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</si>
  <si>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</si>
  <si>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</si>
  <si>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</si>
  <si>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</si>
  <si>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</si>
  <si>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</si>
  <si>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</si>
  <si>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</si>
  <si>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</si>
  <si>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</si>
  <si>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</si>
  <si>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</si>
  <si>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</si>
  <si>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</si>
  <si>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</si>
  <si>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</si>
  <si>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</si>
  <si>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</si>
  <si>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</si>
  <si>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</si>
  <si>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</si>
  <si>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</si>
  <si>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</si>
  <si>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</si>
  <si>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</si>
  <si>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</si>
  <si>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</si>
  <si>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</si>
  <si>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</si>
  <si>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</si>
  <si>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</si>
  <si>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</si>
  <si>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</si>
  <si>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</si>
  <si>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</si>
  <si>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</si>
  <si>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</si>
  <si>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</si>
  <si>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</si>
  <si>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</si>
  <si>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</si>
  <si>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</si>
  <si>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</si>
  <si>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</si>
  <si>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</si>
  <si>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</si>
  <si>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</si>
  <si>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</si>
  <si>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</si>
  <si>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</si>
  <si>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</si>
  <si>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</si>
  <si>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</si>
  <si>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</si>
  <si>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</si>
  <si>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</si>
  <si>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</si>
  <si>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</si>
  <si>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</si>
  <si>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</si>
  <si>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</si>
  <si>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</si>
  <si>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</si>
  <si>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</si>
  <si>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</si>
  <si>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</si>
  <si>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</si>
  <si>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</si>
  <si>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</si>
  <si>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</si>
  <si>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</si>
  <si>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</si>
  <si>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</si>
  <si>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</si>
  <si>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</si>
  <si>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</si>
  <si>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</si>
  <si>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</si>
  <si>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</si>
  <si>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</si>
  <si>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</si>
  <si>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</si>
  <si>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</si>
  <si>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</si>
  <si>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</si>
  <si>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</si>
  <si>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</si>
  <si>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</si>
  <si>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</si>
  <si>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</si>
  <si>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</si>
  <si>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</si>
  <si>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</si>
  <si>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</si>
  <si>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</si>
  <si>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</si>
  <si>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</si>
  <si>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</si>
  <si>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</si>
  <si>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</si>
  <si>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</si>
  <si>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</si>
  <si>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</si>
  <si>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</si>
  <si>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</si>
  <si>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</si>
  <si>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</si>
  <si>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</si>
  <si>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</si>
  <si>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</si>
  <si>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</si>
  <si>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</si>
  <si>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</si>
  <si>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</si>
  <si>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</si>
  <si>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</si>
  <si>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</si>
  <si>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</si>
  <si>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</si>
  <si>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</si>
  <si>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</si>
  <si>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</si>
  <si>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</si>
  <si>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</si>
  <si>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</si>
  <si>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</si>
  <si>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</si>
  <si>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</si>
  <si>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</si>
  <si>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</si>
  <si>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</si>
  <si>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</si>
  <si>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</si>
  <si>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</si>
  <si>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</si>
  <si>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</si>
  <si>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</si>
  <si>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</si>
  <si>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</si>
  <si>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</si>
  <si>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</si>
  <si>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</si>
  <si>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</si>
  <si>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</si>
  <si>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</si>
  <si>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</si>
  <si>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</si>
  <si>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</si>
  <si>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</si>
  <si>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</si>
  <si>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</si>
  <si>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</si>
  <si>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</si>
  <si>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</si>
  <si>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</si>
  <si>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</si>
  <si>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</si>
  <si>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</si>
  <si>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</si>
  <si>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</si>
  <si>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</si>
  <si>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</si>
  <si>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</si>
  <si>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</si>
  <si>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</si>
  <si>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</si>
  <si>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</si>
  <si>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</si>
  <si>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</si>
  <si>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</si>
  <si>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</si>
  <si>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</si>
  <si>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</si>
  <si>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</si>
  <si>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</si>
  <si>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</si>
  <si>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</si>
  <si>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</si>
  <si>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</si>
  <si>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</si>
  <si>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</si>
  <si>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</si>
  <si>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</si>
  <si>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</si>
  <si>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</si>
  <si>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</si>
  <si>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</si>
  <si>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</si>
  <si>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</si>
  <si>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</si>
  <si>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</si>
  <si>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</si>
  <si>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</si>
  <si>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</si>
  <si>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</si>
  <si>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</si>
  <si>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</si>
  <si>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</si>
  <si>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</si>
  <si>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</si>
  <si>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</si>
  <si>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</si>
  <si>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</si>
  <si>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</si>
  <si>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</si>
  <si>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</si>
  <si>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</si>
  <si>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</si>
  <si>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</si>
  <si>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</si>
  <si>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</si>
  <si>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</si>
  <si>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</si>
  <si>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</si>
  <si>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</si>
  <si>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</si>
  <si>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</si>
  <si>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</si>
  <si>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</si>
  <si>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</si>
  <si>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</si>
  <si>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</si>
  <si>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</si>
  <si>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</si>
  <si>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</si>
  <si>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</si>
  <si>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</si>
  <si>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</si>
  <si>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</si>
  <si>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</si>
  <si>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</si>
  <si>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</si>
  <si>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</si>
  <si>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</si>
  <si>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</si>
  <si>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</si>
  <si>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</si>
  <si>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</si>
  <si>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</si>
  <si>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</si>
  <si>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</si>
  <si>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</si>
  <si>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</si>
  <si>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</si>
  <si>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</si>
  <si>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</si>
  <si>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</si>
  <si>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</si>
  <si>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</si>
  <si>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</si>
  <si>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</si>
  <si>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</si>
  <si>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</si>
  <si>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</si>
  <si>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</si>
  <si>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</si>
  <si>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</si>
  <si>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</si>
  <si>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</si>
  <si>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</si>
  <si>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</si>
  <si>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</si>
  <si>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</si>
  <si>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</si>
  <si>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</si>
  <si>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</si>
  <si>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</si>
  <si>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</si>
  <si>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</si>
  <si>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</si>
  <si>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</si>
  <si>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</si>
  <si>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</si>
  <si>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</si>
  <si>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</si>
  <si>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</si>
  <si>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</si>
  <si>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</si>
  <si>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</si>
  <si>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</si>
  <si>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</si>
  <si>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</si>
  <si>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</si>
  <si>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</si>
  <si>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</si>
  <si>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</si>
  <si>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</si>
  <si>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</si>
  <si>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</si>
  <si>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</si>
  <si>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</si>
  <si>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</si>
  <si>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</si>
  <si>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</si>
  <si>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</si>
  <si>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</si>
  <si>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</si>
  <si>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</si>
  <si>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</si>
  <si>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</si>
  <si>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</si>
  <si>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</si>
  <si>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</si>
  <si>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</si>
  <si>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</si>
  <si>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</si>
  <si>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</si>
  <si>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</si>
  <si>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</si>
  <si>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</si>
  <si>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</si>
  <si>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</si>
  <si>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</si>
  <si>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</si>
  <si>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</si>
  <si>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</si>
  <si>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</si>
  <si>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</si>
  <si>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</si>
  <si>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</si>
  <si>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</si>
  <si>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</si>
  <si>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</si>
  <si>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</si>
  <si>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</si>
  <si>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</si>
  <si>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</si>
  <si>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</si>
  <si>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</si>
  <si>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</si>
  <si>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</si>
  <si>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</si>
  <si>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</si>
  <si>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</si>
  <si>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</si>
  <si>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</si>
  <si>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</si>
  <si>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</si>
  <si>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</si>
  <si>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</si>
  <si>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</si>
  <si>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</si>
  <si>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</si>
  <si>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</si>
  <si>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</si>
  <si>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</si>
  <si>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</si>
  <si>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</si>
  <si>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</si>
  <si>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</si>
  <si>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</si>
  <si>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</si>
  <si>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</si>
  <si>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</si>
  <si>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</si>
  <si>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</si>
  <si>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</si>
  <si>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</si>
  <si>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</si>
  <si>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</si>
  <si>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</si>
  <si>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</si>
  <si>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</si>
  <si>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</si>
  <si>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</si>
  <si>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</si>
  <si>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</si>
  <si>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</si>
  <si>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</si>
  <si>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</si>
  <si>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</si>
  <si>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</si>
  <si>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</si>
  <si>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</si>
  <si>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</si>
  <si>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</si>
  <si>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</si>
  <si>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</si>
  <si>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</si>
  <si>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</si>
  <si>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</si>
  <si>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</si>
  <si>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</si>
  <si>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</si>
  <si>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</si>
  <si>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</si>
  <si>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</si>
  <si>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</si>
  <si>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</si>
  <si>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</si>
  <si>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</si>
  <si>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</si>
  <si>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</si>
  <si>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</si>
  <si>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</si>
  <si>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</si>
  <si>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</si>
  <si>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</si>
  <si>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</si>
  <si>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</si>
  <si>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</si>
  <si>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</si>
  <si>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</si>
  <si>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</si>
  <si>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</si>
  <si>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</si>
  <si>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</si>
  <si>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</si>
  <si>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</si>
  <si>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</si>
  <si>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</si>
  <si>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</si>
  <si>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</si>
  <si>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</si>
  <si>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</si>
  <si>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</si>
  <si>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</si>
  <si>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</si>
  <si>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</si>
  <si>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</si>
  <si>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</si>
  <si>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</si>
  <si>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</si>
  <si>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</si>
  <si>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</si>
  <si>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Мероприятия по развитию и поддержке учреждений дополнительного образования (краевой бюджет)</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</si>
  <si>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</si>
  <si>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</si>
  <si>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</si>
  <si>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</si>
  <si>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</si>
  <si>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</si>
  <si>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</si>
  <si>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</si>
  <si>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</si>
  <si>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</si>
  <si>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</si>
  <si>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</si>
  <si>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</si>
  <si>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</si>
  <si>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</si>
  <si>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</si>
  <si>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</si>
  <si>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Сумма 
на 2026 год</t>
  </si>
  <si>
    <t>Общий объем на 2026 г</t>
  </si>
  <si>
    <t>Благоустройство территорий, прилегающих к местам туристского показа</t>
  </si>
  <si>
    <t>9990092170</t>
  </si>
  <si>
    <t>99900S2170</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</si>
  <si>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</si>
  <si>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</si>
  <si>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</si>
  <si>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</si>
  <si>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</si>
  <si>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</si>
  <si>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</si>
  <si>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</si>
  <si>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</si>
  <si>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</si>
  <si>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</si>
  <si>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</si>
  <si>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</si>
  <si>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</si>
  <si>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</si>
  <si>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</si>
  <si>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</si>
  <si>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</si>
  <si>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</si>
  <si>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</si>
  <si>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</si>
  <si>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</si>
  <si>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</si>
  <si>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</si>
  <si>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</si>
  <si>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</si>
  <si>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</si>
  <si>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</si>
  <si>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</si>
  <si>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</si>
  <si>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</si>
  <si>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</si>
  <si>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</si>
  <si>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</si>
  <si>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</si>
  <si>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</si>
  <si>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</si>
  <si>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</si>
  <si>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</si>
  <si>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</si>
  <si>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</si>
  <si>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</si>
  <si>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</si>
  <si>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</si>
  <si>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</si>
  <si>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</si>
  <si>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</si>
  <si>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</si>
  <si>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</si>
  <si>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</si>
  <si>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</si>
  <si>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</si>
  <si>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</si>
  <si>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</si>
  <si>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</si>
  <si>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</si>
  <si>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</si>
  <si>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</si>
  <si>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</si>
  <si>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</si>
  <si>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</si>
  <si>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</si>
  <si>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</si>
  <si>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Мероприятия по строительству, реконструкции и приобретению зданий муниципальных общеобразовательных организаций</t>
  </si>
  <si>
    <t>Капитальные вложения в объекты государственной (муниципальной собственности)</t>
  </si>
  <si>
    <t>400</t>
  </si>
  <si>
    <t>Бюджетные инвестиции</t>
  </si>
  <si>
    <t>410</t>
  </si>
  <si>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</si>
  <si>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</si>
  <si>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</si>
  <si>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</si>
  <si>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</si>
  <si>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</si>
  <si>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</si>
  <si>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</si>
  <si>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</si>
  <si>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</si>
  <si>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</si>
  <si>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</si>
  <si>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</si>
  <si>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</si>
  <si>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</si>
  <si>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</si>
  <si>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</si>
  <si>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</si>
  <si>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</si>
  <si>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</si>
  <si>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</si>
  <si>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</si>
  <si>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</si>
  <si>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</si>
  <si>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</si>
  <si>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</si>
  <si>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</si>
  <si>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</si>
  <si>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</si>
  <si>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</si>
  <si>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</si>
  <si>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</si>
  <si>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</si>
  <si>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</si>
  <si>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</si>
  <si>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</si>
  <si>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</si>
  <si>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</si>
  <si>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</si>
  <si>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</si>
  <si>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</si>
  <si>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</si>
  <si>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</si>
  <si>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</si>
  <si>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</si>
  <si>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</si>
  <si>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</si>
  <si>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</si>
  <si>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</si>
  <si>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</si>
  <si>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</si>
  <si>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</si>
  <si>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</si>
  <si>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</si>
  <si>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</si>
  <si>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</si>
  <si>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</si>
  <si>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</si>
  <si>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</si>
  <si>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</si>
  <si>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</si>
  <si>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</si>
  <si>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</si>
  <si>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</si>
  <si>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</si>
  <si>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</si>
  <si>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</si>
  <si>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</si>
  <si>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</si>
  <si>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</si>
  <si>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</si>
  <si>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</si>
  <si>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</si>
  <si>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</si>
  <si>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</si>
  <si>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</si>
  <si>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</si>
  <si>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</si>
  <si>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</si>
  <si>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</si>
  <si>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</si>
  <si>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</si>
  <si>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</si>
  <si>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</si>
  <si>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</si>
  <si>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</si>
  <si>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</si>
  <si>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</si>
  <si>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</si>
  <si>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</si>
  <si>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</si>
  <si>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</si>
  <si>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</si>
  <si>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</si>
  <si>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</si>
  <si>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</si>
  <si>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</si>
  <si>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</si>
  <si>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</si>
  <si>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</si>
  <si>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</si>
  <si>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</si>
  <si>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</si>
  <si>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</si>
  <si>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</si>
  <si>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</si>
  <si>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</si>
  <si>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</si>
  <si>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</si>
  <si>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</si>
  <si>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</si>
  <si>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</si>
  <si>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</si>
  <si>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</si>
  <si>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</si>
  <si>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</si>
  <si>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</si>
  <si>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</si>
  <si>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</si>
  <si>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</si>
  <si>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</si>
  <si>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</si>
  <si>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</si>
  <si>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</si>
  <si>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</si>
  <si>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</si>
  <si>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</si>
  <si>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</si>
  <si>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</si>
  <si>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</si>
  <si>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</si>
  <si>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</si>
  <si>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</si>
  <si>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</si>
  <si>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</si>
  <si>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</si>
  <si>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</si>
  <si>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</si>
  <si>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</si>
  <si>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</si>
  <si>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</si>
  <si>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</si>
  <si>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</si>
  <si>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</si>
  <si>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</si>
  <si>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</si>
  <si>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</si>
  <si>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</si>
  <si>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</si>
  <si>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</si>
  <si>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</si>
  <si>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</si>
  <si>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t>041P5S2230</t>
  </si>
  <si>
    <t>Субсидии бюджетам муниципальных образований Приморского края на приобретение ледозаливочной техники</t>
  </si>
  <si>
    <t>040P592680</t>
  </si>
  <si>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</si>
  <si>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</si>
  <si>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</si>
  <si>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</si>
  <si>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</si>
  <si>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</si>
  <si>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</si>
  <si>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</si>
  <si>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</si>
  <si>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</si>
  <si>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</si>
  <si>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</si>
  <si>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</si>
  <si>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</si>
  <si>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</si>
  <si>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</si>
  <si>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</si>
  <si>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</si>
  <si>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 xml:space="preserve">                                                                                             Приложение  № 4</t>
  </si>
  <si>
    <t>Ведомство</t>
  </si>
  <si>
    <t>Вид расх</t>
  </si>
  <si>
    <t>Общий объем на 2025 г.</t>
  </si>
  <si>
    <t>Учреждение: Администрация Кировского муниципального района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</si>
  <si>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</si>
  <si>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</si>
  <si>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</si>
  <si>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</si>
  <si>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</si>
  <si>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</si>
  <si>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</si>
  <si>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</si>
  <si>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</si>
  <si>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t>Подпрограмма № 8 "Молодежь Кировского района"</t>
  </si>
  <si>
    <t>060000000</t>
  </si>
  <si>
    <t>Мероприятия по развитию и поддержке библиотек</t>
  </si>
  <si>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</si>
  <si>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</si>
  <si>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</si>
  <si>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</si>
  <si>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</si>
  <si>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</si>
  <si>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</si>
  <si>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</si>
  <si>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</si>
  <si>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t xml:space="preserve">Капитальные вложения в объекты государственной (муниципальной) собственности </t>
  </si>
  <si>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</si>
  <si>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</si>
  <si>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</si>
  <si>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</si>
  <si>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</si>
  <si>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</si>
  <si>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</si>
  <si>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</si>
  <si>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</si>
  <si>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</si>
  <si>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</si>
  <si>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</si>
  <si>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</si>
  <si>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</si>
  <si>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</si>
  <si>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t>Расходы на обеспечение деятельности (оказание услуг, выполнение работ) муниципальных  учреждений - прочие учреждения</t>
  </si>
  <si>
    <t>Муниципальная программа "Развитие физической культуры и спорта в Кировском муниципальном районе на 2018-2022 годы"</t>
  </si>
  <si>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</si>
  <si>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</si>
  <si>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</si>
  <si>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</si>
  <si>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</si>
  <si>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</si>
  <si>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</si>
  <si>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</si>
  <si>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</si>
  <si>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</si>
  <si>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</si>
  <si>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</si>
  <si>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</si>
  <si>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</si>
  <si>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</si>
  <si>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</si>
  <si>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</si>
  <si>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</si>
  <si>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</si>
  <si>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</si>
  <si>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</si>
  <si>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</si>
  <si>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</si>
  <si>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</si>
  <si>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</si>
  <si>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</si>
  <si>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</si>
  <si>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</si>
  <si>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</si>
  <si>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</si>
  <si>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</si>
  <si>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</si>
  <si>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</si>
  <si>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</si>
  <si>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</si>
  <si>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</si>
  <si>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</si>
  <si>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</si>
  <si>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</si>
  <si>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</si>
  <si>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</si>
  <si>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</si>
  <si>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</si>
  <si>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</si>
  <si>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</si>
  <si>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</si>
  <si>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</si>
  <si>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</si>
  <si>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</si>
  <si>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</si>
  <si>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</si>
  <si>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</si>
  <si>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</si>
  <si>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</si>
  <si>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01100S2361</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</si>
  <si>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</si>
  <si>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</si>
  <si>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</si>
  <si>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01100S2752</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</si>
  <si>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</si>
  <si>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</si>
  <si>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</si>
  <si>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</si>
  <si>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</si>
  <si>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</si>
  <si>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</si>
  <si>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</si>
  <si>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</si>
  <si>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</si>
  <si>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</si>
  <si>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</si>
  <si>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</si>
  <si>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</si>
  <si>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</si>
  <si>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</si>
  <si>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</si>
  <si>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</si>
  <si>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</si>
  <si>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</si>
  <si>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</si>
  <si>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</si>
  <si>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</si>
  <si>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</si>
  <si>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</si>
  <si>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</si>
  <si>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Расходы направленные на подготовку проектов межевания земельных участков и на проведение кадастровых работ</t>
  </si>
  <si>
    <t>01010R3040</t>
  </si>
  <si>
    <t>3000000000</t>
  </si>
  <si>
    <t>Межевание и кадастровые работы</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</si>
  <si>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</si>
  <si>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</si>
  <si>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</si>
  <si>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</si>
  <si>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</si>
  <si>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</si>
  <si>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t>Реализация проектов инициативного бюджетирования по направлению "Молодежный бюджет" ("МБОУ СОШ №1 пгт. Кировский" "Радуга желаний на школьном дворе")</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</si>
  <si>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</si>
  <si>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</si>
  <si>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</si>
  <si>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</si>
  <si>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</si>
  <si>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</si>
  <si>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</si>
  <si>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</si>
  <si>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</si>
  <si>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</si>
  <si>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Муниципальная программа "Профилактика безнадзорности, беспризорности и правонарушений несовершеннолетних на 2023-2027годы"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</si>
  <si>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</si>
  <si>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9990010211</t>
  </si>
  <si>
    <t>30000L5990</t>
  </si>
  <si>
    <t>Объемы доходов районного бюджета на 2025 год и плановый период 2026 и 2027 годов</t>
  </si>
  <si>
    <t xml:space="preserve">Субсидии бюджетам муниципальных образований Приморского края на организацию физкультурно-спортивной работы по месту жительства </t>
  </si>
  <si>
    <t>Межбюджетные трансферты бюджетам муниципальных районов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t>
  </si>
  <si>
    <t>0200094050</t>
  </si>
  <si>
    <t>2 02 25467 05 0000 150</t>
  </si>
  <si>
    <t xml:space="preserve">Субсидии на обеспечение развития и укрепления материально-технической базы муниципальных домов культуры в населенных пунктах с числом жителей до 50 тысяч человек </t>
  </si>
  <si>
    <t>Муниципальная программа "Совершенствование межбюджетных отношений и управление муниципальным долгом в Кировском муниципальном районе на 2025-2027 годы"</t>
  </si>
  <si>
    <t>Приложение № 1</t>
  </si>
  <si>
    <t>Наименование налога  (сбора)</t>
  </si>
  <si>
    <t>Сумма на 2025 г.</t>
  </si>
  <si>
    <t>Сумма на 2026 г.</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</si>
  <si>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</si>
  <si>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</si>
  <si>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</si>
  <si>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</si>
  <si>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</si>
  <si>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</si>
  <si>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</si>
  <si>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</si>
  <si>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01 03 01 00 05 0000 710</t>
  </si>
  <si>
    <t>Получение бюджетных кредитов от других бюджетов бюджетной системы Российской Федерации районным бюджетом в валюте Российской Федерации</t>
  </si>
  <si>
    <t>01 03 01 00 05 0000 810</t>
  </si>
  <si>
    <t>Погашение районным бюджетом бюджетных кредитов от других бюджетов бюджетной системы Российской Федерации в валюте Российской Федерации</t>
  </si>
  <si>
    <t>01 05 00 00 00 0000 000</t>
  </si>
  <si>
    <t>Изменение остатков средств на счетах по учету средств</t>
  </si>
  <si>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</si>
  <si>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</si>
  <si>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</si>
  <si>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</si>
  <si>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ИТОГО ИСТОЧНИКОВ</t>
  </si>
  <si>
    <t>Источники внутреннего финансирования дефицита районного бюджета на 2025-2027 годы</t>
  </si>
  <si>
    <t xml:space="preserve">Муниципальная программа "Комплексное развитие сельских территорий" в Кировском муниципальном районе на 2023-2027 годы </t>
  </si>
  <si>
    <t xml:space="preserve">бюджетных ассигнований из районного бюджета на 2025 -2027 годы в ведомственной структуре расходов районного бюджета </t>
  </si>
  <si>
    <t>Общий объем на 2027 г.</t>
  </si>
  <si>
    <t>Сумма на 2027 г.</t>
  </si>
  <si>
    <t>Сумма на 
2027 год</t>
  </si>
  <si>
    <t xml:space="preserve">бюджетных ассигнований из районного бюджета на 2025-2027 гг.  по разделам, </t>
  </si>
  <si>
    <t>Общий объем на 2027 г</t>
  </si>
  <si>
    <t>Распределение бюджетных ассигнований из районного бюджета на 2025-2027 года по муниципальным программам Кировского  муниципального района и непрограммным направлениям деятельности</t>
  </si>
  <si>
    <t>Сумма 
на 2027 год</t>
  </si>
  <si>
    <t>99900L5990</t>
  </si>
  <si>
    <t>Непрограммное направление</t>
  </si>
  <si>
    <t>Непрограммные напрввления деятельности органов местного самоуправления</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</si>
  <si>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(ЦОМОУ) МБ</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</si>
  <si>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(Патриот) МБ</t>
  </si>
  <si>
    <t>Непрограммные направления</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</si>
  <si>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</si>
  <si>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</si>
  <si>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</si>
  <si>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</si>
  <si>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</si>
  <si>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</si>
  <si>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</si>
  <si>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</si>
  <si>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</si>
  <si>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</si>
  <si>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</si>
  <si>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</si>
  <si>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</si>
  <si>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</si>
  <si>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</si>
  <si>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2 02 49999 05 0000 150</t>
  </si>
  <si>
    <t xml:space="preserve">Муниципальная программа "Поддержка социально ориентированных некоммерческих организаций Кировского муниципального района на 2025-2027 годы" </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</si>
  <si>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</si>
  <si>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</si>
  <si>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бюджетам муниципальных районов на 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 муниципальных общеобразовательных организаций</t>
  </si>
  <si>
    <t>0101020041</t>
  </si>
  <si>
    <t>Государственная поддержка отрасли культуры (оснащение образовательных организаций в сфере культуры (детские школы искусств и училища) музыкальными инструментами, оборудованием и учебными материалами)</t>
  </si>
  <si>
    <t>Субсидии бюджетам субъектов муниципальных образований на 
государственную поддержку отрасли культуры (оснащение образовательных организаций в сфере культуры (детские школы искусств и училища) музыкальными инструментами, оборудованием и учебными материалами)</t>
  </si>
  <si>
    <t>Субсидии бюджетам муниципальных районов на поддержку отрасли культуры (государственная поддержка отрасли культуры (детские школы искусств и училища) музыкальными инструментами, оборудованием и учебными материалами)</t>
  </si>
  <si>
    <t>Расходы на реализацию государственной поддержки отрасли культуры (детские школы искусств и училища) музыкальными инструментами, оборудованием и учебными материалами), в целях софинансирования которых из бюджета Приморского края предоставляются субсидии</t>
  </si>
  <si>
    <r>
      <rPr>
        <i/>
        <sz val="12"/>
        <rFont val="Times New Roman"/>
        <family val="1"/>
        <charset val="204"/>
      </rPr>
      <t>Субсидии</t>
    </r>
    <r>
      <rPr>
        <sz val="12"/>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</si>
  <si>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2"/>
        <rFont val="Times New Roman"/>
        <family val="1"/>
        <charset val="204"/>
      </rPr>
      <t>местного бюджета,</t>
    </r>
    <r>
      <rPr>
        <sz val="12"/>
        <rFont val="Times New Roman"/>
        <family val="1"/>
        <charset val="204"/>
      </rPr>
      <t xml:space="preserve"> в целях софинансирования которых из бюджета Приморского края предоставляются субсидии</t>
    </r>
  </si>
  <si>
    <r>
      <t xml:space="preserve">Мероприятия по оснащению объектов спортивной инфраструктуры спортивно-технологическим оборудованием </t>
    </r>
    <r>
      <rPr>
        <b/>
        <i/>
        <sz val="12"/>
        <rFont val="Times New Roman"/>
        <family val="1"/>
        <charset val="204"/>
      </rPr>
      <t xml:space="preserve">(местный  бюджет) </t>
    </r>
  </si>
  <si>
    <r>
      <t xml:space="preserve">Мероприятия по развитию и поддержке внешкольного образования </t>
    </r>
    <r>
      <rPr>
        <b/>
        <i/>
        <sz val="12"/>
        <rFont val="Times New Roman"/>
        <family val="1"/>
        <charset val="204"/>
      </rPr>
      <t>(наказы избирателей)</t>
    </r>
  </si>
  <si>
    <r>
      <t xml:space="preserve">Мероприятия по развитию и поддержке образовательных учреждений </t>
    </r>
    <r>
      <rPr>
        <b/>
        <i/>
        <sz val="12"/>
        <rFont val="Times New Roman"/>
        <family val="1"/>
        <charset val="204"/>
      </rPr>
      <t>(местный  бюджет)</t>
    </r>
  </si>
  <si>
    <r>
      <t xml:space="preserve">Мероприятия по развитию и поддержке образовательных учреждений </t>
    </r>
    <r>
      <rPr>
        <b/>
        <i/>
        <sz val="12"/>
        <rFont val="Times New Roman"/>
        <family val="1"/>
        <charset val="204"/>
      </rPr>
      <t>(краевой бюджет)</t>
    </r>
  </si>
  <si>
    <r>
      <t xml:space="preserve">Мероприятия по развитию и поддержке образовательных учреждений </t>
    </r>
    <r>
      <rPr>
        <b/>
        <sz val="12"/>
        <rFont val="Times New Roman"/>
        <family val="1"/>
        <charset val="204"/>
      </rPr>
      <t>(наказы избирателей)</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</si>
  <si>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2"/>
        <rFont val="Times New Roman"/>
        <family val="1"/>
        <charset val="204"/>
      </rPr>
      <t>местного бюджета</t>
    </r>
    <r>
      <rPr>
        <sz val="12"/>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</si>
  <si>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2"/>
        <rFont val="Times New Roman"/>
        <family val="1"/>
        <charset val="204"/>
      </rPr>
      <t>краевого бюджета</t>
    </r>
    <r>
      <rPr>
        <sz val="12"/>
        <rFont val="Times New Roman"/>
        <family val="1"/>
        <charset val="204"/>
      </rPr>
      <t xml:space="preserve"> (школы)</t>
    </r>
  </si>
  <si>
    <r>
      <t xml:space="preserve">Мероприятия по развитию и поддержке дошкольных образовательных учреждений </t>
    </r>
    <r>
      <rPr>
        <b/>
        <sz val="12"/>
        <rFont val="Times New Roman"/>
        <family val="1"/>
        <charset val="204"/>
      </rPr>
      <t>(местный бюджет)</t>
    </r>
  </si>
  <si>
    <r>
      <t xml:space="preserve">Мероприятия по развитию и поддержке дошкольных образовательных учреждений </t>
    </r>
    <r>
      <rPr>
        <b/>
        <sz val="12"/>
        <rFont val="Times New Roman"/>
        <family val="1"/>
        <charset val="204"/>
      </rPr>
      <t>(краевой бюджет)</t>
    </r>
  </si>
  <si>
    <r>
      <t xml:space="preserve">Мероприятия по развитию и поддержке дошкольных образовательных учреждений </t>
    </r>
    <r>
      <rPr>
        <b/>
        <sz val="12"/>
        <rFont val="Times New Roman"/>
        <family val="1"/>
        <charset val="204"/>
      </rPr>
      <t>(наказы избирателей)</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</si>
  <si>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2"/>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</si>
  <si>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2"/>
        <rFont val="Times New Roman"/>
        <family val="1"/>
        <charset val="204"/>
      </rPr>
      <t xml:space="preserve">краевого бюджета </t>
    </r>
  </si>
  <si>
    <r>
      <t xml:space="preserve">Мероприятия по развитию и поддержке учреждений дополнительного образования </t>
    </r>
    <r>
      <rPr>
        <b/>
        <sz val="12"/>
        <rFont val="Times New Roman"/>
        <family val="1"/>
        <charset val="204"/>
      </rPr>
      <t>(краевой бюджет)</t>
    </r>
  </si>
  <si>
    <r>
      <t xml:space="preserve">Мероприятия по развитию и поддержке учреждений дополнительного образования </t>
    </r>
    <r>
      <rPr>
        <b/>
        <sz val="12"/>
        <rFont val="Times New Roman"/>
        <family val="1"/>
        <charset val="204"/>
      </rPr>
      <t>(местный бюджет</t>
    </r>
    <r>
      <rPr>
        <sz val="12"/>
        <rFont val="Times New Roman"/>
        <family val="1"/>
        <charset val="204"/>
      </rPr>
      <t>)</t>
    </r>
  </si>
  <si>
    <t>Субсидии бюджетам муниципальных образований на комплектование книжных фондов и обеспечение информационно - техническим оборудованием библиотек (краевой бюджет)</t>
  </si>
  <si>
    <t>Иные межбюджетные трансферты (переданные полномочия поселений по культуре МБУ "КДЦ")</t>
  </si>
  <si>
    <t>066Я555191</t>
  </si>
  <si>
    <t>066Я5L5191</t>
  </si>
  <si>
    <t>066Я500000</t>
  </si>
  <si>
    <t>1 11 09080 05 0000 120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</si>
  <si>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</si>
  <si>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011Ю693140</t>
  </si>
  <si>
    <t>011Ю653030</t>
  </si>
  <si>
    <t>011Ю651790</t>
  </si>
  <si>
    <t>011Ю650500</t>
  </si>
  <si>
    <t>011Ю650501</t>
  </si>
  <si>
    <t>011Ю650502</t>
  </si>
  <si>
    <t>0410192190</t>
  </si>
  <si>
    <t>0410092190</t>
  </si>
  <si>
    <t>01400L4940</t>
  </si>
  <si>
    <t>Мероприятия, направленные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</si>
  <si>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муниципальных районов в целях софинансирования расходных обязательств,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</si>
  <si>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06100L4670</t>
  </si>
  <si>
    <t xml:space="preserve">Субсидии на иные цели. 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 (кравой бюджет) </t>
  </si>
  <si>
    <t xml:space="preserve">Субсидии на иные цели. 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 (местный бюджет) </t>
  </si>
  <si>
    <t>Субсидии на иные цели. 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t>
  </si>
  <si>
    <t>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 (краевой бюджет)</t>
  </si>
  <si>
    <t>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 (местный бюджет)</t>
  </si>
  <si>
    <t xml:space="preserve">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 </t>
  </si>
  <si>
    <t>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t>
  </si>
  <si>
    <t>01100S2753</t>
  </si>
  <si>
    <t>01100S2363</t>
  </si>
  <si>
    <t xml:space="preserve">                        к решению Думы Кировского</t>
  </si>
  <si>
    <t xml:space="preserve">                          муниципального района</t>
  </si>
  <si>
    <t xml:space="preserve">Иные межбюджетные трансферты 
на обеспечение сбалансированности бюджетов городских и сельских поселений Кировского муниципального района из районного бюджета в 2025-2027гг </t>
  </si>
  <si>
    <t>(тыс.руб.)</t>
  </si>
  <si>
    <t>Наименование поселений</t>
  </si>
  <si>
    <t>Сумма на 2025 год (сбалансированность)</t>
  </si>
  <si>
    <t>Сумма на 2025 год (выборы)</t>
  </si>
  <si>
    <t>Итого на 2025 год</t>
  </si>
  <si>
    <t>Сумма на 2026 год</t>
  </si>
  <si>
    <t>Сумма на 2027 год</t>
  </si>
  <si>
    <t>Руновское сельское поселение</t>
  </si>
  <si>
    <t xml:space="preserve">Горненское сельское поселение </t>
  </si>
  <si>
    <t>Крыловское сельское поселение</t>
  </si>
  <si>
    <t>Хвищанское сельское поселение</t>
  </si>
  <si>
    <t>Всего</t>
  </si>
  <si>
    <t xml:space="preserve">                               Приложение № 6</t>
  </si>
  <si>
    <t>9990010111</t>
  </si>
  <si>
    <t>Мероприятия для создания условий для массового отдыха жителей поселений и организации обустройства мест массового отдыха населения</t>
  </si>
  <si>
    <t>9990010148</t>
  </si>
  <si>
    <t>Расходы, связанные с оснащением общественных инспекторов необходимым инвентарем и снаряжением для отпугивания крупных хищников в населенных пунктах Кировского муниципального района</t>
  </si>
  <si>
    <t>Другие вопросы в области национальной безопасности и правоохранительной деятельности</t>
  </si>
  <si>
    <t>Расходы на осуществление мероприятий в области гражданской обороны</t>
  </si>
  <si>
    <t>Гражданская оборона</t>
  </si>
  <si>
    <t>Мероприятия, направленные на содержание объектов, благоустроенных в рамках реализации программы "Развитие туризма на территории Кировского муниципального района" на 2024-2026 годы (Нарзан)</t>
  </si>
  <si>
    <t>230</t>
  </si>
  <si>
    <t>2000050021</t>
  </si>
  <si>
    <t>2000050022</t>
  </si>
  <si>
    <t>Мероприятия, направленные на содержание многофункционального парка, благоустроенного в рамках реализации программы "Развитие туризма на территории Кировского муниципального района" на 2024-2026 годы</t>
  </si>
  <si>
    <t>9990010071</t>
  </si>
  <si>
    <t>Закупка товаров, работ и услуг в целях обеспечения формирования материального резерва, резервов материальных ресурсов</t>
  </si>
  <si>
    <t>Расходы на приобретение дорожной техники</t>
  </si>
  <si>
    <t>1000010166</t>
  </si>
  <si>
    <t>1000010165</t>
  </si>
  <si>
    <t>1000010167</t>
  </si>
  <si>
    <t>1000010168</t>
  </si>
  <si>
    <t>1000010169</t>
  </si>
  <si>
    <t>Мероприятия по предупреждению и ликвидации последствий чрезвычайных ситуаций и стихийных бедствий</t>
  </si>
  <si>
    <t>Расходы на мероприятия по предупреждению и ликвидации последствий чрезвычайных ситуаций и стихийных бедствий</t>
  </si>
  <si>
    <t>Мероприятия, направленные на содержание многофункционального парка в кп. Горные Ключи "Семейный парк отдыха"</t>
  </si>
  <si>
    <t>Мероприятия, направленные на содержание территории, прилегающей к местам туристского показа</t>
  </si>
  <si>
    <t>01200S2363</t>
  </si>
  <si>
    <t xml:space="preserve">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</si>
  <si>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(социальный сертификат)</t>
  </si>
  <si>
    <t>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 за счет краевого бюджета (социальный сертификат)</t>
  </si>
  <si>
    <t xml:space="preserve">от 27.02.2025 г. № 201-НПА   </t>
  </si>
  <si>
    <t xml:space="preserve">   от 27.02.2025 г. № 201-НПА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</si>
</sst>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s>
  <fonts count="20">
    <font>
      <sz val="10"/>
      <name val="Arial Cyr"/>
      <charset val="204"/>
    </font>
    <font>
      <sz val="12"/>
      <name val="Arial Cyr"/>
      <charset val="204"/>
    </font>
    <font>
      <sz val="10"/>
      <name val="Arial Cyr"/>
      <charset val="204"/>
    </font>
    <font>
      <b/>
      <sz val="12"/>
      <name val="Arial Cyr"/>
      <charset val="204"/>
    </font>
    <font>
      <b/>
      <sz val="12"/>
      <name val="Times New Roman"/>
      <family val="1"/>
      <charset val="204"/>
    </font>
    <font>
      <sz val="12"/>
      <name val="Times New Roman"/>
      <family val="1"/>
      <charset val="204"/>
    </font>
    <font>
      <i/>
      <sz val="12"/>
      <name val="Times New Roman"/>
      <family val="1"/>
      <charset val="204"/>
    </font>
    <font>
      <b/>
      <i/>
      <sz val="12"/>
      <name val="Times New Roman"/>
      <family val="1"/>
      <charset val="204"/>
    </font>
    <font>
      <b/>
      <u/>
      <sz val="12"/>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sz val="12"/>
      <name val="Arial"/>
      <family val="2"/>
      <charset val="204"/>
    </font>
    <font>
      <sz val="8"/>
      <name val="Arial Cyr"/>
      <charset val="204"/>
    </font>
    <font>
      <sz val="12"/>
      <name val="Times New Roman"/>
      <family val="1"/>
    </font>
    <font>
      <b/>
      <sz val="12"/>
      <name val="Times New Roman"/>
      <family val="1"/>
    </font>
    <font>
      <i/>
      <u/>
      <sz val="12"/>
      <name val="Times New Roman"/>
      <family val="1"/>
      <charset val="204"/>
    </font>
    <font>
      <sz val="12"/>
      <name val="Times New Roman CE"/>
      <family val="1"/>
      <charset val="204"/>
    </font>
    <font>
      <sz val="10"/>
      <name val="Times New Roman"/>
      <family val="1"/>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0" fontId="2" fillId="0" borderId="0"/>
    <xf numFmtId="165" fontId="2" fillId="0" borderId="0" applyFont="0" applyFill="0" applyBorder="0" applyAlignment="0" applyProtection="0"/>
  </cellStyleXfs>
  <cellXfs count="413">
    <xf numFmtId="0" fontId="0" fillId="0" borderId="0" xfId="0"/>
    <xf numFmtId="0" fontId="5" fillId="2" borderId="0" xfId="0" applyFont="1" applyFill="1"/>
    <xf numFmtId="49" fontId="6" fillId="3" borderId="1" xfId="0" applyNumberFormat="1" applyFont="1" applyFill="1" applyBorder="1" applyAlignment="1">
      <alignment horizontal="center" vertical="center" wrapText="1" shrinkToFit="1"/>
    </xf>
    <xf numFmtId="0" fontId="4" fillId="3" borderId="1" xfId="0" applyFont="1" applyFill="1" applyBorder="1" applyAlignment="1">
      <alignment vertical="center" wrapText="1"/>
    </xf>
    <xf numFmtId="168" fontId="5" fillId="0" borderId="1" xfId="0" applyNumberFormat="1" applyFont="1" applyFill="1" applyBorder="1" applyAlignment="1">
      <alignment horizontal="center" vertical="center"/>
    </xf>
    <xf numFmtId="168" fontId="5" fillId="0" borderId="0" xfId="0" applyNumberFormat="1" applyFont="1" applyFill="1" applyAlignment="1">
      <alignment horizontal="center" vertical="center"/>
    </xf>
    <xf numFmtId="168" fontId="4" fillId="0" borderId="1" xfId="3" applyNumberFormat="1" applyFont="1" applyFill="1" applyBorder="1" applyAlignment="1">
      <alignment horizontal="center" vertical="center" wrapText="1"/>
    </xf>
    <xf numFmtId="168" fontId="5" fillId="0" borderId="1" xfId="3"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68" fontId="7" fillId="0" borderId="1" xfId="3"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5" fillId="3" borderId="0" xfId="0" applyFont="1" applyFill="1"/>
    <xf numFmtId="0" fontId="5" fillId="3" borderId="0" xfId="0" applyFont="1" applyFill="1" applyAlignment="1">
      <alignment vertical="top"/>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68" fontId="5" fillId="3" borderId="1" xfId="0" applyNumberFormat="1" applyFont="1" applyFill="1" applyBorder="1" applyAlignment="1">
      <alignment horizontal="center" vertical="center"/>
    </xf>
    <xf numFmtId="168" fontId="6" fillId="0" borderId="1" xfId="0" applyNumberFormat="1" applyFont="1" applyFill="1" applyBorder="1" applyAlignment="1">
      <alignment horizontal="center" vertical="center"/>
    </xf>
    <xf numFmtId="0" fontId="1" fillId="0" borderId="0" xfId="0" applyFont="1" applyFill="1"/>
    <xf numFmtId="0" fontId="5" fillId="0" borderId="0" xfId="0" applyFont="1" applyFill="1"/>
    <xf numFmtId="0" fontId="5" fillId="0" borderId="0" xfId="0" applyFont="1" applyFill="1" applyAlignment="1">
      <alignment horizontal="left"/>
    </xf>
    <xf numFmtId="166" fontId="5" fillId="0" borderId="0" xfId="0" applyNumberFormat="1" applyFont="1" applyFill="1"/>
    <xf numFmtId="0" fontId="1" fillId="3" borderId="0" xfId="0" applyFont="1" applyFill="1"/>
    <xf numFmtId="0" fontId="1" fillId="3" borderId="0" xfId="0" applyFont="1" applyFill="1" applyAlignment="1">
      <alignment vertical="center" wrapText="1"/>
    </xf>
    <xf numFmtId="0" fontId="1" fillId="3" borderId="0" xfId="0" applyFont="1" applyFill="1" applyAlignment="1">
      <alignment horizontal="center" vertical="center" wrapText="1"/>
    </xf>
    <xf numFmtId="0" fontId="5" fillId="3" borderId="0" xfId="0" applyFont="1" applyFill="1" applyAlignment="1">
      <alignment horizontal="right" vertical="center" wrapText="1"/>
    </xf>
    <xf numFmtId="0" fontId="1" fillId="3" borderId="0" xfId="0" applyFont="1" applyFill="1" applyAlignment="1">
      <alignment horizontal="center"/>
    </xf>
    <xf numFmtId="0" fontId="4" fillId="9" borderId="1" xfId="0" applyFont="1" applyFill="1" applyBorder="1" applyAlignment="1">
      <alignment vertical="center" wrapText="1"/>
    </xf>
    <xf numFmtId="49" fontId="4" fillId="9" borderId="1" xfId="0" applyNumberFormat="1" applyFont="1" applyFill="1" applyBorder="1" applyAlignment="1">
      <alignment horizontal="center" vertical="center" wrapText="1" shrinkToFit="1"/>
    </xf>
    <xf numFmtId="168" fontId="4" fillId="9" borderId="1" xfId="0" applyNumberFormat="1" applyFont="1" applyFill="1" applyBorder="1" applyAlignment="1">
      <alignment horizontal="center" vertical="center" wrapText="1"/>
    </xf>
    <xf numFmtId="0" fontId="1" fillId="9" borderId="0" xfId="0" applyFont="1" applyFill="1"/>
    <xf numFmtId="0" fontId="4" fillId="10" borderId="1" xfId="0" applyFont="1" applyFill="1" applyBorder="1" applyAlignment="1">
      <alignment vertical="center" wrapText="1"/>
    </xf>
    <xf numFmtId="49" fontId="4" fillId="10" borderId="1" xfId="0" applyNumberFormat="1" applyFont="1" applyFill="1" applyBorder="1" applyAlignment="1">
      <alignment horizontal="center" vertical="center" wrapText="1" shrinkToFit="1"/>
    </xf>
    <xf numFmtId="168" fontId="4" fillId="10" borderId="1" xfId="0" applyNumberFormat="1" applyFont="1" applyFill="1" applyBorder="1" applyAlignment="1">
      <alignment horizontal="center" vertical="center" wrapText="1"/>
    </xf>
    <xf numFmtId="0" fontId="1" fillId="10" borderId="0" xfId="0" applyFont="1" applyFill="1"/>
    <xf numFmtId="49" fontId="5" fillId="3" borderId="1" xfId="0" applyNumberFormat="1" applyFont="1" applyFill="1" applyBorder="1" applyAlignment="1">
      <alignment horizontal="center" vertical="center" wrapText="1" shrinkToFit="1"/>
    </xf>
    <xf numFmtId="168" fontId="5" fillId="3" borderId="1" xfId="0" applyNumberFormat="1" applyFont="1" applyFill="1" applyBorder="1" applyAlignment="1">
      <alignment horizontal="center" vertical="center" wrapText="1"/>
    </xf>
    <xf numFmtId="168" fontId="6" fillId="3" borderId="1" xfId="0" applyNumberFormat="1" applyFont="1" applyFill="1" applyBorder="1" applyAlignment="1">
      <alignment horizontal="center" vertical="center" wrapText="1"/>
    </xf>
    <xf numFmtId="0" fontId="9" fillId="3" borderId="0" xfId="0" applyFont="1" applyFill="1"/>
    <xf numFmtId="168" fontId="6" fillId="0" borderId="1" xfId="0" applyNumberFormat="1" applyFont="1" applyFill="1" applyBorder="1" applyAlignment="1">
      <alignment horizontal="center" vertical="center" wrapText="1"/>
    </xf>
    <xf numFmtId="168" fontId="1" fillId="3" borderId="0" xfId="0" applyNumberFormat="1" applyFont="1" applyFill="1"/>
    <xf numFmtId="49" fontId="5" fillId="0" borderId="1" xfId="0" applyNumberFormat="1" applyFont="1" applyFill="1" applyBorder="1" applyAlignment="1">
      <alignment horizontal="center" vertical="center" wrapText="1" shrinkToFit="1"/>
    </xf>
    <xf numFmtId="49" fontId="7" fillId="3" borderId="1" xfId="0" applyNumberFormat="1" applyFont="1" applyFill="1" applyBorder="1" applyAlignment="1">
      <alignment horizontal="center" vertical="center" wrapText="1" shrinkToFit="1"/>
    </xf>
    <xf numFmtId="168" fontId="7" fillId="3" borderId="1" xfId="0" applyNumberFormat="1" applyFont="1" applyFill="1" applyBorder="1" applyAlignment="1">
      <alignment horizontal="center" vertical="center" wrapText="1"/>
    </xf>
    <xf numFmtId="0" fontId="4" fillId="10" borderId="1" xfId="0" applyFont="1" applyFill="1" applyBorder="1" applyAlignment="1">
      <alignment vertical="top" wrapText="1"/>
    </xf>
    <xf numFmtId="49" fontId="5" fillId="3" borderId="1" xfId="0" applyNumberFormat="1" applyFont="1" applyFill="1" applyBorder="1" applyAlignment="1">
      <alignment horizontal="center" vertical="center" wrapText="1"/>
    </xf>
    <xf numFmtId="0" fontId="10" fillId="3" borderId="0" xfId="0" applyFont="1" applyFill="1"/>
    <xf numFmtId="0" fontId="3" fillId="3" borderId="0" xfId="0" applyFont="1" applyFill="1"/>
    <xf numFmtId="168" fontId="5" fillId="4"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shrinkToFit="1"/>
    </xf>
    <xf numFmtId="168" fontId="4" fillId="3"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168" fontId="7" fillId="0" borderId="1" xfId="0" applyNumberFormat="1" applyFont="1" applyFill="1" applyBorder="1" applyAlignment="1">
      <alignment horizontal="center" vertical="center" wrapText="1"/>
    </xf>
    <xf numFmtId="0" fontId="12" fillId="3" borderId="0" xfId="0" applyFont="1" applyFill="1"/>
    <xf numFmtId="0" fontId="3" fillId="9" borderId="0" xfId="0" applyFont="1" applyFill="1"/>
    <xf numFmtId="0" fontId="9" fillId="10" borderId="0" xfId="0" applyFont="1" applyFill="1"/>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shrinkToFit="1"/>
    </xf>
    <xf numFmtId="168" fontId="6"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shrinkToFit="1"/>
    </xf>
    <xf numFmtId="168" fontId="4" fillId="10" borderId="1" xfId="0" applyNumberFormat="1" applyFont="1" applyFill="1" applyBorder="1" applyAlignment="1">
      <alignment horizontal="center" vertical="center"/>
    </xf>
    <xf numFmtId="0" fontId="1" fillId="3" borderId="0" xfId="0" applyFont="1" applyFill="1" applyAlignment="1">
      <alignment vertical="justify"/>
    </xf>
    <xf numFmtId="49" fontId="1" fillId="3" borderId="0" xfId="0" applyNumberFormat="1" applyFont="1" applyFill="1"/>
    <xf numFmtId="49" fontId="13" fillId="3" borderId="0" xfId="0" applyNumberFormat="1" applyFont="1" applyFill="1"/>
    <xf numFmtId="49" fontId="13" fillId="0" borderId="0" xfId="0" applyNumberFormat="1" applyFont="1" applyFill="1"/>
    <xf numFmtId="49" fontId="1" fillId="0" borderId="0" xfId="0" applyNumberFormat="1" applyFont="1" applyFill="1"/>
    <xf numFmtId="49" fontId="5" fillId="7" borderId="1" xfId="0" applyNumberFormat="1" applyFont="1" applyFill="1" applyBorder="1" applyAlignment="1">
      <alignment horizontal="center" vertical="center" wrapText="1" shrinkToFit="1"/>
    </xf>
    <xf numFmtId="168" fontId="5" fillId="7" borderId="1" xfId="0" applyNumberFormat="1" applyFont="1" applyFill="1" applyBorder="1" applyAlignment="1">
      <alignment horizontal="center" vertical="center" wrapText="1"/>
    </xf>
    <xf numFmtId="0" fontId="4" fillId="10"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4" fillId="9"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1" fillId="7"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11" fillId="4" borderId="1"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49" fontId="4" fillId="10" borderId="0" xfId="0" applyNumberFormat="1" applyFont="1" applyFill="1" applyAlignment="1">
      <alignment horizontal="justify" vertical="center" shrinkToFit="1"/>
    </xf>
    <xf numFmtId="167" fontId="5" fillId="0" borderId="1" xfId="0" applyNumberFormat="1" applyFont="1" applyFill="1" applyBorder="1" applyAlignment="1">
      <alignment horizontal="center" vertical="center" wrapText="1"/>
    </xf>
    <xf numFmtId="168" fontId="5" fillId="0" borderId="0" xfId="0" applyNumberFormat="1" applyFont="1" applyFill="1"/>
    <xf numFmtId="168" fontId="5" fillId="3" borderId="0" xfId="0" applyNumberFormat="1" applyFont="1" applyFill="1"/>
    <xf numFmtId="0" fontId="1" fillId="3" borderId="0" xfId="0" applyFont="1" applyFill="1" applyAlignment="1">
      <alignment horizontal="left"/>
    </xf>
    <xf numFmtId="0" fontId="5" fillId="0" borderId="0" xfId="0" applyFont="1" applyFill="1" applyAlignment="1">
      <alignment horizontal="left" vertical="justify"/>
    </xf>
    <xf numFmtId="49" fontId="5" fillId="0" borderId="3" xfId="0" applyNumberFormat="1" applyFont="1" applyFill="1" applyBorder="1" applyAlignment="1">
      <alignment horizontal="center" vertical="center"/>
    </xf>
    <xf numFmtId="166" fontId="5" fillId="0" borderId="0" xfId="0" applyNumberFormat="1" applyFont="1" applyFill="1" applyAlignment="1">
      <alignment horizontal="right"/>
    </xf>
    <xf numFmtId="2" fontId="5" fillId="0" borderId="0" xfId="0" applyNumberFormat="1" applyFont="1" applyFill="1"/>
    <xf numFmtId="168" fontId="4" fillId="0" borderId="1" xfId="0" applyNumberFormat="1" applyFont="1" applyFill="1" applyBorder="1" applyAlignment="1">
      <alignment horizontal="center" vertical="center" wrapText="1"/>
    </xf>
    <xf numFmtId="168" fontId="5" fillId="0" borderId="0" xfId="0" applyNumberFormat="1" applyFont="1" applyFill="1" applyAlignment="1">
      <alignment vertical="center"/>
    </xf>
    <xf numFmtId="0" fontId="15" fillId="0" borderId="0" xfId="2" applyFont="1" applyFill="1"/>
    <xf numFmtId="0" fontId="15" fillId="0" borderId="0" xfId="2" applyFont="1" applyFill="1" applyAlignment="1">
      <alignment horizontal="center"/>
    </xf>
    <xf numFmtId="0" fontId="5" fillId="0" borderId="0" xfId="2" applyFont="1" applyFill="1" applyBorder="1" applyAlignment="1">
      <alignment horizontal="right" vertical="justify" wrapText="1"/>
    </xf>
    <xf numFmtId="0" fontId="4" fillId="0" borderId="1" xfId="2" applyFont="1" applyFill="1" applyBorder="1" applyAlignment="1">
      <alignment horizontal="left" vertical="center" wrapText="1"/>
    </xf>
    <xf numFmtId="168" fontId="4"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168" fontId="5" fillId="0" borderId="1" xfId="2" applyNumberFormat="1" applyFont="1" applyFill="1" applyBorder="1" applyAlignment="1">
      <alignment horizontal="center" vertical="center" wrapText="1"/>
    </xf>
    <xf numFmtId="0" fontId="15" fillId="0" borderId="1" xfId="2" applyFont="1" applyFill="1" applyBorder="1" applyAlignment="1">
      <alignment horizontal="center" vertical="center" wrapText="1"/>
    </xf>
    <xf numFmtId="0" fontId="15" fillId="0" borderId="1" xfId="2" applyFont="1" applyFill="1" applyBorder="1" applyAlignment="1">
      <alignment horizontal="left" vertical="center" wrapText="1"/>
    </xf>
    <xf numFmtId="2" fontId="15" fillId="0" borderId="1" xfId="2" applyNumberFormat="1" applyFont="1" applyFill="1" applyBorder="1" applyAlignment="1">
      <alignment horizontal="left" vertical="center" wrapText="1"/>
    </xf>
    <xf numFmtId="0" fontId="3" fillId="0" borderId="1" xfId="2" applyFont="1" applyFill="1" applyBorder="1" applyAlignment="1">
      <alignment horizontal="left" vertical="center"/>
    </xf>
    <xf numFmtId="0" fontId="1" fillId="0" borderId="0" xfId="0" applyFont="1"/>
    <xf numFmtId="0" fontId="7" fillId="4" borderId="1" xfId="0" applyFont="1" applyFill="1" applyBorder="1" applyAlignment="1">
      <alignment horizontal="justify" vertical="center" wrapText="1"/>
    </xf>
    <xf numFmtId="49" fontId="7" fillId="4" borderId="1" xfId="0" applyNumberFormat="1" applyFont="1" applyFill="1" applyBorder="1" applyAlignment="1">
      <alignment horizontal="center" vertical="center" wrapText="1" shrinkToFit="1"/>
    </xf>
    <xf numFmtId="168" fontId="7" fillId="4" borderId="1" xfId="0" applyNumberFormat="1" applyFont="1" applyFill="1" applyBorder="1" applyAlignment="1">
      <alignment horizontal="center" vertical="center" wrapText="1"/>
    </xf>
    <xf numFmtId="166" fontId="5" fillId="0" borderId="0" xfId="0" applyNumberFormat="1" applyFont="1" applyFill="1" applyAlignment="1">
      <alignment horizontal="center" vertical="center"/>
    </xf>
    <xf numFmtId="168" fontId="5" fillId="6" borderId="1" xfId="0" applyNumberFormat="1" applyFont="1" applyFill="1" applyBorder="1" applyAlignment="1">
      <alignment horizontal="center" vertical="center"/>
    </xf>
    <xf numFmtId="0" fontId="5" fillId="6" borderId="1" xfId="0" applyFont="1" applyFill="1" applyBorder="1" applyAlignment="1">
      <alignment horizontal="justify" vertical="center" wrapText="1"/>
    </xf>
    <xf numFmtId="49" fontId="5" fillId="6" borderId="1" xfId="0" applyNumberFormat="1" applyFont="1" applyFill="1" applyBorder="1" applyAlignment="1">
      <alignment horizontal="center" vertical="center" wrapText="1" shrinkToFit="1"/>
    </xf>
    <xf numFmtId="168" fontId="5" fillId="6" borderId="1" xfId="0" applyNumberFormat="1" applyFont="1" applyFill="1" applyBorder="1" applyAlignment="1">
      <alignment horizontal="center" vertical="center" wrapText="1"/>
    </xf>
    <xf numFmtId="0" fontId="7" fillId="6" borderId="1" xfId="0" applyFont="1" applyFill="1" applyBorder="1" applyAlignment="1">
      <alignment horizontal="justify" vertical="center" wrapText="1"/>
    </xf>
    <xf numFmtId="49" fontId="7" fillId="6" borderId="1" xfId="0" applyNumberFormat="1" applyFont="1" applyFill="1" applyBorder="1" applyAlignment="1">
      <alignment horizontal="center" vertical="center" wrapText="1" shrinkToFit="1"/>
    </xf>
    <xf numFmtId="168" fontId="7" fillId="6"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68" fontId="6" fillId="0" borderId="1" xfId="3" applyNumberFormat="1" applyFont="1" applyFill="1" applyBorder="1" applyAlignment="1">
      <alignment horizontal="center" vertical="center" wrapText="1"/>
    </xf>
    <xf numFmtId="0" fontId="5" fillId="16" borderId="1" xfId="0" applyFont="1" applyFill="1" applyBorder="1" applyAlignment="1">
      <alignment vertical="center" wrapText="1"/>
    </xf>
    <xf numFmtId="49" fontId="5" fillId="16" borderId="1" xfId="0" applyNumberFormat="1" applyFont="1" applyFill="1" applyBorder="1" applyAlignment="1">
      <alignment horizontal="center" vertical="center" wrapText="1" shrinkToFit="1"/>
    </xf>
    <xf numFmtId="168" fontId="5" fillId="16" borderId="1" xfId="0" applyNumberFormat="1" applyFont="1" applyFill="1" applyBorder="1" applyAlignment="1">
      <alignment horizontal="center" vertical="center" wrapText="1"/>
    </xf>
    <xf numFmtId="0" fontId="1" fillId="16" borderId="0" xfId="0" applyFont="1" applyFill="1"/>
    <xf numFmtId="0" fontId="4" fillId="16" borderId="1" xfId="0" applyFont="1" applyFill="1" applyBorder="1" applyAlignment="1">
      <alignment horizontal="justify" vertical="center" wrapText="1"/>
    </xf>
    <xf numFmtId="49" fontId="4" fillId="16" borderId="1" xfId="0" applyNumberFormat="1" applyFont="1" applyFill="1" applyBorder="1" applyAlignment="1">
      <alignment horizontal="center" vertical="center" wrapText="1" shrinkToFit="1"/>
    </xf>
    <xf numFmtId="168" fontId="4" fillId="16" borderId="1" xfId="0" applyNumberFormat="1" applyFont="1" applyFill="1" applyBorder="1" applyAlignment="1">
      <alignment horizontal="center" vertical="center" wrapText="1"/>
    </xf>
    <xf numFmtId="0" fontId="6" fillId="16" borderId="1" xfId="0" applyFont="1" applyFill="1" applyBorder="1" applyAlignment="1">
      <alignment horizontal="justify" vertical="center" wrapText="1"/>
    </xf>
    <xf numFmtId="49" fontId="6" fillId="16" borderId="1" xfId="0" applyNumberFormat="1" applyFont="1" applyFill="1" applyBorder="1" applyAlignment="1">
      <alignment horizontal="center" vertical="center" wrapText="1" shrinkToFit="1"/>
    </xf>
    <xf numFmtId="168" fontId="6" fillId="16" borderId="1" xfId="0" applyNumberFormat="1" applyFont="1" applyFill="1" applyBorder="1" applyAlignment="1">
      <alignment horizontal="center" vertical="center" wrapText="1"/>
    </xf>
    <xf numFmtId="0" fontId="5" fillId="16" borderId="1" xfId="0" applyFont="1" applyFill="1" applyBorder="1" applyAlignment="1">
      <alignment horizontal="justify" vertical="center" wrapText="1"/>
    </xf>
    <xf numFmtId="168" fontId="4" fillId="16" borderId="1" xfId="0" applyNumberFormat="1" applyFont="1" applyFill="1" applyBorder="1" applyAlignment="1">
      <alignment horizontal="center" vertical="center" wrapText="1" shrinkToFit="1"/>
    </xf>
    <xf numFmtId="168" fontId="5" fillId="16" borderId="1" xfId="0" applyNumberFormat="1" applyFont="1" applyFill="1" applyBorder="1" applyAlignment="1">
      <alignment horizontal="center" vertical="center" wrapText="1" shrinkToFit="1"/>
    </xf>
    <xf numFmtId="168" fontId="1" fillId="9" borderId="0" xfId="0" applyNumberFormat="1" applyFont="1" applyFill="1"/>
    <xf numFmtId="4" fontId="13" fillId="0" borderId="0" xfId="0" applyNumberFormat="1" applyFont="1" applyFill="1" applyAlignment="1">
      <alignment horizontal="left"/>
    </xf>
    <xf numFmtId="4" fontId="1" fillId="0" borderId="0" xfId="0" applyNumberFormat="1" applyFont="1" applyFill="1" applyAlignment="1">
      <alignment horizontal="center"/>
    </xf>
    <xf numFmtId="4" fontId="5" fillId="3" borderId="0" xfId="0" applyNumberFormat="1" applyFont="1" applyFill="1"/>
    <xf numFmtId="4" fontId="13" fillId="2" borderId="0" xfId="0" applyNumberFormat="1" applyFont="1" applyFill="1"/>
    <xf numFmtId="4" fontId="5" fillId="2" borderId="0" xfId="0" applyNumberFormat="1" applyFont="1" applyFill="1"/>
    <xf numFmtId="4" fontId="1" fillId="3" borderId="0" xfId="0" applyNumberFormat="1" applyFont="1" applyFill="1"/>
    <xf numFmtId="4" fontId="7" fillId="2" borderId="0" xfId="0" applyNumberFormat="1" applyFont="1" applyFill="1"/>
    <xf numFmtId="4" fontId="1" fillId="3" borderId="0" xfId="0" applyNumberFormat="1" applyFont="1" applyFill="1" applyAlignment="1">
      <alignment horizontal="center"/>
    </xf>
    <xf numFmtId="4" fontId="10" fillId="3" borderId="0" xfId="0" applyNumberFormat="1" applyFont="1" applyFill="1"/>
    <xf numFmtId="49" fontId="5" fillId="3" borderId="1" xfId="0" applyNumberFormat="1" applyFont="1" applyFill="1" applyBorder="1" applyAlignment="1">
      <alignment vertical="top" wrapText="1"/>
    </xf>
    <xf numFmtId="49" fontId="5" fillId="3"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shrinkToFit="1"/>
    </xf>
    <xf numFmtId="0" fontId="5" fillId="0" borderId="1" xfId="0" applyFont="1" applyFill="1" applyBorder="1" applyAlignment="1">
      <alignment vertical="center" wrapText="1"/>
    </xf>
    <xf numFmtId="0" fontId="5" fillId="0" borderId="1" xfId="0" applyFont="1" applyFill="1" applyBorder="1"/>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167" fontId="5" fillId="0" borderId="1" xfId="0" applyNumberFormat="1" applyFont="1" applyFill="1" applyBorder="1" applyAlignment="1">
      <alignment horizontal="center" vertical="center" wrapText="1" shrinkToFit="1"/>
    </xf>
    <xf numFmtId="0" fontId="7" fillId="10" borderId="1" xfId="0" applyFont="1" applyFill="1" applyBorder="1" applyAlignment="1">
      <alignment vertical="top" wrapText="1"/>
    </xf>
    <xf numFmtId="49" fontId="7" fillId="10" borderId="1" xfId="0" applyNumberFormat="1" applyFont="1" applyFill="1" applyBorder="1" applyAlignment="1">
      <alignment horizontal="center" vertical="center" wrapText="1" shrinkToFit="1"/>
    </xf>
    <xf numFmtId="168" fontId="7" fillId="10" borderId="1" xfId="0" applyNumberFormat="1" applyFont="1" applyFill="1" applyBorder="1" applyAlignment="1">
      <alignment horizontal="center" vertical="center" wrapText="1"/>
    </xf>
    <xf numFmtId="49" fontId="5" fillId="0" borderId="1" xfId="0" applyNumberFormat="1" applyFont="1" applyFill="1" applyBorder="1" applyAlignment="1">
      <alignment vertical="top"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xf>
    <xf numFmtId="168" fontId="5" fillId="3" borderId="0" xfId="0" applyNumberFormat="1" applyFont="1" applyFill="1" applyAlignment="1"/>
    <xf numFmtId="168" fontId="1" fillId="3" borderId="0" xfId="0" applyNumberFormat="1" applyFont="1" applyFill="1" applyAlignment="1"/>
    <xf numFmtId="49" fontId="4" fillId="10" borderId="5" xfId="0" applyNumberFormat="1" applyFont="1" applyFill="1" applyBorder="1" applyAlignment="1">
      <alignment horizontal="center" vertical="center" wrapText="1" shrinkToFit="1"/>
    </xf>
    <xf numFmtId="168" fontId="4" fillId="10" borderId="5"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shrinkToFit="1"/>
    </xf>
    <xf numFmtId="0" fontId="1" fillId="0" borderId="1" xfId="0" applyFont="1" applyFill="1" applyBorder="1" applyAlignment="1">
      <alignment horizontal="justify" vertical="center"/>
    </xf>
    <xf numFmtId="0" fontId="1" fillId="0" borderId="1" xfId="0" applyFont="1" applyFill="1" applyBorder="1"/>
    <xf numFmtId="0" fontId="5" fillId="0" borderId="1" xfId="0" applyNumberFormat="1" applyFont="1" applyFill="1" applyBorder="1" applyAlignment="1">
      <alignment horizontal="justify" vertical="center" wrapText="1"/>
    </xf>
    <xf numFmtId="168" fontId="1" fillId="10" borderId="0" xfId="0" applyNumberFormat="1" applyFont="1" applyFill="1"/>
    <xf numFmtId="168" fontId="4" fillId="0" borderId="0" xfId="0" applyNumberFormat="1" applyFont="1" applyFill="1"/>
    <xf numFmtId="0" fontId="4" fillId="0" borderId="1" xfId="2" applyFont="1" applyFill="1" applyBorder="1" applyAlignment="1">
      <alignment horizontal="center" vertical="center" wrapText="1"/>
    </xf>
    <xf numFmtId="0" fontId="15" fillId="0" borderId="0" xfId="2" applyFont="1" applyFill="1" applyAlignment="1">
      <alignment horizontal="right"/>
    </xf>
    <xf numFmtId="0" fontId="7" fillId="17" borderId="1" xfId="0" applyFont="1" applyFill="1" applyBorder="1" applyAlignment="1">
      <alignment vertical="top" wrapText="1"/>
    </xf>
    <xf numFmtId="168" fontId="7" fillId="17" borderId="1" xfId="0" applyNumberFormat="1" applyFont="1" applyFill="1" applyBorder="1" applyAlignment="1">
      <alignment horizontal="center" vertical="center" wrapText="1"/>
    </xf>
    <xf numFmtId="0" fontId="5" fillId="17" borderId="1" xfId="0" applyFont="1" applyFill="1" applyBorder="1" applyAlignment="1">
      <alignment vertical="center" wrapText="1"/>
    </xf>
    <xf numFmtId="168" fontId="5" fillId="17" borderId="1" xfId="0" applyNumberFormat="1" applyFont="1" applyFill="1" applyBorder="1" applyAlignment="1">
      <alignment horizontal="center" vertical="center" wrapText="1"/>
    </xf>
    <xf numFmtId="0" fontId="1" fillId="0" borderId="0" xfId="2" applyFont="1" applyFill="1"/>
    <xf numFmtId="0" fontId="16" fillId="0" borderId="0" xfId="2" applyFont="1" applyFill="1" applyBorder="1" applyAlignment="1">
      <alignment horizontal="center" vertical="justify" wrapText="1"/>
    </xf>
    <xf numFmtId="0" fontId="5" fillId="0" borderId="0" xfId="2" applyFont="1" applyFill="1" applyBorder="1" applyAlignment="1">
      <alignment horizontal="left" vertical="justify" wrapText="1"/>
    </xf>
    <xf numFmtId="168" fontId="1" fillId="0" borderId="0" xfId="2" applyNumberFormat="1" applyFont="1" applyFill="1"/>
    <xf numFmtId="166" fontId="1" fillId="0" borderId="0" xfId="2" applyNumberFormat="1" applyFont="1" applyFill="1"/>
    <xf numFmtId="49" fontId="6" fillId="0" borderId="1"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0" fontId="5" fillId="5" borderId="1" xfId="0" applyFont="1" applyFill="1" applyBorder="1" applyAlignment="1">
      <alignment horizontal="justify" vertical="center" wrapText="1"/>
    </xf>
    <xf numFmtId="168" fontId="5" fillId="5" borderId="1" xfId="0" applyNumberFormat="1" applyFont="1" applyFill="1" applyBorder="1" applyAlignment="1">
      <alignment horizontal="center" vertical="center" wrapText="1"/>
    </xf>
    <xf numFmtId="0" fontId="5" fillId="3" borderId="0" xfId="0" applyFont="1" applyFill="1" applyAlignment="1">
      <alignment horizontal="justify" vertical="center"/>
    </xf>
    <xf numFmtId="49" fontId="4" fillId="9" borderId="1" xfId="0" applyNumberFormat="1" applyFont="1" applyFill="1" applyBorder="1" applyAlignment="1">
      <alignment horizontal="center" vertical="center" wrapText="1"/>
    </xf>
    <xf numFmtId="49" fontId="4" fillId="10" borderId="1" xfId="0" applyNumberFormat="1" applyFont="1" applyFill="1" applyBorder="1" applyAlignment="1">
      <alignment horizontal="center" vertical="center" wrapText="1"/>
    </xf>
    <xf numFmtId="49" fontId="5" fillId="17" borderId="1" xfId="0" applyNumberFormat="1" applyFont="1" applyFill="1" applyBorder="1" applyAlignment="1">
      <alignment horizontal="center" vertical="center" wrapText="1"/>
    </xf>
    <xf numFmtId="49" fontId="5" fillId="17" borderId="1" xfId="0" applyNumberFormat="1" applyFont="1" applyFill="1" applyBorder="1" applyAlignment="1">
      <alignment horizontal="center" vertical="center" wrapText="1" shrinkToFit="1"/>
    </xf>
    <xf numFmtId="0" fontId="5" fillId="10" borderId="1" xfId="0" applyFont="1" applyFill="1" applyBorder="1" applyAlignment="1">
      <alignment horizontal="justify" vertical="center" wrapText="1"/>
    </xf>
    <xf numFmtId="49" fontId="5" fillId="10"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shrinkToFit="1"/>
    </xf>
    <xf numFmtId="168" fontId="5" fillId="1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3" borderId="0" xfId="0" applyFont="1" applyFill="1"/>
    <xf numFmtId="0" fontId="6" fillId="3" borderId="0" xfId="0" applyFont="1" applyFill="1"/>
    <xf numFmtId="49" fontId="6" fillId="3" borderId="1" xfId="0" applyNumberFormat="1" applyFont="1" applyFill="1" applyBorder="1" applyAlignment="1">
      <alignment horizontal="center" vertical="center" wrapText="1"/>
    </xf>
    <xf numFmtId="0" fontId="7" fillId="10" borderId="1" xfId="0" applyFont="1" applyFill="1" applyBorder="1" applyAlignment="1">
      <alignment horizontal="justify" vertical="center" wrapText="1"/>
    </xf>
    <xf numFmtId="49" fontId="7" fillId="10" borderId="1" xfId="0" applyNumberFormat="1" applyFont="1" applyFill="1" applyBorder="1" applyAlignment="1">
      <alignment horizontal="center" vertical="center" wrapText="1"/>
    </xf>
    <xf numFmtId="0" fontId="5" fillId="4" borderId="0" xfId="0" applyFont="1" applyFill="1"/>
    <xf numFmtId="0" fontId="17" fillId="0" borderId="1" xfId="0" applyFont="1" applyFill="1" applyBorder="1" applyAlignment="1">
      <alignment horizontal="justify" vertical="center" wrapText="1"/>
    </xf>
    <xf numFmtId="0" fontId="4" fillId="3" borderId="0" xfId="0" applyFont="1" applyFill="1"/>
    <xf numFmtId="167" fontId="6" fillId="0" borderId="1" xfId="0" applyNumberFormat="1" applyFont="1" applyFill="1" applyBorder="1" applyAlignment="1">
      <alignment horizontal="center" vertical="center" wrapText="1" shrinkToFit="1"/>
    </xf>
    <xf numFmtId="49" fontId="4"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68" fontId="4" fillId="11" borderId="1" xfId="0" applyNumberFormat="1" applyFont="1" applyFill="1" applyBorder="1" applyAlignment="1">
      <alignment horizontal="center" vertical="center" wrapText="1"/>
    </xf>
    <xf numFmtId="0" fontId="6" fillId="10" borderId="1" xfId="0" applyFont="1" applyFill="1" applyBorder="1" applyAlignment="1">
      <alignment horizontal="justify" vertical="center" wrapText="1"/>
    </xf>
    <xf numFmtId="49" fontId="6" fillId="10" borderId="1" xfId="0" applyNumberFormat="1" applyFont="1" applyFill="1" applyBorder="1" applyAlignment="1">
      <alignment horizontal="center" vertical="center" wrapText="1" shrinkToFit="1"/>
    </xf>
    <xf numFmtId="168" fontId="6" fillId="10"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49" fontId="5" fillId="7"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1" fillId="5" borderId="1" xfId="0" applyFont="1" applyFill="1" applyBorder="1" applyAlignment="1">
      <alignment horizontal="justify" vertical="center" wrapText="1"/>
    </xf>
    <xf numFmtId="49" fontId="5"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shrinkToFit="1"/>
    </xf>
    <xf numFmtId="0" fontId="4" fillId="6" borderId="1" xfId="0" applyFont="1" applyFill="1" applyBorder="1" applyAlignment="1">
      <alignment horizontal="justify" vertical="center" wrapText="1"/>
    </xf>
    <xf numFmtId="49" fontId="4"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shrinkToFit="1"/>
    </xf>
    <xf numFmtId="168" fontId="4" fillId="6"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wrapText="1"/>
    </xf>
    <xf numFmtId="168" fontId="4" fillId="10" borderId="1" xfId="0" applyNumberFormat="1" applyFont="1" applyFill="1" applyBorder="1" applyAlignment="1">
      <alignment horizontal="center" vertical="top"/>
    </xf>
    <xf numFmtId="0" fontId="4" fillId="3" borderId="1" xfId="0" applyFont="1" applyFill="1" applyBorder="1" applyAlignment="1">
      <alignment horizontal="justify" vertical="center"/>
    </xf>
    <xf numFmtId="49" fontId="4" fillId="3" borderId="1" xfId="0" applyNumberFormat="1" applyFont="1" applyFill="1" applyBorder="1"/>
    <xf numFmtId="49" fontId="5" fillId="0" borderId="0" xfId="0" applyNumberFormat="1" applyFont="1" applyFill="1"/>
    <xf numFmtId="0" fontId="5" fillId="0" borderId="0" xfId="0" applyFont="1" applyFill="1" applyAlignment="1">
      <alignment horizontal="center"/>
    </xf>
    <xf numFmtId="0" fontId="7" fillId="2" borderId="0" xfId="0" applyFont="1" applyFill="1"/>
    <xf numFmtId="169" fontId="5" fillId="3" borderId="0" xfId="0" applyNumberFormat="1" applyFont="1" applyFill="1"/>
    <xf numFmtId="0" fontId="5" fillId="3" borderId="0" xfId="0" applyFont="1" applyFill="1" applyBorder="1" applyAlignment="1">
      <alignment horizontal="justify" vertical="center"/>
    </xf>
    <xf numFmtId="0" fontId="1" fillId="3" borderId="0" xfId="0" applyFont="1" applyFill="1" applyBorder="1" applyAlignment="1">
      <alignment horizontal="left"/>
    </xf>
    <xf numFmtId="168" fontId="1" fillId="0" borderId="0" xfId="0" applyNumberFormat="1" applyFont="1" applyFill="1"/>
    <xf numFmtId="49" fontId="1" fillId="3" borderId="0" xfId="0" applyNumberFormat="1" applyFont="1" applyFill="1" applyBorder="1" applyAlignment="1">
      <alignment horizontal="left"/>
    </xf>
    <xf numFmtId="49" fontId="1" fillId="0" borderId="0" xfId="0" applyNumberFormat="1" applyFont="1" applyFill="1" applyBorder="1" applyAlignment="1">
      <alignment horizontal="center"/>
    </xf>
    <xf numFmtId="168" fontId="5" fillId="0" borderId="0" xfId="0" applyNumberFormat="1" applyFont="1" applyFill="1" applyAlignment="1">
      <alignment horizontal="right"/>
    </xf>
    <xf numFmtId="168" fontId="5" fillId="3" borderId="0" xfId="0" applyNumberFormat="1" applyFont="1" applyFill="1" applyAlignment="1">
      <alignment horizontal="right"/>
    </xf>
    <xf numFmtId="168" fontId="4" fillId="3" borderId="0"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0" fontId="4" fillId="5" borderId="1" xfId="0" applyFont="1" applyFill="1" applyBorder="1" applyAlignment="1">
      <alignment horizontal="justify" vertical="center" wrapText="1"/>
    </xf>
    <xf numFmtId="49" fontId="4" fillId="5" borderId="1" xfId="0" applyNumberFormat="1" applyFont="1" applyFill="1" applyBorder="1" applyAlignment="1">
      <alignment horizontal="center" vertical="center" wrapText="1"/>
    </xf>
    <xf numFmtId="168" fontId="4" fillId="5" borderId="1" xfId="0" applyNumberFormat="1" applyFont="1" applyFill="1" applyBorder="1" applyAlignment="1">
      <alignment horizontal="center" vertical="center" wrapText="1"/>
    </xf>
    <xf numFmtId="168" fontId="4" fillId="5" borderId="0" xfId="0" applyNumberFormat="1" applyFont="1" applyFill="1" applyBorder="1" applyAlignment="1">
      <alignment horizontal="center" vertical="center" wrapText="1"/>
    </xf>
    <xf numFmtId="0" fontId="6" fillId="7" borderId="1" xfId="0" applyFont="1" applyFill="1" applyBorder="1" applyAlignment="1">
      <alignment horizontal="justify" vertical="center" wrapText="1"/>
    </xf>
    <xf numFmtId="49" fontId="6" fillId="7" borderId="1" xfId="0" applyNumberFormat="1" applyFont="1" applyFill="1" applyBorder="1" applyAlignment="1">
      <alignment horizontal="center" vertical="center" wrapText="1"/>
    </xf>
    <xf numFmtId="168" fontId="6" fillId="7" borderId="1" xfId="0" applyNumberFormat="1" applyFont="1" applyFill="1" applyBorder="1" applyAlignment="1">
      <alignment horizontal="center" vertical="center" wrapText="1"/>
    </xf>
    <xf numFmtId="168" fontId="6" fillId="7" borderId="0" xfId="0" applyNumberFormat="1" applyFont="1" applyFill="1" applyBorder="1" applyAlignment="1">
      <alignment horizontal="center" vertical="center" wrapText="1"/>
    </xf>
    <xf numFmtId="168" fontId="7" fillId="0" borderId="0" xfId="0" applyNumberFormat="1" applyFont="1" applyFill="1" applyBorder="1" applyAlignment="1">
      <alignment horizontal="center" vertical="center" wrapText="1"/>
    </xf>
    <xf numFmtId="168" fontId="5" fillId="3" borderId="0" xfId="0" applyNumberFormat="1" applyFont="1" applyFill="1" applyBorder="1" applyAlignment="1">
      <alignment horizontal="center" vertical="center" wrapText="1"/>
    </xf>
    <xf numFmtId="0" fontId="5" fillId="14" borderId="1" xfId="0" applyFont="1" applyFill="1" applyBorder="1" applyAlignment="1">
      <alignment horizontal="justify" vertical="center" wrapText="1"/>
    </xf>
    <xf numFmtId="49" fontId="5" fillId="14" borderId="1" xfId="0" applyNumberFormat="1" applyFont="1" applyFill="1" applyBorder="1" applyAlignment="1">
      <alignment horizontal="center" vertical="center" wrapText="1"/>
    </xf>
    <xf numFmtId="168" fontId="5" fillId="14" borderId="0" xfId="0" applyNumberFormat="1" applyFont="1" applyFill="1" applyBorder="1" applyAlignment="1">
      <alignment horizontal="center" vertical="center" wrapText="1"/>
    </xf>
    <xf numFmtId="0" fontId="6" fillId="14" borderId="1" xfId="0" applyFont="1" applyFill="1" applyBorder="1" applyAlignment="1">
      <alignment horizontal="justify" vertical="center" wrapText="1"/>
    </xf>
    <xf numFmtId="49" fontId="6" fillId="14" borderId="1" xfId="0" applyNumberFormat="1" applyFont="1" applyFill="1" applyBorder="1" applyAlignment="1">
      <alignment horizontal="center" vertical="center" wrapText="1"/>
    </xf>
    <xf numFmtId="168" fontId="6" fillId="14" borderId="0" xfId="0" applyNumberFormat="1" applyFont="1" applyFill="1" applyBorder="1" applyAlignment="1">
      <alignment horizontal="center" vertical="center" wrapText="1"/>
    </xf>
    <xf numFmtId="0" fontId="4" fillId="14" borderId="1" xfId="0" applyFont="1" applyFill="1" applyBorder="1" applyAlignment="1">
      <alignment horizontal="justify" vertical="center" wrapText="1"/>
    </xf>
    <xf numFmtId="49" fontId="4" fillId="14" borderId="1" xfId="0" applyNumberFormat="1" applyFont="1" applyFill="1" applyBorder="1" applyAlignment="1">
      <alignment horizontal="center" vertical="center" wrapText="1"/>
    </xf>
    <xf numFmtId="168" fontId="4" fillId="14" borderId="1" xfId="0" applyNumberFormat="1" applyFont="1" applyFill="1" applyBorder="1" applyAlignment="1">
      <alignment horizontal="center" vertical="center" wrapText="1"/>
    </xf>
    <xf numFmtId="168" fontId="4" fillId="14" borderId="0" xfId="0" applyNumberFormat="1" applyFont="1" applyFill="1" applyBorder="1" applyAlignment="1">
      <alignment horizontal="center" vertical="center" wrapText="1"/>
    </xf>
    <xf numFmtId="168" fontId="5" fillId="14" borderId="1" xfId="0" applyNumberFormat="1" applyFont="1" applyFill="1" applyBorder="1" applyAlignment="1">
      <alignment horizontal="center" vertical="center" wrapText="1"/>
    </xf>
    <xf numFmtId="0" fontId="3" fillId="0" borderId="0" xfId="0" applyFont="1" applyFill="1"/>
    <xf numFmtId="0" fontId="3" fillId="15" borderId="0" xfId="0" applyFont="1" applyFill="1"/>
    <xf numFmtId="0" fontId="7" fillId="14" borderId="1" xfId="0" applyFont="1" applyFill="1" applyBorder="1" applyAlignment="1">
      <alignment horizontal="justify" vertical="center" wrapText="1"/>
    </xf>
    <xf numFmtId="49" fontId="7" fillId="14" borderId="1" xfId="0" applyNumberFormat="1" applyFont="1" applyFill="1" applyBorder="1" applyAlignment="1">
      <alignment horizontal="center" vertical="center" wrapText="1"/>
    </xf>
    <xf numFmtId="168" fontId="7" fillId="14" borderId="0" xfId="0" applyNumberFormat="1" applyFont="1" applyFill="1" applyBorder="1" applyAlignment="1">
      <alignment horizontal="center" vertical="center" wrapText="1"/>
    </xf>
    <xf numFmtId="0" fontId="10" fillId="15" borderId="0" xfId="0" applyFont="1" applyFill="1"/>
    <xf numFmtId="168" fontId="5" fillId="14" borderId="4" xfId="0" applyNumberFormat="1" applyFont="1" applyFill="1" applyBorder="1" applyAlignment="1">
      <alignment horizontal="center" vertical="center" wrapText="1"/>
    </xf>
    <xf numFmtId="168" fontId="7" fillId="14" borderId="4"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68" fontId="4" fillId="0" borderId="0"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168" fontId="5" fillId="6" borderId="0" xfId="0" applyNumberFormat="1" applyFont="1" applyFill="1" applyBorder="1" applyAlignment="1">
      <alignment horizontal="center" vertical="center" wrapText="1"/>
    </xf>
    <xf numFmtId="168" fontId="5" fillId="0" borderId="0" xfId="0" applyNumberFormat="1" applyFont="1" applyFill="1" applyBorder="1" applyAlignment="1">
      <alignment horizontal="center" vertical="center"/>
    </xf>
    <xf numFmtId="168" fontId="6" fillId="0" borderId="0" xfId="0" applyNumberFormat="1" applyFont="1" applyFill="1" applyBorder="1" applyAlignment="1">
      <alignment horizontal="center" vertical="center" wrapText="1"/>
    </xf>
    <xf numFmtId="168" fontId="5" fillId="4" borderId="0" xfId="0" applyNumberFormat="1" applyFont="1" applyFill="1" applyBorder="1" applyAlignment="1">
      <alignment horizontal="center" vertical="center" wrapText="1"/>
    </xf>
    <xf numFmtId="0" fontId="1" fillId="3" borderId="0" xfId="0" applyFont="1" applyFill="1" applyAlignment="1">
      <alignment horizontal="justify" vertical="center"/>
    </xf>
    <xf numFmtId="168" fontId="6" fillId="3" borderId="0" xfId="0" applyNumberFormat="1" applyFont="1" applyFill="1" applyBorder="1" applyAlignment="1">
      <alignment horizontal="center" vertical="center" wrapText="1"/>
    </xf>
    <xf numFmtId="49" fontId="5" fillId="3" borderId="1" xfId="0" applyNumberFormat="1" applyFont="1" applyFill="1" applyBorder="1" applyAlignment="1">
      <alignment horizontal="justify" vertical="center" wrapText="1"/>
    </xf>
    <xf numFmtId="49" fontId="5" fillId="0" borderId="0" xfId="0" applyNumberFormat="1" applyFont="1" applyFill="1" applyBorder="1" applyAlignment="1">
      <alignment horizontal="center" vertical="center" wrapText="1"/>
    </xf>
    <xf numFmtId="168" fontId="7" fillId="3" borderId="0"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0" fontId="5" fillId="0" borderId="0" xfId="0" applyNumberFormat="1" applyFont="1" applyFill="1" applyBorder="1" applyAlignment="1">
      <alignment horizontal="center" vertical="center" wrapText="1"/>
    </xf>
    <xf numFmtId="10" fontId="5" fillId="3" borderId="0" xfId="0" applyNumberFormat="1" applyFont="1" applyFill="1" applyAlignment="1">
      <alignment vertical="center"/>
    </xf>
    <xf numFmtId="49" fontId="5" fillId="0" borderId="1" xfId="0" applyNumberFormat="1" applyFont="1" applyFill="1" applyBorder="1" applyAlignment="1">
      <alignment horizontal="justify" vertical="center"/>
    </xf>
    <xf numFmtId="4" fontId="5" fillId="3" borderId="0" xfId="0" applyNumberFormat="1" applyFont="1" applyFill="1" applyAlignment="1">
      <alignment vertical="center"/>
    </xf>
    <xf numFmtId="49"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shrinkToFit="1"/>
    </xf>
    <xf numFmtId="168" fontId="7" fillId="5" borderId="1" xfId="0" applyNumberFormat="1" applyFont="1" applyFill="1" applyBorder="1" applyAlignment="1">
      <alignment horizontal="center" vertical="center"/>
    </xf>
    <xf numFmtId="168" fontId="7" fillId="5" borderId="0" xfId="0" applyNumberFormat="1" applyFont="1" applyFill="1" applyBorder="1" applyAlignment="1">
      <alignment horizontal="center" vertical="center"/>
    </xf>
    <xf numFmtId="0" fontId="7" fillId="13" borderId="1" xfId="0" applyFont="1" applyFill="1" applyBorder="1" applyAlignment="1">
      <alignment horizontal="center" vertical="center" wrapText="1"/>
    </xf>
    <xf numFmtId="49" fontId="7" fillId="13" borderId="1" xfId="0" applyNumberFormat="1" applyFont="1" applyFill="1" applyBorder="1" applyAlignment="1">
      <alignment horizontal="center" vertical="center" wrapText="1"/>
    </xf>
    <xf numFmtId="168" fontId="7" fillId="13" borderId="1" xfId="0" applyNumberFormat="1" applyFont="1" applyFill="1" applyBorder="1" applyAlignment="1">
      <alignment horizontal="center" vertical="center"/>
    </xf>
    <xf numFmtId="168" fontId="7" fillId="13" borderId="0" xfId="0" applyNumberFormat="1" applyFont="1" applyFill="1" applyBorder="1" applyAlignment="1">
      <alignment horizontal="center" vertical="center"/>
    </xf>
    <xf numFmtId="0" fontId="4" fillId="6" borderId="1" xfId="0" applyFont="1" applyFill="1" applyBorder="1" applyAlignment="1">
      <alignment horizontal="center" vertical="top" wrapText="1"/>
    </xf>
    <xf numFmtId="49" fontId="4" fillId="6" borderId="1" xfId="0" applyNumberFormat="1" applyFont="1" applyFill="1" applyBorder="1" applyAlignment="1">
      <alignment horizontal="center" vertical="top" wrapText="1"/>
    </xf>
    <xf numFmtId="168" fontId="4" fillId="6" borderId="0" xfId="0" applyNumberFormat="1" applyFont="1" applyFill="1" applyBorder="1" applyAlignment="1">
      <alignment horizontal="center" vertical="center" wrapText="1"/>
    </xf>
    <xf numFmtId="0" fontId="1" fillId="0" borderId="0" xfId="0" applyFont="1" applyBorder="1" applyAlignment="1"/>
    <xf numFmtId="0" fontId="5" fillId="3" borderId="1"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168" fontId="5" fillId="0" borderId="1" xfId="0" applyNumberFormat="1" applyFont="1" applyFill="1" applyBorder="1" applyAlignment="1">
      <alignment horizontal="center" vertical="top"/>
    </xf>
    <xf numFmtId="168" fontId="5" fillId="3" borderId="1" xfId="0" applyNumberFormat="1" applyFont="1" applyFill="1" applyBorder="1" applyAlignment="1">
      <alignment horizontal="center" vertical="top"/>
    </xf>
    <xf numFmtId="168" fontId="5" fillId="3" borderId="0" xfId="0" applyNumberFormat="1" applyFont="1" applyFill="1" applyBorder="1" applyAlignment="1">
      <alignment horizontal="center" vertical="top"/>
    </xf>
    <xf numFmtId="168" fontId="1" fillId="3" borderId="0" xfId="0" applyNumberFormat="1" applyFont="1" applyFill="1" applyAlignment="1">
      <alignment horizontal="center" vertical="center"/>
    </xf>
    <xf numFmtId="0" fontId="5" fillId="12" borderId="1" xfId="0" applyFont="1" applyFill="1" applyBorder="1" applyAlignment="1">
      <alignment horizontal="justify" vertical="center" wrapText="1"/>
    </xf>
    <xf numFmtId="49" fontId="5" fillId="12" borderId="1" xfId="0" applyNumberFormat="1" applyFont="1" applyFill="1" applyBorder="1" applyAlignment="1">
      <alignment horizontal="center" vertical="center" wrapText="1"/>
    </xf>
    <xf numFmtId="168" fontId="5" fillId="12" borderId="1" xfId="0" applyNumberFormat="1" applyFont="1" applyFill="1" applyBorder="1" applyAlignment="1">
      <alignment horizontal="center" vertical="center"/>
    </xf>
    <xf numFmtId="168" fontId="5" fillId="12" borderId="0" xfId="0" applyNumberFormat="1" applyFont="1" applyFill="1" applyBorder="1" applyAlignment="1">
      <alignment horizontal="center" vertical="center"/>
    </xf>
    <xf numFmtId="168" fontId="5" fillId="3" borderId="0" xfId="0" applyNumberFormat="1" applyFont="1" applyFill="1" applyBorder="1" applyAlignment="1">
      <alignment horizontal="center" vertical="center"/>
    </xf>
    <xf numFmtId="0" fontId="1" fillId="4" borderId="0" xfId="0" applyFont="1" applyFill="1"/>
    <xf numFmtId="0" fontId="1" fillId="6" borderId="0" xfId="0" applyFont="1" applyFill="1"/>
    <xf numFmtId="0" fontId="5" fillId="0" borderId="1" xfId="0" applyNumberFormat="1" applyFont="1" applyFill="1" applyBorder="1" applyAlignment="1">
      <alignment horizontal="center" vertical="center" wrapText="1"/>
    </xf>
    <xf numFmtId="168" fontId="4" fillId="0" borderId="0" xfId="0" applyNumberFormat="1" applyFont="1" applyFill="1" applyBorder="1" applyAlignment="1">
      <alignment horizontal="center" vertical="center"/>
    </xf>
    <xf numFmtId="0" fontId="5" fillId="5" borderId="1" xfId="0" applyFont="1" applyFill="1" applyBorder="1" applyAlignment="1">
      <alignment horizontal="center" vertical="top" wrapText="1"/>
    </xf>
    <xf numFmtId="49" fontId="5" fillId="5" borderId="1" xfId="0" applyNumberFormat="1" applyFont="1" applyFill="1" applyBorder="1" applyAlignment="1">
      <alignment horizontal="center" vertical="top" wrapText="1"/>
    </xf>
    <xf numFmtId="168" fontId="4" fillId="5" borderId="1" xfId="0" applyNumberFormat="1" applyFont="1" applyFill="1" applyBorder="1" applyAlignment="1">
      <alignment horizontal="center" vertical="top"/>
    </xf>
    <xf numFmtId="168" fontId="4" fillId="5" borderId="0" xfId="0" applyNumberFormat="1" applyFont="1" applyFill="1" applyBorder="1" applyAlignment="1">
      <alignment horizontal="center" vertical="top"/>
    </xf>
    <xf numFmtId="0" fontId="4" fillId="8" borderId="1" xfId="0" applyFont="1" applyFill="1" applyBorder="1" applyAlignment="1">
      <alignment horizontal="justify" vertical="center" wrapText="1"/>
    </xf>
    <xf numFmtId="0" fontId="4" fillId="8" borderId="1" xfId="0" applyFont="1" applyFill="1" applyBorder="1" applyAlignment="1">
      <alignment horizontal="center" vertical="top" wrapText="1"/>
    </xf>
    <xf numFmtId="49" fontId="4" fillId="8" borderId="1" xfId="0" applyNumberFormat="1" applyFont="1" applyFill="1" applyBorder="1" applyAlignment="1">
      <alignment horizontal="center" vertical="top" wrapText="1"/>
    </xf>
    <xf numFmtId="168" fontId="4" fillId="8" borderId="1" xfId="0" applyNumberFormat="1" applyFont="1" applyFill="1" applyBorder="1" applyAlignment="1">
      <alignment horizontal="center"/>
    </xf>
    <xf numFmtId="168" fontId="4" fillId="8" borderId="0" xfId="0" applyNumberFormat="1" applyFont="1" applyFill="1" applyBorder="1" applyAlignment="1">
      <alignment horizontal="center"/>
    </xf>
    <xf numFmtId="168" fontId="4" fillId="6" borderId="1" xfId="0" applyNumberFormat="1" applyFont="1" applyFill="1" applyBorder="1" applyAlignment="1">
      <alignment horizontal="center"/>
    </xf>
    <xf numFmtId="168" fontId="4" fillId="6" borderId="0" xfId="0" applyNumberFormat="1" applyFont="1" applyFill="1" applyBorder="1" applyAlignment="1">
      <alignment horizontal="center"/>
    </xf>
    <xf numFmtId="0" fontId="1" fillId="0" borderId="0" xfId="0" applyFont="1" applyFill="1" applyAlignment="1">
      <alignment horizontal="left"/>
    </xf>
    <xf numFmtId="168" fontId="3" fillId="3" borderId="0" xfId="0" applyNumberFormat="1" applyFont="1" applyFill="1"/>
    <xf numFmtId="0" fontId="10" fillId="0" borderId="0" xfId="0" applyFont="1" applyFill="1" applyAlignment="1">
      <alignment horizontal="left"/>
    </xf>
    <xf numFmtId="168" fontId="10" fillId="0" borderId="0" xfId="0" applyNumberFormat="1" applyFont="1" applyFill="1"/>
    <xf numFmtId="0" fontId="7" fillId="7" borderId="1" xfId="0" applyFont="1" applyFill="1" applyBorder="1" applyAlignment="1">
      <alignment vertical="top" wrapText="1"/>
    </xf>
    <xf numFmtId="168" fontId="7" fillId="7" borderId="1" xfId="0" applyNumberFormat="1" applyFont="1" applyFill="1" applyBorder="1" applyAlignment="1">
      <alignment horizontal="center" vertical="center" wrapText="1"/>
    </xf>
    <xf numFmtId="168" fontId="3" fillId="9" borderId="0" xfId="0" applyNumberFormat="1" applyFont="1" applyFill="1"/>
    <xf numFmtId="168" fontId="4" fillId="5" borderId="1" xfId="0" applyNumberFormat="1" applyFont="1" applyFill="1" applyBorder="1" applyAlignment="1">
      <alignment horizontal="center" vertical="center"/>
    </xf>
    <xf numFmtId="168" fontId="4" fillId="5" borderId="0" xfId="0" applyNumberFormat="1" applyFont="1" applyFill="1" applyAlignment="1">
      <alignment horizontal="center" vertical="center"/>
    </xf>
    <xf numFmtId="0" fontId="5" fillId="0" borderId="2" xfId="0" applyFont="1" applyFill="1" applyBorder="1" applyAlignment="1">
      <alignment horizontal="center" vertical="top" wrapText="1"/>
    </xf>
    <xf numFmtId="0" fontId="4" fillId="3" borderId="0" xfId="0" applyFont="1" applyFill="1" applyAlignment="1">
      <alignment horizontal="justify" vertical="center" wrapText="1"/>
    </xf>
    <xf numFmtId="168" fontId="4" fillId="0" borderId="0" xfId="0" applyNumberFormat="1" applyFont="1" applyFill="1" applyAlignment="1">
      <alignment horizontal="center" vertical="center" wrapText="1"/>
    </xf>
    <xf numFmtId="168" fontId="4" fillId="3" borderId="0" xfId="0" applyNumberFormat="1" applyFont="1" applyFill="1" applyAlignment="1">
      <alignment horizontal="center" vertical="center" wrapText="1"/>
    </xf>
    <xf numFmtId="168" fontId="6" fillId="14" borderId="1" xfId="0" applyNumberFormat="1" applyFont="1" applyFill="1" applyBorder="1" applyAlignment="1">
      <alignment horizontal="center" vertical="center" wrapText="1"/>
    </xf>
    <xf numFmtId="168" fontId="5" fillId="3"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xf>
    <xf numFmtId="168" fontId="5" fillId="0" borderId="1" xfId="0" applyNumberFormat="1" applyFont="1" applyFill="1" applyBorder="1" applyAlignment="1">
      <alignment horizontal="center" vertical="center" wrapText="1"/>
    </xf>
    <xf numFmtId="0" fontId="4" fillId="13" borderId="1" xfId="0" applyFont="1" applyFill="1" applyBorder="1" applyAlignment="1">
      <alignment horizontal="justify" vertical="center" wrapText="1"/>
    </xf>
    <xf numFmtId="0" fontId="5" fillId="0" borderId="0" xfId="0" applyFont="1" applyAlignment="1">
      <alignment horizontal="right"/>
    </xf>
    <xf numFmtId="0" fontId="15" fillId="0" borderId="0" xfId="0" applyFont="1"/>
    <xf numFmtId="0" fontId="4" fillId="0" borderId="0" xfId="0" applyFont="1" applyAlignment="1">
      <alignment horizontal="center" vertical="center" wrapText="1"/>
    </xf>
    <xf numFmtId="0" fontId="19" fillId="0" borderId="0" xfId="0" applyFont="1" applyAlignment="1">
      <alignment horizontal="right"/>
    </xf>
    <xf numFmtId="0" fontId="5" fillId="0" borderId="1" xfId="0" applyFont="1" applyBorder="1" applyAlignment="1">
      <alignment horizontal="left" vertical="center" wrapText="1"/>
    </xf>
    <xf numFmtId="166" fontId="5" fillId="0" borderId="1" xfId="0" applyNumberFormat="1" applyFont="1" applyBorder="1" applyAlignment="1">
      <alignment horizontal="center" vertical="center" wrapText="1"/>
    </xf>
    <xf numFmtId="170" fontId="5"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66"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right"/>
    </xf>
    <xf numFmtId="49" fontId="7" fillId="0" borderId="5" xfId="0" applyNumberFormat="1" applyFont="1" applyFill="1" applyBorder="1" applyAlignment="1">
      <alignment horizontal="center" vertical="center" wrapText="1"/>
    </xf>
    <xf numFmtId="49" fontId="5" fillId="0" borderId="0" xfId="0" applyNumberFormat="1" applyFont="1" applyFill="1" applyAlignment="1">
      <alignment horizontal="justify" vertical="center"/>
    </xf>
    <xf numFmtId="168" fontId="5" fillId="0" borderId="4"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168" fontId="5" fillId="0" borderId="1" xfId="0" applyNumberFormat="1" applyFont="1" applyFill="1" applyBorder="1" applyAlignment="1">
      <alignment horizontal="center" vertical="center" wrapText="1" shrinkToFit="1"/>
    </xf>
    <xf numFmtId="0" fontId="4" fillId="7" borderId="1" xfId="0" applyFont="1" applyFill="1" applyBorder="1" applyAlignment="1">
      <alignment horizontal="justify" vertical="center" wrapText="1"/>
    </xf>
    <xf numFmtId="49" fontId="4" fillId="7" borderId="1" xfId="0" applyNumberFormat="1" applyFont="1" applyFill="1" applyBorder="1" applyAlignment="1">
      <alignment horizontal="center" vertical="center" wrapText="1" shrinkToFit="1"/>
    </xf>
    <xf numFmtId="168" fontId="4" fillId="7" borderId="1" xfId="0" applyNumberFormat="1" applyFont="1" applyFill="1" applyBorder="1" applyAlignment="1">
      <alignment horizontal="center" vertical="center" wrapText="1" shrinkToFit="1"/>
    </xf>
    <xf numFmtId="168" fontId="4" fillId="7"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Fill="1" applyBorder="1" applyAlignment="1">
      <alignment horizontal="center" vertical="center" wrapText="1"/>
    </xf>
    <xf numFmtId="168" fontId="4" fillId="0" borderId="5" xfId="0" applyNumberFormat="1" applyFont="1" applyFill="1" applyBorder="1" applyAlignment="1">
      <alignment horizontal="center" vertical="center" wrapText="1"/>
    </xf>
    <xf numFmtId="0" fontId="5" fillId="3" borderId="0" xfId="0" applyFont="1" applyFill="1" applyAlignment="1">
      <alignment horizontal="right"/>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18" fillId="3" borderId="0" xfId="0" applyFont="1" applyFill="1" applyAlignment="1">
      <alignment horizontal="right"/>
    </xf>
    <xf numFmtId="0" fontId="5" fillId="0" borderId="1" xfId="0" applyFont="1" applyFill="1" applyBorder="1" applyAlignment="1">
      <alignment horizontal="center" vertical="center" wrapText="1"/>
    </xf>
    <xf numFmtId="168" fontId="4" fillId="0" borderId="4" xfId="0"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15" fillId="0" borderId="0" xfId="2" applyFont="1" applyFill="1" applyAlignment="1">
      <alignment horizontal="right"/>
    </xf>
    <xf numFmtId="0" fontId="1" fillId="0" borderId="0" xfId="0" applyFont="1" applyFill="1" applyAlignment="1">
      <alignment horizontal="right"/>
    </xf>
    <xf numFmtId="164" fontId="15" fillId="0" borderId="0" xfId="1" applyFont="1" applyFill="1" applyAlignment="1">
      <alignment horizontal="right"/>
    </xf>
    <xf numFmtId="0" fontId="16" fillId="0" borderId="0" xfId="2" applyFont="1" applyFill="1" applyBorder="1" applyAlignment="1">
      <alignment horizontal="center" vertical="justify" wrapText="1"/>
    </xf>
    <xf numFmtId="0" fontId="1" fillId="0" borderId="0" xfId="0" applyFont="1" applyFill="1" applyAlignment="1">
      <alignment horizontal="center" vertical="justify" wrapText="1"/>
    </xf>
    <xf numFmtId="0" fontId="5" fillId="0" borderId="1" xfId="0" applyFont="1" applyFill="1" applyBorder="1" applyAlignment="1">
      <alignment horizontal="center" vertical="center" wrapText="1"/>
    </xf>
    <xf numFmtId="0" fontId="4" fillId="0" borderId="0" xfId="2" applyFont="1" applyFill="1" applyAlignment="1">
      <alignment horizontal="center" vertical="center" wrapText="1"/>
    </xf>
    <xf numFmtId="0" fontId="5" fillId="0" borderId="0" xfId="0" applyFont="1" applyFill="1" applyAlignment="1">
      <alignment horizontal="right"/>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66" fontId="4" fillId="0" borderId="5" xfId="0" applyNumberFormat="1" applyFont="1" applyFill="1" applyBorder="1" applyAlignment="1">
      <alignment horizontal="center" vertical="center" wrapText="1"/>
    </xf>
    <xf numFmtId="166" fontId="4" fillId="0" borderId="6" xfId="0" applyNumberFormat="1" applyFont="1" applyFill="1" applyBorder="1" applyAlignment="1">
      <alignment horizontal="center" vertical="center" wrapText="1"/>
    </xf>
    <xf numFmtId="168" fontId="4" fillId="0" borderId="5" xfId="0" applyNumberFormat="1" applyFont="1" applyFill="1" applyBorder="1" applyAlignment="1">
      <alignment horizontal="center" vertical="center" wrapText="1"/>
    </xf>
    <xf numFmtId="168" fontId="4" fillId="0" borderId="6"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5" fillId="3" borderId="0" xfId="0" applyFont="1" applyFill="1" applyAlignment="1">
      <alignment horizontal="right"/>
    </xf>
    <xf numFmtId="0" fontId="5" fillId="3" borderId="0" xfId="0" applyFont="1" applyFill="1" applyAlignment="1">
      <alignment horizontal="right" wrapText="1"/>
    </xf>
    <xf numFmtId="0" fontId="4" fillId="3" borderId="1" xfId="0" applyFont="1" applyFill="1" applyBorder="1" applyAlignment="1">
      <alignment horizontal="justify" vertical="center" wrapText="1"/>
    </xf>
    <xf numFmtId="0" fontId="5" fillId="3" borderId="0" xfId="0" applyFont="1" applyFill="1" applyAlignment="1">
      <alignment horizontal="right" vertical="center"/>
    </xf>
    <xf numFmtId="0" fontId="4" fillId="3" borderId="0" xfId="0" applyFont="1" applyFill="1" applyAlignment="1">
      <alignment horizontal="center"/>
    </xf>
    <xf numFmtId="0" fontId="4" fillId="3" borderId="2" xfId="0" applyFont="1" applyFill="1" applyBorder="1" applyAlignment="1">
      <alignment horizontal="left" vertical="top" wrapText="1"/>
    </xf>
    <xf numFmtId="0" fontId="4" fillId="3" borderId="7" xfId="0" applyFont="1" applyFill="1" applyBorder="1" applyAlignment="1">
      <alignment horizontal="left" vertical="top" wrapText="1"/>
    </xf>
    <xf numFmtId="0" fontId="1" fillId="0" borderId="7" xfId="0" applyFont="1" applyBorder="1" applyAlignment="1"/>
    <xf numFmtId="0" fontId="18" fillId="3" borderId="0" xfId="0" applyFont="1" applyFill="1" applyAlignment="1">
      <alignment horizontal="right"/>
    </xf>
    <xf numFmtId="0" fontId="4" fillId="3" borderId="1" xfId="0" applyFont="1" applyFill="1" applyBorder="1" applyAlignment="1">
      <alignment horizontal="left" vertical="center" wrapText="1"/>
    </xf>
    <xf numFmtId="0" fontId="15" fillId="0" borderId="0" xfId="0" applyFont="1" applyAlignment="1">
      <alignment horizontal="right"/>
    </xf>
    <xf numFmtId="0" fontId="0" fillId="0" borderId="0" xfId="0" applyAlignment="1">
      <alignment horizontal="right"/>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4"/>
  <sheetViews>
    <sheetView view="pageBreakPreview" zoomScale="80" zoomScaleNormal="100" zoomScaleSheetLayoutView="80" workbookViewId="0">
      <selection activeCell="H13" sqref="H13"/>
    </sheetView>
  </sheetViews>
  <sheetFormatPr defaultColWidth="8.85546875" defaultRowHeight="15"/>
  <cols>
    <col min="1" max="1" width="26.7109375" style="179" customWidth="1"/>
    <col min="2" max="2" width="35.7109375" style="179" customWidth="1"/>
    <col min="3" max="3" width="20.28515625" style="179" customWidth="1"/>
    <col min="4" max="5" width="19.7109375" style="179" customWidth="1"/>
    <col min="6" max="6" width="13.7109375" style="179" bestFit="1" customWidth="1"/>
    <col min="7" max="7" width="12.42578125" style="179" bestFit="1" customWidth="1"/>
    <col min="8" max="8" width="8.85546875" style="179"/>
    <col min="9" max="9" width="9.140625" style="179" bestFit="1" customWidth="1"/>
    <col min="10" max="10" width="11.7109375" style="179" bestFit="1" customWidth="1"/>
    <col min="11" max="16384" width="8.85546875" style="179"/>
  </cols>
  <sheetData>
    <row r="1" spans="1:7" ht="15.75">
      <c r="A1" s="98"/>
      <c r="B1" s="99"/>
      <c r="C1" s="381" t="s">
        <v>999</v>
      </c>
      <c r="D1" s="381"/>
      <c r="E1" s="382"/>
    </row>
    <row r="2" spans="1:7" ht="15.75">
      <c r="A2" s="98"/>
      <c r="B2" s="381" t="s">
        <v>195</v>
      </c>
      <c r="C2" s="381"/>
      <c r="D2" s="381"/>
      <c r="E2" s="382"/>
    </row>
    <row r="3" spans="1:7" ht="15.75">
      <c r="A3" s="98"/>
      <c r="B3" s="383" t="s">
        <v>196</v>
      </c>
      <c r="C3" s="383"/>
      <c r="D3" s="383"/>
      <c r="E3" s="382"/>
    </row>
    <row r="4" spans="1:7" ht="15.75">
      <c r="A4" s="98"/>
      <c r="B4" s="381" t="s">
        <v>1151</v>
      </c>
      <c r="C4" s="381"/>
      <c r="D4" s="381"/>
      <c r="E4" s="382"/>
    </row>
    <row r="5" spans="1:7" ht="15.75">
      <c r="A5" s="98"/>
      <c r="B5" s="174"/>
      <c r="C5" s="174"/>
    </row>
    <row r="6" spans="1:7" ht="18.75" customHeight="1">
      <c r="A6" s="384" t="s">
        <v>1022</v>
      </c>
      <c r="B6" s="384"/>
      <c r="C6" s="384"/>
      <c r="D6" s="384"/>
      <c r="E6" s="385"/>
    </row>
    <row r="7" spans="1:7" ht="15.75">
      <c r="A7" s="180"/>
      <c r="B7" s="180"/>
      <c r="C7" s="180"/>
    </row>
    <row r="8" spans="1:7" ht="18.75" customHeight="1">
      <c r="A8" s="181"/>
      <c r="B8" s="180"/>
      <c r="C8" s="180"/>
      <c r="D8" s="100"/>
      <c r="E8" s="100" t="s">
        <v>96</v>
      </c>
    </row>
    <row r="9" spans="1:7">
      <c r="A9" s="380" t="s">
        <v>97</v>
      </c>
      <c r="B9" s="380" t="s">
        <v>1000</v>
      </c>
      <c r="C9" s="380" t="s">
        <v>1001</v>
      </c>
      <c r="D9" s="380" t="s">
        <v>1002</v>
      </c>
      <c r="E9" s="380" t="s">
        <v>1026</v>
      </c>
    </row>
    <row r="10" spans="1:7">
      <c r="A10" s="380"/>
      <c r="B10" s="380"/>
      <c r="C10" s="380"/>
      <c r="D10" s="380"/>
      <c r="E10" s="380"/>
    </row>
    <row r="11" spans="1:7" ht="19.5" customHeight="1">
      <c r="A11" s="380"/>
      <c r="B11" s="380"/>
      <c r="C11" s="380"/>
      <c r="D11" s="380"/>
      <c r="E11" s="380"/>
    </row>
    <row r="12" spans="1:7" ht="47.25">
      <c r="A12" s="173" t="s">
        <v>1003</v>
      </c>
      <c r="B12" s="101" t="s">
        <v>1004</v>
      </c>
      <c r="C12" s="102">
        <f>C13+C14</f>
        <v>1766.8633500000001</v>
      </c>
      <c r="D12" s="102">
        <f>D13+D14</f>
        <v>1766.8633500000001</v>
      </c>
      <c r="E12" s="102">
        <f>E13+E14</f>
        <v>420.00000999999975</v>
      </c>
    </row>
    <row r="13" spans="1:7" ht="47.25">
      <c r="A13" s="103" t="s">
        <v>1005</v>
      </c>
      <c r="B13" s="104" t="s">
        <v>1006</v>
      </c>
      <c r="C13" s="105">
        <v>1766.8633500000001</v>
      </c>
      <c r="D13" s="105">
        <f>C13+1766.86335</f>
        <v>3533.7267000000002</v>
      </c>
      <c r="E13" s="105">
        <f>D13+420.00001</f>
        <v>3953.7267099999999</v>
      </c>
    </row>
    <row r="14" spans="1:7" ht="63">
      <c r="A14" s="106" t="s">
        <v>1007</v>
      </c>
      <c r="B14" s="107" t="s">
        <v>1008</v>
      </c>
      <c r="C14" s="105">
        <v>0</v>
      </c>
      <c r="D14" s="105">
        <v>-1766.8633500000001</v>
      </c>
      <c r="E14" s="105">
        <v>-3533.7267000000002</v>
      </c>
      <c r="G14" s="182"/>
    </row>
    <row r="15" spans="1:7" ht="47.25">
      <c r="A15" s="173" t="s">
        <v>1009</v>
      </c>
      <c r="B15" s="101" t="s">
        <v>1010</v>
      </c>
      <c r="C15" s="102">
        <f>C16+C17</f>
        <v>-1766.8633500000001</v>
      </c>
      <c r="D15" s="102">
        <f>D16+D17</f>
        <v>-1766.8633500000001</v>
      </c>
      <c r="E15" s="102">
        <f>E16+E17</f>
        <v>-420.00000999999997</v>
      </c>
    </row>
    <row r="16" spans="1:7" ht="78.75">
      <c r="A16" s="106" t="s">
        <v>1011</v>
      </c>
      <c r="B16" s="108" t="s">
        <v>1012</v>
      </c>
      <c r="C16" s="105">
        <v>0</v>
      </c>
      <c r="D16" s="105">
        <v>0</v>
      </c>
      <c r="E16" s="105">
        <v>0</v>
      </c>
    </row>
    <row r="17" spans="1:10" ht="78.75">
      <c r="A17" s="103" t="s">
        <v>1013</v>
      </c>
      <c r="B17" s="104" t="s">
        <v>1014</v>
      </c>
      <c r="C17" s="105">
        <f>-(926.86335+840)</f>
        <v>-1766.8633500000001</v>
      </c>
      <c r="D17" s="105">
        <f>-(926.86335+840)</f>
        <v>-1766.8633500000001</v>
      </c>
      <c r="E17" s="105">
        <v>-420.00000999999997</v>
      </c>
      <c r="G17" s="182"/>
    </row>
    <row r="18" spans="1:10" ht="31.5">
      <c r="A18" s="173" t="s">
        <v>1015</v>
      </c>
      <c r="B18" s="101" t="s">
        <v>1016</v>
      </c>
      <c r="C18" s="102">
        <f>C19+C20</f>
        <v>37827.082795151277</v>
      </c>
      <c r="D18" s="102">
        <f>D19+D20</f>
        <v>-9.8731834441423416E-7</v>
      </c>
      <c r="E18" s="102">
        <f>E19+E20</f>
        <v>1.248437911272049E-6</v>
      </c>
      <c r="G18" s="182"/>
      <c r="J18" s="182"/>
    </row>
    <row r="19" spans="1:10" ht="47.25">
      <c r="A19" s="103" t="s">
        <v>1017</v>
      </c>
      <c r="B19" s="104" t="s">
        <v>1018</v>
      </c>
      <c r="C19" s="105">
        <f>-('2  '!D103+C13+C16)</f>
        <v>-1042181.14775</v>
      </c>
      <c r="D19" s="105">
        <f>-('2  '!E103+D13+D16)</f>
        <v>-941610.92660000012</v>
      </c>
      <c r="E19" s="105">
        <f>-('2  '!F103+E13+E16)</f>
        <v>-1004404.6310900002</v>
      </c>
      <c r="F19" s="182"/>
      <c r="I19" s="183"/>
    </row>
    <row r="20" spans="1:10" ht="47.25">
      <c r="A20" s="103" t="s">
        <v>1019</v>
      </c>
      <c r="B20" s="104" t="s">
        <v>1020</v>
      </c>
      <c r="C20" s="105">
        <f>'5'!D341-C17-C14</f>
        <v>1080008.2305451513</v>
      </c>
      <c r="D20" s="105">
        <f>'5'!E341-D17-D14</f>
        <v>941610.9265990128</v>
      </c>
      <c r="E20" s="105">
        <f>'5'!F341-E17-E14</f>
        <v>1004404.6310912486</v>
      </c>
      <c r="F20" s="182"/>
      <c r="G20" s="182"/>
    </row>
    <row r="21" spans="1:10" ht="15.75">
      <c r="A21" s="173"/>
      <c r="B21" s="109" t="s">
        <v>1021</v>
      </c>
      <c r="C21" s="102">
        <f>C12+C15+C18</f>
        <v>37827.082795151277</v>
      </c>
      <c r="D21" s="102">
        <f>D12+D15+D18</f>
        <v>-9.8731834441423416E-7</v>
      </c>
      <c r="E21" s="102">
        <f>E12+E15+E18</f>
        <v>1.2484376838983735E-6</v>
      </c>
    </row>
    <row r="22" spans="1:10">
      <c r="C22" s="182"/>
    </row>
    <row r="23" spans="1:10">
      <c r="C23" s="182"/>
      <c r="D23" s="182"/>
    </row>
    <row r="24" spans="1:10">
      <c r="C24" s="182"/>
    </row>
  </sheetData>
  <mergeCells count="10">
    <mergeCell ref="C1:E1"/>
    <mergeCell ref="B2:E2"/>
    <mergeCell ref="B3:E3"/>
    <mergeCell ref="B4:E4"/>
    <mergeCell ref="A6:E6"/>
    <mergeCell ref="A9:A11"/>
    <mergeCell ref="B9:B11"/>
    <mergeCell ref="C9:C11"/>
    <mergeCell ref="D9:D11"/>
    <mergeCell ref="E9:E11"/>
  </mergeCell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G116"/>
  <sheetViews>
    <sheetView view="pageBreakPreview" zoomScale="80" zoomScaleSheetLayoutView="80" workbookViewId="0">
      <selection activeCell="B4" sqref="B4"/>
    </sheetView>
  </sheetViews>
  <sheetFormatPr defaultColWidth="13.28515625" defaultRowHeight="15.75"/>
  <cols>
    <col min="1" max="1" width="25.85546875" style="22" customWidth="1"/>
    <col min="2" max="2" width="87.85546875" style="12" customWidth="1"/>
    <col min="3" max="3" width="16" style="21" hidden="1" customWidth="1"/>
    <col min="4" max="4" width="17.5703125" style="5" customWidth="1"/>
    <col min="5" max="5" width="20.5703125" style="5" customWidth="1"/>
    <col min="6" max="6" width="20" style="12" customWidth="1"/>
    <col min="7" max="9" width="17" style="89" customWidth="1"/>
    <col min="10" max="12" width="14.5703125" style="21" customWidth="1"/>
    <col min="13" max="231" width="8.85546875" style="21" customWidth="1"/>
    <col min="232" max="232" width="24" style="21" customWidth="1"/>
    <col min="233" max="233" width="9.140625" style="21" customWidth="1"/>
    <col min="234" max="234" width="51.5703125" style="21" customWidth="1"/>
    <col min="235" max="236" width="0" style="21" hidden="1" customWidth="1"/>
    <col min="237" max="237" width="16.7109375" style="21" customWidth="1"/>
    <col min="238" max="238" width="0" style="21" hidden="1" customWidth="1"/>
    <col min="239" max="239" width="16.7109375" style="21" customWidth="1"/>
    <col min="240" max="240" width="0" style="21" hidden="1" customWidth="1"/>
    <col min="241" max="16384" width="13.28515625" style="21"/>
  </cols>
  <sheetData>
    <row r="1" spans="1:6">
      <c r="C1" s="360" t="s">
        <v>410</v>
      </c>
      <c r="D1" s="388" t="s">
        <v>892</v>
      </c>
      <c r="E1" s="388"/>
      <c r="F1" s="388"/>
    </row>
    <row r="2" spans="1:6">
      <c r="C2" s="360"/>
      <c r="D2" s="388" t="s">
        <v>960</v>
      </c>
      <c r="E2" s="388"/>
      <c r="F2" s="388"/>
    </row>
    <row r="3" spans="1:6">
      <c r="C3" s="360"/>
      <c r="D3" s="388" t="s">
        <v>196</v>
      </c>
      <c r="E3" s="388"/>
      <c r="F3" s="388"/>
    </row>
    <row r="4" spans="1:6">
      <c r="C4" s="360"/>
      <c r="D4" s="388" t="s">
        <v>1151</v>
      </c>
      <c r="E4" s="388"/>
      <c r="F4" s="388"/>
    </row>
    <row r="5" spans="1:6">
      <c r="C5" s="23"/>
    </row>
    <row r="6" spans="1:6" ht="18.75" customHeight="1">
      <c r="A6" s="387" t="s">
        <v>992</v>
      </c>
      <c r="B6" s="387"/>
      <c r="C6" s="387"/>
      <c r="D6" s="387"/>
      <c r="E6" s="387"/>
      <c r="F6" s="387"/>
    </row>
    <row r="7" spans="1:6">
      <c r="A7" s="92"/>
      <c r="B7" s="93"/>
      <c r="C7" s="94"/>
      <c r="F7" s="114"/>
    </row>
    <row r="8" spans="1:6" ht="15.75" customHeight="1">
      <c r="A8" s="389" t="s">
        <v>97</v>
      </c>
      <c r="B8" s="389" t="s">
        <v>182</v>
      </c>
      <c r="C8" s="391" t="s">
        <v>253</v>
      </c>
      <c r="D8" s="393" t="s">
        <v>520</v>
      </c>
      <c r="E8" s="393" t="s">
        <v>578</v>
      </c>
      <c r="F8" s="393" t="s">
        <v>1027</v>
      </c>
    </row>
    <row r="9" spans="1:6">
      <c r="A9" s="390"/>
      <c r="B9" s="390"/>
      <c r="C9" s="392"/>
      <c r="D9" s="394"/>
      <c r="E9" s="394"/>
      <c r="F9" s="394"/>
    </row>
    <row r="10" spans="1:6">
      <c r="A10" s="345" t="s">
        <v>129</v>
      </c>
      <c r="B10" s="15" t="s">
        <v>130</v>
      </c>
      <c r="C10" s="6">
        <f>C11+C13+C15+C20+C22+C29+C31+C34+C38+C39</f>
        <v>213214.3</v>
      </c>
      <c r="D10" s="6">
        <f>D11+D13+D15+D20+D22+D29+D31+D34+D38+D39</f>
        <v>367228.32201</v>
      </c>
      <c r="E10" s="6">
        <f>E11+E13+E15+E20+E22+E29+E31+E34+E38+E39</f>
        <v>361634</v>
      </c>
      <c r="F10" s="6">
        <f>F11+F13+F15+F20+F22+F29+F31+F34+F38+F39</f>
        <v>387454</v>
      </c>
    </row>
    <row r="11" spans="1:6">
      <c r="A11" s="345" t="s">
        <v>131</v>
      </c>
      <c r="B11" s="15" t="s">
        <v>135</v>
      </c>
      <c r="C11" s="6">
        <f>SUM(C12)</f>
        <v>178061</v>
      </c>
      <c r="D11" s="6">
        <f>SUM(D12)</f>
        <v>296415</v>
      </c>
      <c r="E11" s="6">
        <f>SUM(E12)</f>
        <v>314821</v>
      </c>
      <c r="F11" s="6">
        <f>SUM(F12)</f>
        <v>332106</v>
      </c>
    </row>
    <row r="12" spans="1:6">
      <c r="A12" s="359" t="s">
        <v>193</v>
      </c>
      <c r="B12" s="16" t="s">
        <v>136</v>
      </c>
      <c r="C12" s="7">
        <v>178061</v>
      </c>
      <c r="D12" s="4">
        <v>296415</v>
      </c>
      <c r="E12" s="4">
        <v>314821</v>
      </c>
      <c r="F12" s="4">
        <v>332106</v>
      </c>
    </row>
    <row r="13" spans="1:6" ht="31.5">
      <c r="A13" s="345" t="s">
        <v>217</v>
      </c>
      <c r="B13" s="15" t="s">
        <v>218</v>
      </c>
      <c r="C13" s="6">
        <f>SUM(C14)</f>
        <v>15464</v>
      </c>
      <c r="D13" s="6">
        <f>SUM(D14)</f>
        <v>23547</v>
      </c>
      <c r="E13" s="6">
        <f>SUM(E14)</f>
        <v>24647</v>
      </c>
      <c r="F13" s="6">
        <f>SUM(F14)</f>
        <v>33140</v>
      </c>
    </row>
    <row r="14" spans="1:6" ht="31.5">
      <c r="A14" s="359" t="s">
        <v>215</v>
      </c>
      <c r="B14" s="16" t="s">
        <v>216</v>
      </c>
      <c r="C14" s="7">
        <v>15464</v>
      </c>
      <c r="D14" s="4">
        <v>23547</v>
      </c>
      <c r="E14" s="4">
        <v>24647</v>
      </c>
      <c r="F14" s="4">
        <v>33140</v>
      </c>
    </row>
    <row r="15" spans="1:6">
      <c r="A15" s="345" t="s">
        <v>137</v>
      </c>
      <c r="B15" s="15" t="s">
        <v>139</v>
      </c>
      <c r="C15" s="6">
        <f>SUM(C16:C19)</f>
        <v>1576.4</v>
      </c>
      <c r="D15" s="6">
        <f>SUM(D16:D19)</f>
        <v>4851</v>
      </c>
      <c r="E15" s="6">
        <f>SUM(E16:E19)</f>
        <v>4995</v>
      </c>
      <c r="F15" s="6">
        <f>SUM(F16:F19)</f>
        <v>4891</v>
      </c>
    </row>
    <row r="16" spans="1:6">
      <c r="A16" s="359" t="s">
        <v>961</v>
      </c>
      <c r="B16" s="16" t="s">
        <v>328</v>
      </c>
      <c r="C16" s="7">
        <v>293.39999999999998</v>
      </c>
      <c r="D16" s="7">
        <v>648</v>
      </c>
      <c r="E16" s="7">
        <v>648</v>
      </c>
      <c r="F16" s="4">
        <v>670</v>
      </c>
    </row>
    <row r="17" spans="1:6">
      <c r="A17" s="359" t="s">
        <v>962</v>
      </c>
      <c r="B17" s="16" t="s">
        <v>963</v>
      </c>
      <c r="C17" s="7"/>
      <c r="D17" s="7">
        <v>0</v>
      </c>
      <c r="E17" s="7">
        <v>0</v>
      </c>
      <c r="F17" s="4">
        <v>0</v>
      </c>
    </row>
    <row r="18" spans="1:6">
      <c r="A18" s="359" t="s">
        <v>204</v>
      </c>
      <c r="B18" s="16" t="s">
        <v>140</v>
      </c>
      <c r="C18" s="7">
        <v>1213</v>
      </c>
      <c r="D18" s="4">
        <v>494</v>
      </c>
      <c r="E18" s="4">
        <v>509</v>
      </c>
      <c r="F18" s="4">
        <v>525</v>
      </c>
    </row>
    <row r="19" spans="1:6" ht="31.5">
      <c r="A19" s="359" t="s">
        <v>219</v>
      </c>
      <c r="B19" s="16" t="s">
        <v>220</v>
      </c>
      <c r="C19" s="7">
        <v>70</v>
      </c>
      <c r="D19" s="4">
        <v>3709</v>
      </c>
      <c r="E19" s="4">
        <v>3838</v>
      </c>
      <c r="F19" s="4">
        <v>3696</v>
      </c>
    </row>
    <row r="20" spans="1:6">
      <c r="A20" s="345" t="s">
        <v>141</v>
      </c>
      <c r="B20" s="15" t="s">
        <v>142</v>
      </c>
      <c r="C20" s="6">
        <f>SUM(C21:C21)</f>
        <v>3052</v>
      </c>
      <c r="D20" s="6">
        <f>SUM(D21:D21)</f>
        <v>3030</v>
      </c>
      <c r="E20" s="6">
        <f>SUM(E21:E21)</f>
        <v>3000</v>
      </c>
      <c r="F20" s="6">
        <f>SUM(F21:F21)</f>
        <v>3000</v>
      </c>
    </row>
    <row r="21" spans="1:6" ht="31.5">
      <c r="A21" s="359" t="s">
        <v>221</v>
      </c>
      <c r="B21" s="16" t="s">
        <v>521</v>
      </c>
      <c r="C21" s="7">
        <v>3052</v>
      </c>
      <c r="D21" s="4">
        <f>2545+220+265</f>
        <v>3030</v>
      </c>
      <c r="E21" s="4">
        <v>3000</v>
      </c>
      <c r="F21" s="4">
        <v>3000</v>
      </c>
    </row>
    <row r="22" spans="1:6" ht="31.5">
      <c r="A22" s="345" t="s">
        <v>143</v>
      </c>
      <c r="B22" s="15" t="s">
        <v>205</v>
      </c>
      <c r="C22" s="6">
        <f>SUM(C23:C27)</f>
        <v>13196.900000000001</v>
      </c>
      <c r="D22" s="6">
        <f>SUM(D23:D28)</f>
        <v>13669.95</v>
      </c>
      <c r="E22" s="6">
        <f>SUM(E23:E27)</f>
        <v>9711</v>
      </c>
      <c r="F22" s="6">
        <f>SUM(F23:F27)</f>
        <v>9817</v>
      </c>
    </row>
    <row r="23" spans="1:6" ht="78.75">
      <c r="A23" s="359" t="s">
        <v>0</v>
      </c>
      <c r="B23" s="16" t="s">
        <v>236</v>
      </c>
      <c r="C23" s="7">
        <v>2267.1</v>
      </c>
      <c r="D23" s="4">
        <v>1620</v>
      </c>
      <c r="E23" s="4">
        <v>1620</v>
      </c>
      <c r="F23" s="4">
        <v>1620</v>
      </c>
    </row>
    <row r="24" spans="1:6" ht="63" customHeight="1">
      <c r="A24" s="359" t="s">
        <v>121</v>
      </c>
      <c r="B24" s="16" t="s">
        <v>452</v>
      </c>
      <c r="C24" s="7">
        <v>7300</v>
      </c>
      <c r="D24" s="4">
        <v>5250</v>
      </c>
      <c r="E24" s="4">
        <v>5250</v>
      </c>
      <c r="F24" s="4">
        <v>5250</v>
      </c>
    </row>
    <row r="25" spans="1:6" ht="63">
      <c r="A25" s="359" t="s">
        <v>171</v>
      </c>
      <c r="B25" s="16" t="s">
        <v>124</v>
      </c>
      <c r="C25" s="7">
        <v>116</v>
      </c>
      <c r="D25" s="4">
        <f>157+175</f>
        <v>332</v>
      </c>
      <c r="E25" s="4">
        <v>157</v>
      </c>
      <c r="F25" s="4">
        <v>157</v>
      </c>
    </row>
    <row r="26" spans="1:6" ht="47.25">
      <c r="A26" s="359" t="s">
        <v>108</v>
      </c>
      <c r="B26" s="16" t="s">
        <v>206</v>
      </c>
      <c r="C26" s="7">
        <v>3203.8</v>
      </c>
      <c r="D26" s="4">
        <v>41</v>
      </c>
      <c r="E26" s="4">
        <v>42</v>
      </c>
      <c r="F26" s="4">
        <v>43</v>
      </c>
    </row>
    <row r="27" spans="1:6" ht="31.5">
      <c r="A27" s="359" t="s">
        <v>176</v>
      </c>
      <c r="B27" s="16" t="s">
        <v>177</v>
      </c>
      <c r="C27" s="7">
        <v>310</v>
      </c>
      <c r="D27" s="4">
        <f>2501+2942+517.95</f>
        <v>5960.95</v>
      </c>
      <c r="E27" s="4">
        <v>2642</v>
      </c>
      <c r="F27" s="4">
        <v>2747</v>
      </c>
    </row>
    <row r="28" spans="1:6" ht="78.75">
      <c r="A28" s="359" t="s">
        <v>1084</v>
      </c>
      <c r="B28" s="16" t="s">
        <v>1085</v>
      </c>
      <c r="C28" s="7"/>
      <c r="D28" s="4">
        <v>466</v>
      </c>
      <c r="E28" s="4">
        <v>424</v>
      </c>
      <c r="F28" s="4">
        <v>424</v>
      </c>
    </row>
    <row r="29" spans="1:6">
      <c r="A29" s="345" t="s">
        <v>144</v>
      </c>
      <c r="B29" s="15" t="s">
        <v>145</v>
      </c>
      <c r="C29" s="6">
        <f>SUM(C30)</f>
        <v>475</v>
      </c>
      <c r="D29" s="6">
        <f>SUM(D30)</f>
        <v>830</v>
      </c>
      <c r="E29" s="6">
        <f>SUM(E30)</f>
        <v>830</v>
      </c>
      <c r="F29" s="6">
        <f>SUM(F30)</f>
        <v>830</v>
      </c>
    </row>
    <row r="30" spans="1:6" ht="22.5" customHeight="1">
      <c r="A30" s="359" t="s">
        <v>194</v>
      </c>
      <c r="B30" s="16" t="s">
        <v>146</v>
      </c>
      <c r="C30" s="7">
        <v>475</v>
      </c>
      <c r="D30" s="4">
        <v>830</v>
      </c>
      <c r="E30" s="4">
        <v>830</v>
      </c>
      <c r="F30" s="4">
        <v>830</v>
      </c>
    </row>
    <row r="31" spans="1:6" ht="34.5" customHeight="1">
      <c r="A31" s="345" t="s">
        <v>147</v>
      </c>
      <c r="B31" s="15" t="s">
        <v>148</v>
      </c>
      <c r="C31" s="6">
        <f>SUM(C33:C33)</f>
        <v>1139</v>
      </c>
      <c r="D31" s="6">
        <f>D33+D32</f>
        <v>998</v>
      </c>
      <c r="E31" s="6">
        <f>E33+E32</f>
        <v>1038</v>
      </c>
      <c r="F31" s="6">
        <f>F33+F32</f>
        <v>1078</v>
      </c>
    </row>
    <row r="32" spans="1:6" ht="34.5" customHeight="1">
      <c r="A32" s="359" t="s">
        <v>564</v>
      </c>
      <c r="B32" s="16" t="s">
        <v>565</v>
      </c>
      <c r="C32" s="7">
        <v>1139</v>
      </c>
      <c r="D32" s="4">
        <v>998</v>
      </c>
      <c r="E32" s="4">
        <v>1038</v>
      </c>
      <c r="F32" s="4">
        <v>1078</v>
      </c>
    </row>
    <row r="33" spans="1:12" hidden="1">
      <c r="A33" s="359" t="s">
        <v>207</v>
      </c>
      <c r="B33" s="16" t="s">
        <v>208</v>
      </c>
      <c r="C33" s="7">
        <v>1139</v>
      </c>
      <c r="D33" s="4"/>
      <c r="E33" s="4"/>
      <c r="F33" s="4"/>
    </row>
    <row r="34" spans="1:12" ht="31.5">
      <c r="A34" s="345" t="s">
        <v>149</v>
      </c>
      <c r="B34" s="15" t="s">
        <v>150</v>
      </c>
      <c r="C34" s="6">
        <f>SUM(C35:C37)</f>
        <v>250</v>
      </c>
      <c r="D34" s="6">
        <f>SUM(D35:D37)</f>
        <v>22037.372009999999</v>
      </c>
      <c r="E34" s="6">
        <f>SUM(E35:E37)</f>
        <v>300</v>
      </c>
      <c r="F34" s="6">
        <f>SUM(F35:F37)</f>
        <v>300</v>
      </c>
    </row>
    <row r="35" spans="1:12" ht="66.75" customHeight="1">
      <c r="A35" s="359" t="s">
        <v>209</v>
      </c>
      <c r="B35" s="16" t="s">
        <v>213</v>
      </c>
      <c r="C35" s="7">
        <v>0</v>
      </c>
      <c r="D35" s="4">
        <f>17160.93267+4341.96734</f>
        <v>21502.900009999998</v>
      </c>
      <c r="E35" s="4">
        <v>0</v>
      </c>
      <c r="F35" s="4">
        <v>0</v>
      </c>
    </row>
    <row r="36" spans="1:12" ht="47.25" hidden="1">
      <c r="A36" s="359" t="s">
        <v>986</v>
      </c>
      <c r="B36" s="16" t="s">
        <v>987</v>
      </c>
      <c r="C36" s="7"/>
      <c r="D36" s="4"/>
      <c r="E36" s="4"/>
      <c r="F36" s="4"/>
    </row>
    <row r="37" spans="1:12" ht="38.25" customHeight="1">
      <c r="A37" s="359" t="s">
        <v>243</v>
      </c>
      <c r="B37" s="16" t="s">
        <v>244</v>
      </c>
      <c r="C37" s="7">
        <v>250</v>
      </c>
      <c r="D37" s="4">
        <f>300+234.416+0.056</f>
        <v>534.47199999999998</v>
      </c>
      <c r="E37" s="4">
        <v>300</v>
      </c>
      <c r="F37" s="4">
        <v>300</v>
      </c>
    </row>
    <row r="38" spans="1:12">
      <c r="A38" s="345" t="s">
        <v>151</v>
      </c>
      <c r="B38" s="15" t="s">
        <v>152</v>
      </c>
      <c r="C38" s="6">
        <v>0</v>
      </c>
      <c r="D38" s="8">
        <f>1170+600+80</f>
        <v>1850</v>
      </c>
      <c r="E38" s="8">
        <v>1850</v>
      </c>
      <c r="F38" s="8">
        <v>1850</v>
      </c>
    </row>
    <row r="39" spans="1:12">
      <c r="A39" s="345" t="s">
        <v>172</v>
      </c>
      <c r="B39" s="15" t="s">
        <v>173</v>
      </c>
      <c r="C39" s="6">
        <f>SUM(C40)</f>
        <v>0</v>
      </c>
      <c r="D39" s="6">
        <f>SUM(D40)</f>
        <v>0</v>
      </c>
      <c r="E39" s="6">
        <v>442</v>
      </c>
      <c r="F39" s="6">
        <v>442</v>
      </c>
    </row>
    <row r="40" spans="1:12" hidden="1">
      <c r="A40" s="359"/>
      <c r="B40" s="16"/>
      <c r="C40" s="7"/>
      <c r="D40" s="7"/>
      <c r="E40" s="7"/>
      <c r="F40" s="7"/>
    </row>
    <row r="41" spans="1:12">
      <c r="A41" s="345" t="s">
        <v>153</v>
      </c>
      <c r="B41" s="15" t="s">
        <v>333</v>
      </c>
      <c r="C41" s="6" t="e">
        <f>C42</f>
        <v>#REF!</v>
      </c>
      <c r="D41" s="6">
        <f>D42</f>
        <v>673185.96239</v>
      </c>
      <c r="E41" s="6">
        <f>E42</f>
        <v>576443.19990000012</v>
      </c>
      <c r="F41" s="6">
        <f>F42</f>
        <v>612996.9043800002</v>
      </c>
    </row>
    <row r="42" spans="1:12" ht="31.5">
      <c r="A42" s="359" t="s">
        <v>154</v>
      </c>
      <c r="B42" s="16" t="s">
        <v>334</v>
      </c>
      <c r="C42" s="6" t="e">
        <f>C43+C46+C72+#REF!</f>
        <v>#REF!</v>
      </c>
      <c r="D42" s="6">
        <f>D43+D46+D72+D97</f>
        <v>673185.96239</v>
      </c>
      <c r="E42" s="6">
        <f>E43+E46+E72+E97</f>
        <v>576443.19990000012</v>
      </c>
      <c r="F42" s="6">
        <f>F43+F46+F72+F97</f>
        <v>612996.9043800002</v>
      </c>
      <c r="G42" s="172"/>
      <c r="H42" s="172"/>
      <c r="I42" s="172"/>
      <c r="J42" s="89"/>
      <c r="K42" s="89"/>
      <c r="L42" s="89"/>
    </row>
    <row r="43" spans="1:12">
      <c r="A43" s="345" t="s">
        <v>322</v>
      </c>
      <c r="B43" s="15" t="s">
        <v>155</v>
      </c>
      <c r="C43" s="6">
        <f>C44+C45</f>
        <v>0</v>
      </c>
      <c r="D43" s="8">
        <f>D44+D45</f>
        <v>140366.52100000001</v>
      </c>
      <c r="E43" s="8">
        <f>E44+E45</f>
        <v>67696.650999999998</v>
      </c>
      <c r="F43" s="8">
        <f>F44+F45</f>
        <v>67696.650999999998</v>
      </c>
    </row>
    <row r="44" spans="1:12" ht="31.5">
      <c r="A44" s="359" t="s">
        <v>329</v>
      </c>
      <c r="B44" s="16" t="s">
        <v>109</v>
      </c>
      <c r="C44" s="7"/>
      <c r="D44" s="4">
        <v>140366.52100000001</v>
      </c>
      <c r="E44" s="4">
        <v>67696.650999999998</v>
      </c>
      <c r="F44" s="4">
        <v>67696.650999999998</v>
      </c>
    </row>
    <row r="45" spans="1:12" ht="31.5">
      <c r="A45" s="359" t="s">
        <v>277</v>
      </c>
      <c r="B45" s="16" t="s">
        <v>180</v>
      </c>
      <c r="C45" s="7"/>
      <c r="D45" s="4">
        <v>0</v>
      </c>
      <c r="E45" s="4">
        <v>0</v>
      </c>
      <c r="F45" s="4">
        <v>0</v>
      </c>
    </row>
    <row r="46" spans="1:12" ht="31.5">
      <c r="A46" s="345" t="s">
        <v>453</v>
      </c>
      <c r="B46" s="15" t="s">
        <v>138</v>
      </c>
      <c r="C46" s="6" t="e">
        <f>C58+#REF!</f>
        <v>#REF!</v>
      </c>
      <c r="D46" s="8">
        <f>D48+D51+D55+D57+D58+D56</f>
        <v>66396.887180000005</v>
      </c>
      <c r="E46" s="8">
        <f t="shared" ref="E46:F46" si="0">E48+E51+E55+E57+E58+E56</f>
        <v>2500.80393</v>
      </c>
      <c r="F46" s="8">
        <f t="shared" si="0"/>
        <v>9064.9810600000001</v>
      </c>
      <c r="G46" s="172"/>
      <c r="H46" s="172"/>
      <c r="I46" s="172"/>
      <c r="J46" s="89"/>
      <c r="K46" s="89"/>
      <c r="L46" s="89"/>
    </row>
    <row r="47" spans="1:12" ht="47.25" hidden="1">
      <c r="A47" s="359" t="s">
        <v>524</v>
      </c>
      <c r="B47" s="16" t="s">
        <v>934</v>
      </c>
      <c r="C47" s="7"/>
      <c r="D47" s="4"/>
      <c r="E47" s="4"/>
      <c r="F47" s="4"/>
    </row>
    <row r="48" spans="1:12" ht="66" customHeight="1">
      <c r="A48" s="359" t="s">
        <v>581</v>
      </c>
      <c r="B48" s="16" t="s">
        <v>1060</v>
      </c>
      <c r="C48" s="7"/>
      <c r="D48" s="4">
        <v>3025.4287199999999</v>
      </c>
      <c r="E48" s="4">
        <v>0</v>
      </c>
      <c r="F48" s="4">
        <v>6118.08878</v>
      </c>
    </row>
    <row r="49" spans="1:6" ht="47.25" hidden="1">
      <c r="A49" s="359" t="s">
        <v>581</v>
      </c>
      <c r="B49" s="16" t="s">
        <v>911</v>
      </c>
      <c r="C49" s="7"/>
      <c r="D49" s="4"/>
      <c r="E49" s="4"/>
      <c r="F49" s="4"/>
    </row>
    <row r="50" spans="1:6" ht="54" hidden="1" customHeight="1">
      <c r="A50" s="359" t="s">
        <v>912</v>
      </c>
      <c r="B50" s="339" t="s">
        <v>914</v>
      </c>
      <c r="C50" s="7"/>
      <c r="D50" s="4"/>
      <c r="E50" s="4"/>
      <c r="F50" s="4"/>
    </row>
    <row r="51" spans="1:6" ht="35.25" customHeight="1">
      <c r="A51" s="359" t="s">
        <v>579</v>
      </c>
      <c r="B51" s="16" t="s">
        <v>580</v>
      </c>
      <c r="C51" s="7"/>
      <c r="D51" s="4">
        <f>3710.85187-2692.71333</f>
        <v>1018.1385399999999</v>
      </c>
      <c r="E51" s="4">
        <f>2111.5735-778.77457</f>
        <v>1332.7989299999999</v>
      </c>
      <c r="F51" s="4">
        <f>2881.22063-1102.33335</f>
        <v>1778.8872799999997</v>
      </c>
    </row>
    <row r="52" spans="1:6" ht="63" hidden="1">
      <c r="A52" s="359" t="s">
        <v>581</v>
      </c>
      <c r="B52" s="16" t="s">
        <v>582</v>
      </c>
      <c r="C52" s="7"/>
      <c r="D52" s="4"/>
      <c r="E52" s="4"/>
      <c r="F52" s="4"/>
    </row>
    <row r="53" spans="1:6" ht="31.5" hidden="1" customHeight="1">
      <c r="A53" s="359"/>
      <c r="B53" s="16" t="s">
        <v>583</v>
      </c>
      <c r="C53" s="7"/>
      <c r="D53" s="4"/>
      <c r="E53" s="4"/>
      <c r="F53" s="4"/>
    </row>
    <row r="54" spans="1:6" ht="47.25" hidden="1" customHeight="1">
      <c r="A54" s="359"/>
      <c r="B54" s="16" t="s">
        <v>584</v>
      </c>
      <c r="C54" s="7"/>
      <c r="D54" s="4"/>
      <c r="E54" s="4"/>
      <c r="F54" s="4"/>
    </row>
    <row r="55" spans="1:6" ht="98.25" customHeight="1">
      <c r="A55" s="359" t="s">
        <v>921</v>
      </c>
      <c r="B55" s="16" t="s">
        <v>1096</v>
      </c>
      <c r="C55" s="7"/>
      <c r="D55" s="4">
        <f>4148.65854+0.01616</f>
        <v>4148.6747000000005</v>
      </c>
      <c r="E55" s="4">
        <f>68598.76543-68598.76543</f>
        <v>0</v>
      </c>
      <c r="F55" s="4">
        <v>0</v>
      </c>
    </row>
    <row r="56" spans="1:6" ht="47.25" customHeight="1">
      <c r="A56" s="122" t="s">
        <v>996</v>
      </c>
      <c r="B56" s="386" t="s">
        <v>997</v>
      </c>
      <c r="C56" s="386"/>
      <c r="D56" s="4">
        <f>2025.57634-24.40453</f>
        <v>2001.1718100000001</v>
      </c>
      <c r="E56" s="4">
        <f>1761.51234-1761.51234</f>
        <v>0</v>
      </c>
      <c r="F56" s="4">
        <f>1761.51234-1761.51234</f>
        <v>0</v>
      </c>
    </row>
    <row r="57" spans="1:6" ht="37.5" customHeight="1">
      <c r="A57" s="359" t="s">
        <v>965</v>
      </c>
      <c r="B57" s="16" t="s">
        <v>966</v>
      </c>
      <c r="C57" s="7"/>
      <c r="D57" s="4">
        <f>1729.58049+5689.37884</f>
        <v>7418.9593300000006</v>
      </c>
      <c r="E57" s="4">
        <f>1750.93333-1750.93333</f>
        <v>0</v>
      </c>
      <c r="F57" s="4">
        <f>1750.93333-1750.93333</f>
        <v>0</v>
      </c>
    </row>
    <row r="58" spans="1:6">
      <c r="A58" s="9" t="s">
        <v>323</v>
      </c>
      <c r="B58" s="17" t="s">
        <v>181</v>
      </c>
      <c r="C58" s="10" t="e">
        <f>#REF!</f>
        <v>#REF!</v>
      </c>
      <c r="D58" s="11">
        <f>SUM(D59:D71)</f>
        <v>48784.514080000001</v>
      </c>
      <c r="E58" s="11">
        <f>SUM(E60:E71)</f>
        <v>1168.0050000000001</v>
      </c>
      <c r="F58" s="11">
        <f>SUM(F60:F71)</f>
        <v>1168.0050000000001</v>
      </c>
    </row>
    <row r="59" spans="1:6" ht="80.25" hidden="1" customHeight="1">
      <c r="A59" s="359" t="s">
        <v>323</v>
      </c>
      <c r="B59" s="16" t="s">
        <v>964</v>
      </c>
      <c r="C59" s="10"/>
      <c r="D59" s="4"/>
      <c r="E59" s="4"/>
      <c r="F59" s="4"/>
    </row>
    <row r="60" spans="1:6" ht="47.25">
      <c r="A60" s="359" t="s">
        <v>323</v>
      </c>
      <c r="B60" s="16" t="s">
        <v>491</v>
      </c>
      <c r="C60" s="10"/>
      <c r="D60" s="4">
        <v>2970</v>
      </c>
      <c r="E60" s="4">
        <v>0</v>
      </c>
      <c r="F60" s="4">
        <v>0</v>
      </c>
    </row>
    <row r="61" spans="1:6" ht="47.25">
      <c r="A61" s="359" t="s">
        <v>323</v>
      </c>
      <c r="B61" s="16" t="s">
        <v>931</v>
      </c>
      <c r="C61" s="10"/>
      <c r="D61" s="4">
        <v>1500</v>
      </c>
      <c r="E61" s="4">
        <v>0</v>
      </c>
      <c r="F61" s="4">
        <v>0</v>
      </c>
    </row>
    <row r="62" spans="1:6" ht="47.25">
      <c r="A62" s="359" t="s">
        <v>323</v>
      </c>
      <c r="B62" s="16" t="s">
        <v>893</v>
      </c>
      <c r="C62" s="10"/>
      <c r="D62" s="4">
        <v>33170.544000000002</v>
      </c>
      <c r="E62" s="4">
        <v>0</v>
      </c>
      <c r="F62" s="4">
        <v>0</v>
      </c>
    </row>
    <row r="63" spans="1:6" ht="37.9" hidden="1" customHeight="1">
      <c r="A63" s="359" t="s">
        <v>323</v>
      </c>
      <c r="B63" s="16" t="s">
        <v>948</v>
      </c>
      <c r="C63" s="10"/>
      <c r="D63" s="4"/>
      <c r="E63" s="4"/>
      <c r="F63" s="4"/>
    </row>
    <row r="64" spans="1:6" ht="47.25">
      <c r="A64" s="359" t="s">
        <v>323</v>
      </c>
      <c r="B64" s="16" t="s">
        <v>584</v>
      </c>
      <c r="C64" s="10"/>
      <c r="D64" s="4">
        <v>8404.0649799999992</v>
      </c>
      <c r="E64" s="4">
        <v>0</v>
      </c>
      <c r="F64" s="4">
        <v>0</v>
      </c>
    </row>
    <row r="65" spans="1:12" ht="37.5" customHeight="1">
      <c r="A65" s="359" t="s">
        <v>323</v>
      </c>
      <c r="B65" s="386" t="s">
        <v>993</v>
      </c>
      <c r="C65" s="386"/>
      <c r="D65" s="4">
        <v>115.08951</v>
      </c>
      <c r="E65" s="4">
        <v>0</v>
      </c>
      <c r="F65" s="4">
        <v>0</v>
      </c>
    </row>
    <row r="66" spans="1:12" ht="43.5" hidden="1" customHeight="1">
      <c r="A66" s="359"/>
      <c r="B66" s="16"/>
      <c r="C66" s="7"/>
      <c r="D66" s="4"/>
      <c r="E66" s="4"/>
      <c r="F66" s="4"/>
    </row>
    <row r="67" spans="1:12" ht="55.5" customHeight="1">
      <c r="A67" s="359" t="s">
        <v>323</v>
      </c>
      <c r="B67" s="16" t="s">
        <v>522</v>
      </c>
      <c r="C67" s="7"/>
      <c r="D67" s="4">
        <v>1000</v>
      </c>
      <c r="E67" s="4">
        <v>1000</v>
      </c>
      <c r="F67" s="4">
        <v>1000</v>
      </c>
    </row>
    <row r="68" spans="1:12" ht="50.25" customHeight="1">
      <c r="A68" s="359" t="s">
        <v>323</v>
      </c>
      <c r="B68" s="16" t="s">
        <v>523</v>
      </c>
      <c r="C68" s="7"/>
      <c r="D68" s="4">
        <v>168.005</v>
      </c>
      <c r="E68" s="4">
        <v>168.005</v>
      </c>
      <c r="F68" s="4">
        <v>168.005</v>
      </c>
    </row>
    <row r="69" spans="1:12" ht="33" customHeight="1">
      <c r="A69" s="359" t="s">
        <v>323</v>
      </c>
      <c r="B69" s="16" t="s">
        <v>586</v>
      </c>
      <c r="C69" s="7"/>
      <c r="D69" s="4">
        <v>1456.81059</v>
      </c>
      <c r="E69" s="4">
        <v>0</v>
      </c>
      <c r="F69" s="4">
        <v>0</v>
      </c>
    </row>
    <row r="70" spans="1:12" ht="45" hidden="1" customHeight="1">
      <c r="A70" s="359" t="s">
        <v>323</v>
      </c>
      <c r="B70" s="386" t="s">
        <v>913</v>
      </c>
      <c r="C70" s="386"/>
      <c r="D70" s="4"/>
      <c r="E70" s="4"/>
      <c r="F70" s="4"/>
    </row>
    <row r="71" spans="1:12" ht="49.5" hidden="1" customHeight="1">
      <c r="A71" s="359" t="s">
        <v>323</v>
      </c>
      <c r="B71" s="16" t="s">
        <v>454</v>
      </c>
      <c r="C71" s="7"/>
      <c r="D71" s="4">
        <f>2811.6-2811.6</f>
        <v>0</v>
      </c>
      <c r="E71" s="4">
        <v>0</v>
      </c>
      <c r="F71" s="4">
        <v>0</v>
      </c>
    </row>
    <row r="72" spans="1:12" ht="40.5" customHeight="1">
      <c r="A72" s="345" t="s">
        <v>276</v>
      </c>
      <c r="B72" s="15" t="s">
        <v>190</v>
      </c>
      <c r="C72" s="6" t="e">
        <f>C91+#REF!+C89+C73+#REF!</f>
        <v>#REF!</v>
      </c>
      <c r="D72" s="6">
        <f>D73+D95</f>
        <v>428094.43190000003</v>
      </c>
      <c r="E72" s="6">
        <f>E73+E95</f>
        <v>469088.3989700001</v>
      </c>
      <c r="F72" s="6">
        <f>F73+F95</f>
        <v>498819.98779000016</v>
      </c>
    </row>
    <row r="73" spans="1:12" ht="39.75" customHeight="1">
      <c r="A73" s="9" t="s">
        <v>279</v>
      </c>
      <c r="B73" s="17" t="s">
        <v>128</v>
      </c>
      <c r="C73" s="10" t="e">
        <f>#REF!+C90+#REF!+C75+C77+C78+#REF!+C81+C82+C83+C74+C85+C79+#REF!</f>
        <v>#REF!</v>
      </c>
      <c r="D73" s="10">
        <f>SUM(D74:D92)</f>
        <v>427632.98690000002</v>
      </c>
      <c r="E73" s="10">
        <f>SUM(E74:E92)</f>
        <v>468606.78897000011</v>
      </c>
      <c r="F73" s="10">
        <f>SUM(F74:F92)</f>
        <v>498319.11379000015</v>
      </c>
      <c r="G73" s="172"/>
      <c r="H73" s="172"/>
      <c r="I73" s="172"/>
      <c r="J73" s="89"/>
      <c r="K73" s="89"/>
      <c r="L73" s="89"/>
    </row>
    <row r="74" spans="1:12" ht="52.5" customHeight="1">
      <c r="A74" s="359" t="s">
        <v>279</v>
      </c>
      <c r="B74" s="16" t="s">
        <v>325</v>
      </c>
      <c r="C74" s="7">
        <v>2375</v>
      </c>
      <c r="D74" s="4">
        <v>530</v>
      </c>
      <c r="E74" s="4">
        <v>0</v>
      </c>
      <c r="F74" s="4">
        <v>0</v>
      </c>
    </row>
    <row r="75" spans="1:12" ht="63">
      <c r="A75" s="359" t="s">
        <v>279</v>
      </c>
      <c r="B75" s="16" t="s">
        <v>526</v>
      </c>
      <c r="C75" s="7">
        <v>48045.527999999998</v>
      </c>
      <c r="D75" s="4">
        <f>55537.088-2795.422</f>
        <v>52741.666000000005</v>
      </c>
      <c r="E75" s="4">
        <f>62674.21-4427.196</f>
        <v>58247.013999999996</v>
      </c>
      <c r="F75" s="4">
        <f>68341.114-5812.06</f>
        <v>62529.054000000004</v>
      </c>
    </row>
    <row r="76" spans="1:12" ht="70.5" customHeight="1">
      <c r="A76" s="359" t="s">
        <v>279</v>
      </c>
      <c r="B76" s="16" t="s">
        <v>527</v>
      </c>
      <c r="C76" s="7"/>
      <c r="D76" s="4">
        <f>284320.005-10861.342</f>
        <v>273458.663</v>
      </c>
      <c r="E76" s="4">
        <f>321750.134-19045.621</f>
        <v>302704.51300000004</v>
      </c>
      <c r="F76" s="4">
        <f>351378.465-25999.921</f>
        <v>325378.54400000005</v>
      </c>
    </row>
    <row r="77" spans="1:12" ht="47.25">
      <c r="A77" s="359" t="s">
        <v>279</v>
      </c>
      <c r="B77" s="16" t="s">
        <v>587</v>
      </c>
      <c r="C77" s="7">
        <v>3064.058</v>
      </c>
      <c r="D77" s="4">
        <v>4447.0524999999998</v>
      </c>
      <c r="E77" s="4">
        <v>6112.8</v>
      </c>
      <c r="F77" s="4">
        <v>6112.8</v>
      </c>
    </row>
    <row r="78" spans="1:12" ht="47.25" customHeight="1">
      <c r="A78" s="359" t="s">
        <v>279</v>
      </c>
      <c r="B78" s="16" t="s">
        <v>211</v>
      </c>
      <c r="C78" s="7">
        <v>768.47400000000005</v>
      </c>
      <c r="D78" s="4">
        <f>1111.581+1.347</f>
        <v>1112.9279999999999</v>
      </c>
      <c r="E78" s="4">
        <f>1153.444+5.278</f>
        <v>1158.722</v>
      </c>
      <c r="F78" s="4">
        <f>1196.982+5.489</f>
        <v>1202.471</v>
      </c>
    </row>
    <row r="79" spans="1:12" ht="47.25">
      <c r="A79" s="359" t="s">
        <v>324</v>
      </c>
      <c r="B79" s="16" t="s">
        <v>457</v>
      </c>
      <c r="C79" s="7">
        <v>1804.088</v>
      </c>
      <c r="D79" s="4">
        <f>2607.137+3.153</f>
        <v>2610.29</v>
      </c>
      <c r="E79" s="4">
        <f>2705.118+12.355</f>
        <v>2717.473</v>
      </c>
      <c r="F79" s="4">
        <f>2807.019+12.849</f>
        <v>2819.8679999999999</v>
      </c>
    </row>
    <row r="80" spans="1:12" ht="63">
      <c r="A80" s="359" t="s">
        <v>279</v>
      </c>
      <c r="B80" s="16" t="s">
        <v>588</v>
      </c>
      <c r="C80" s="7">
        <f>13848.602</f>
        <v>13848.602000000001</v>
      </c>
      <c r="D80" s="4">
        <v>12556.2</v>
      </c>
      <c r="E80" s="4">
        <v>12556.2</v>
      </c>
      <c r="F80" s="4">
        <v>12556.2</v>
      </c>
    </row>
    <row r="81" spans="1:12" ht="47.25">
      <c r="A81" s="359" t="s">
        <v>279</v>
      </c>
      <c r="B81" s="16" t="s">
        <v>458</v>
      </c>
      <c r="C81" s="7">
        <v>11501.933999999999</v>
      </c>
      <c r="D81" s="4">
        <v>10840.454</v>
      </c>
      <c r="E81" s="4">
        <v>10840.454</v>
      </c>
      <c r="F81" s="4">
        <v>10840.454</v>
      </c>
    </row>
    <row r="82" spans="1:12" ht="47.25">
      <c r="A82" s="359" t="s">
        <v>279</v>
      </c>
      <c r="B82" s="16" t="s">
        <v>459</v>
      </c>
      <c r="C82" s="7">
        <v>1.6952400000000001</v>
      </c>
      <c r="D82" s="4">
        <f>2.40731+0.01159</f>
        <v>2.4188999999999998</v>
      </c>
      <c r="E82" s="4">
        <f>2.50361+0.01204</f>
        <v>2.5156499999999999</v>
      </c>
      <c r="F82" s="4">
        <f>2.60375+0.01252</f>
        <v>2.6162699999999997</v>
      </c>
    </row>
    <row r="83" spans="1:12" ht="69.75" customHeight="1">
      <c r="A83" s="359" t="s">
        <v>279</v>
      </c>
      <c r="B83" s="16" t="s">
        <v>589</v>
      </c>
      <c r="C83" s="7">
        <v>316.23500000000001</v>
      </c>
      <c r="D83" s="4">
        <v>1485.3911900000001</v>
      </c>
      <c r="E83" s="4">
        <v>1485.3911900000001</v>
      </c>
      <c r="F83" s="4">
        <v>1485.3911900000001</v>
      </c>
    </row>
    <row r="84" spans="1:12" ht="65.25" customHeight="1">
      <c r="A84" s="359" t="s">
        <v>279</v>
      </c>
      <c r="B84" s="16" t="s">
        <v>460</v>
      </c>
      <c r="C84" s="7"/>
      <c r="D84" s="4">
        <f>31708.1304-13584.8664</f>
        <v>18123.263999999996</v>
      </c>
      <c r="E84" s="4">
        <v>20890.3344</v>
      </c>
      <c r="F84" s="4">
        <v>20890.3344</v>
      </c>
    </row>
    <row r="85" spans="1:12" ht="35.25" customHeight="1">
      <c r="A85" s="359" t="s">
        <v>324</v>
      </c>
      <c r="B85" s="16" t="s">
        <v>383</v>
      </c>
      <c r="C85" s="7">
        <v>22005.496800000001</v>
      </c>
      <c r="D85" s="4">
        <f>22611.28209+25.08714</f>
        <v>22636.36923</v>
      </c>
      <c r="E85" s="4">
        <f>26308.98636-652.96371</f>
        <v>25656.022649999999</v>
      </c>
      <c r="F85" s="4">
        <f>29742.45163-1281.68678</f>
        <v>28460.76485</v>
      </c>
    </row>
    <row r="86" spans="1:12" ht="77.45" customHeight="1">
      <c r="A86" s="359" t="s">
        <v>324</v>
      </c>
      <c r="B86" s="16" t="s">
        <v>693</v>
      </c>
      <c r="C86" s="7"/>
      <c r="D86" s="4">
        <v>3.3870800000000001</v>
      </c>
      <c r="E86" s="4">
        <v>3.3870800000000001</v>
      </c>
      <c r="F86" s="4">
        <v>3.3870800000000001</v>
      </c>
    </row>
    <row r="87" spans="1:12" ht="72.75" customHeight="1">
      <c r="A87" s="359" t="s">
        <v>922</v>
      </c>
      <c r="B87" s="16" t="s">
        <v>170</v>
      </c>
      <c r="C87" s="7">
        <v>4647.3230000000003</v>
      </c>
      <c r="D87" s="7">
        <f>5832.775+28.314</f>
        <v>5861.0889999999999</v>
      </c>
      <c r="E87" s="7">
        <f>6066.369+28.314</f>
        <v>6094.683</v>
      </c>
      <c r="F87" s="4">
        <f>6310.581+28.314</f>
        <v>6338.8950000000004</v>
      </c>
    </row>
    <row r="88" spans="1:12" ht="66.75" hidden="1" customHeight="1">
      <c r="A88" s="359" t="s">
        <v>525</v>
      </c>
      <c r="B88" s="16" t="s">
        <v>590</v>
      </c>
      <c r="C88" s="7"/>
      <c r="D88" s="4"/>
      <c r="E88" s="4"/>
      <c r="F88" s="4"/>
    </row>
    <row r="89" spans="1:12" ht="44.25" customHeight="1">
      <c r="A89" s="359" t="s">
        <v>278</v>
      </c>
      <c r="B89" s="16" t="s">
        <v>456</v>
      </c>
      <c r="C89" s="7">
        <v>18.268000000000001</v>
      </c>
      <c r="D89" s="4">
        <f>14.7-1.148</f>
        <v>13.552</v>
      </c>
      <c r="E89" s="4">
        <f>182.062-73.05</f>
        <v>109.01200000000001</v>
      </c>
      <c r="F89" s="4">
        <f>14.7+2.684</f>
        <v>17.384</v>
      </c>
    </row>
    <row r="90" spans="1:12" ht="47.25">
      <c r="A90" s="359" t="s">
        <v>375</v>
      </c>
      <c r="B90" s="16" t="s">
        <v>376</v>
      </c>
      <c r="C90" s="7">
        <v>13848.602000000001</v>
      </c>
      <c r="D90" s="4">
        <f>14841.85+775.2</f>
        <v>15617.050000000001</v>
      </c>
      <c r="E90" s="4">
        <f>14841.85-532.95</f>
        <v>14308.9</v>
      </c>
      <c r="F90" s="4">
        <f>14841.85-1001.3</f>
        <v>13840.550000000001</v>
      </c>
    </row>
    <row r="91" spans="1:12" ht="39" customHeight="1">
      <c r="A91" s="359" t="s">
        <v>275</v>
      </c>
      <c r="B91" s="16" t="s">
        <v>455</v>
      </c>
      <c r="C91" s="7">
        <v>1331</v>
      </c>
      <c r="D91" s="4">
        <f>1512.732+1180.855</f>
        <v>2693.587</v>
      </c>
      <c r="E91" s="4">
        <f t="shared" ref="E91:F91" si="1">1512.732+1180.855</f>
        <v>2693.587</v>
      </c>
      <c r="F91" s="4">
        <f t="shared" si="1"/>
        <v>2693.587</v>
      </c>
    </row>
    <row r="92" spans="1:12" ht="40.5" customHeight="1">
      <c r="A92" s="9" t="s">
        <v>403</v>
      </c>
      <c r="B92" s="17" t="s">
        <v>404</v>
      </c>
      <c r="C92" s="10" t="e">
        <f>#REF!+#REF!</f>
        <v>#REF!</v>
      </c>
      <c r="D92" s="11">
        <f>2896.09+3.535</f>
        <v>2899.625</v>
      </c>
      <c r="E92" s="11">
        <f>3011.934+13.846</f>
        <v>3025.78</v>
      </c>
      <c r="F92" s="11">
        <f>3132.412+14.401</f>
        <v>3146.8129999999996</v>
      </c>
    </row>
    <row r="93" spans="1:12" ht="52.5" customHeight="1">
      <c r="A93" s="122" t="s">
        <v>403</v>
      </c>
      <c r="B93" s="123" t="s">
        <v>212</v>
      </c>
      <c r="C93" s="124"/>
      <c r="D93" s="19">
        <f>'3'!F98</f>
        <v>1197.2910000000002</v>
      </c>
      <c r="E93" s="19">
        <f>'3'!G98</f>
        <v>1256.5540000000001</v>
      </c>
      <c r="F93" s="19">
        <f>'3'!H98</f>
        <v>1316.7930000000001</v>
      </c>
    </row>
    <row r="94" spans="1:12" ht="47.25" customHeight="1">
      <c r="A94" s="122" t="s">
        <v>403</v>
      </c>
      <c r="B94" s="123" t="s">
        <v>169</v>
      </c>
      <c r="C94" s="124"/>
      <c r="D94" s="19">
        <f>'3'!F93</f>
        <v>1702.3340000000001</v>
      </c>
      <c r="E94" s="19">
        <f>'3'!G93</f>
        <v>1769.2260000000001</v>
      </c>
      <c r="F94" s="19">
        <f>'3'!H93</f>
        <v>1830.0200000000002</v>
      </c>
    </row>
    <row r="95" spans="1:12" ht="24" customHeight="1">
      <c r="A95" s="9" t="s">
        <v>428</v>
      </c>
      <c r="B95" s="17" t="s">
        <v>429</v>
      </c>
      <c r="C95" s="10"/>
      <c r="D95" s="11">
        <f>D96</f>
        <v>461.44499999999999</v>
      </c>
      <c r="E95" s="11">
        <f>E96</f>
        <v>481.61</v>
      </c>
      <c r="F95" s="11">
        <f>F96</f>
        <v>500.87399999999997</v>
      </c>
      <c r="G95" s="172"/>
      <c r="H95" s="172"/>
      <c r="I95" s="172"/>
      <c r="J95" s="89"/>
      <c r="K95" s="89"/>
      <c r="L95" s="89"/>
    </row>
    <row r="96" spans="1:12" ht="53.45" customHeight="1">
      <c r="A96" s="359" t="s">
        <v>428</v>
      </c>
      <c r="B96" s="16" t="s">
        <v>597</v>
      </c>
      <c r="C96" s="7"/>
      <c r="D96" s="4">
        <f>728.078-266.633</f>
        <v>461.44499999999999</v>
      </c>
      <c r="E96" s="4">
        <f>755.442-273.832</f>
        <v>481.61</v>
      </c>
      <c r="F96" s="4">
        <f>783.9-283.026</f>
        <v>500.87399999999997</v>
      </c>
    </row>
    <row r="97" spans="1:241">
      <c r="A97" s="345" t="s">
        <v>326</v>
      </c>
      <c r="B97" s="15" t="s">
        <v>335</v>
      </c>
      <c r="C97" s="6">
        <v>0</v>
      </c>
      <c r="D97" s="8">
        <f>D100+D99+D98+D101+D102</f>
        <v>38328.122309999999</v>
      </c>
      <c r="E97" s="8">
        <f t="shared" ref="E97:F97" si="2">E100+E99+E98+E101+E102</f>
        <v>37157.345999999998</v>
      </c>
      <c r="F97" s="8">
        <f t="shared" si="2"/>
        <v>37415.284530000004</v>
      </c>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c r="GF97" s="12"/>
      <c r="GG97" s="12"/>
      <c r="GH97" s="12"/>
      <c r="GI97" s="12"/>
      <c r="GJ97" s="12"/>
      <c r="GK97" s="12"/>
      <c r="GL97" s="12"/>
      <c r="GM97" s="12"/>
      <c r="GN97" s="12"/>
      <c r="GO97" s="12"/>
      <c r="GP97" s="12"/>
      <c r="GQ97" s="12"/>
      <c r="GR97" s="12"/>
      <c r="GS97" s="12"/>
      <c r="GT97" s="12"/>
      <c r="GU97" s="12"/>
      <c r="GV97" s="12"/>
      <c r="GW97" s="12"/>
      <c r="GX97" s="12"/>
      <c r="GY97" s="12"/>
      <c r="GZ97" s="12"/>
      <c r="HA97" s="12"/>
      <c r="HB97" s="12"/>
      <c r="HC97" s="12"/>
      <c r="HD97" s="12"/>
      <c r="HE97" s="12"/>
      <c r="HF97" s="12"/>
      <c r="HG97" s="12"/>
      <c r="HH97" s="12"/>
      <c r="HI97" s="12"/>
      <c r="HJ97" s="12"/>
      <c r="HK97" s="12"/>
      <c r="HL97" s="12"/>
      <c r="HM97" s="12"/>
      <c r="HN97" s="12"/>
      <c r="HO97" s="12"/>
      <c r="HP97" s="12"/>
      <c r="HQ97" s="12"/>
      <c r="HR97" s="12"/>
      <c r="HS97" s="12"/>
      <c r="HT97" s="12"/>
      <c r="HU97" s="12"/>
      <c r="HV97" s="12"/>
      <c r="HW97" s="12"/>
      <c r="HX97" s="12"/>
      <c r="HY97" s="12"/>
      <c r="HZ97" s="12"/>
      <c r="IA97" s="12"/>
      <c r="IB97" s="12"/>
      <c r="IC97" s="12"/>
      <c r="ID97" s="12"/>
      <c r="IE97" s="12"/>
      <c r="IF97" s="12"/>
      <c r="IG97" s="12"/>
    </row>
    <row r="98" spans="1:241" ht="47.45" customHeight="1">
      <c r="A98" s="359" t="s">
        <v>327</v>
      </c>
      <c r="B98" s="16" t="s">
        <v>591</v>
      </c>
      <c r="C98" s="7"/>
      <c r="D98" s="4">
        <f>470.556+120</f>
        <v>590.55600000000004</v>
      </c>
      <c r="E98" s="4">
        <v>0</v>
      </c>
      <c r="F98" s="4">
        <v>0</v>
      </c>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c r="HS98" s="12"/>
      <c r="HT98" s="12"/>
      <c r="HU98" s="12"/>
      <c r="HV98" s="12"/>
      <c r="HW98" s="12"/>
      <c r="HX98" s="12"/>
      <c r="HY98" s="12"/>
      <c r="HZ98" s="12"/>
      <c r="IA98" s="12"/>
      <c r="IB98" s="12"/>
      <c r="IC98" s="12"/>
      <c r="ID98" s="12"/>
      <c r="IE98" s="12"/>
      <c r="IF98" s="12"/>
      <c r="IG98" s="12"/>
    </row>
    <row r="99" spans="1:241" ht="63">
      <c r="A99" s="359" t="s">
        <v>545</v>
      </c>
      <c r="B99" s="16" t="s">
        <v>546</v>
      </c>
      <c r="C99" s="7"/>
      <c r="D99" s="4">
        <f>3382.85664-2133.38184+54.12351</f>
        <v>1303.5983099999999</v>
      </c>
      <c r="E99" s="4">
        <f>4228.5708-2905.1928</f>
        <v>1323.3780000000006</v>
      </c>
      <c r="F99" s="4">
        <f>4228.5708-2881.25427</f>
        <v>1347.3165300000005</v>
      </c>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c r="HS99" s="12"/>
      <c r="HT99" s="12"/>
      <c r="HU99" s="12"/>
      <c r="HV99" s="12"/>
      <c r="HW99" s="12"/>
      <c r="HX99" s="12"/>
      <c r="HY99" s="12"/>
      <c r="HZ99" s="12"/>
      <c r="IA99" s="12"/>
      <c r="IB99" s="12"/>
      <c r="IC99" s="12"/>
      <c r="ID99" s="12"/>
      <c r="IE99" s="12"/>
      <c r="IF99" s="12"/>
      <c r="IG99" s="12"/>
    </row>
    <row r="100" spans="1:241" ht="47.25">
      <c r="A100" s="359" t="s">
        <v>374</v>
      </c>
      <c r="B100" s="16" t="s">
        <v>377</v>
      </c>
      <c r="C100" s="7">
        <v>0</v>
      </c>
      <c r="D100" s="4">
        <f>28423.2+6910.8</f>
        <v>35334</v>
      </c>
      <c r="E100" s="4">
        <f>28423.2+6910.8</f>
        <v>35334</v>
      </c>
      <c r="F100" s="4">
        <f>28423.2+7144.8</f>
        <v>35568</v>
      </c>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c r="GF100" s="12"/>
      <c r="GG100" s="12"/>
      <c r="GH100" s="12"/>
      <c r="GI100" s="12"/>
      <c r="GJ100" s="12"/>
      <c r="GK100" s="12"/>
      <c r="GL100" s="12"/>
      <c r="GM100" s="12"/>
      <c r="GN100" s="12"/>
      <c r="GO100" s="12"/>
      <c r="GP100" s="12"/>
      <c r="GQ100" s="12"/>
      <c r="GR100" s="12"/>
      <c r="GS100" s="12"/>
      <c r="GT100" s="12"/>
      <c r="GU100" s="12"/>
      <c r="GV100" s="12"/>
      <c r="GW100" s="12"/>
      <c r="GX100" s="12"/>
      <c r="GY100" s="12"/>
      <c r="GZ100" s="12"/>
      <c r="HA100" s="12"/>
      <c r="HB100" s="12"/>
      <c r="HC100" s="12"/>
      <c r="HD100" s="12"/>
      <c r="HE100" s="12"/>
      <c r="HF100" s="12"/>
      <c r="HG100" s="12"/>
      <c r="HH100" s="12"/>
      <c r="HI100" s="12"/>
      <c r="HJ100" s="12"/>
      <c r="HK100" s="12"/>
      <c r="HL100" s="12"/>
      <c r="HM100" s="12"/>
      <c r="HN100" s="12"/>
      <c r="HO100" s="12"/>
      <c r="HP100" s="12"/>
      <c r="HQ100" s="12"/>
      <c r="HR100" s="12"/>
      <c r="HS100" s="12"/>
      <c r="HT100" s="12"/>
      <c r="HU100" s="12"/>
      <c r="HV100" s="12"/>
      <c r="HW100" s="12"/>
      <c r="HX100" s="12"/>
      <c r="HY100" s="12"/>
      <c r="HZ100" s="12"/>
      <c r="IA100" s="12"/>
      <c r="IB100" s="12"/>
      <c r="IC100" s="12"/>
      <c r="ID100" s="12"/>
      <c r="IE100" s="12"/>
      <c r="IF100" s="12"/>
      <c r="IG100" s="12"/>
    </row>
    <row r="101" spans="1:241" ht="63.75" customHeight="1">
      <c r="A101" s="359" t="s">
        <v>1053</v>
      </c>
      <c r="B101" s="16" t="s">
        <v>994</v>
      </c>
      <c r="C101" s="7"/>
      <c r="D101" s="4">
        <v>600</v>
      </c>
      <c r="E101" s="4">
        <v>0</v>
      </c>
      <c r="F101" s="4">
        <v>0</v>
      </c>
      <c r="G101" s="5"/>
      <c r="H101" s="5"/>
      <c r="I101" s="5"/>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c r="HS101" s="12"/>
      <c r="HT101" s="12"/>
      <c r="HU101" s="12"/>
      <c r="HV101" s="12"/>
      <c r="HW101" s="12"/>
      <c r="HX101" s="12"/>
      <c r="HY101" s="12"/>
      <c r="HZ101" s="12"/>
      <c r="IA101" s="12"/>
      <c r="IB101" s="12"/>
      <c r="IC101" s="12"/>
      <c r="ID101" s="12"/>
      <c r="IE101" s="12"/>
      <c r="IF101" s="12"/>
      <c r="IG101" s="12"/>
    </row>
    <row r="102" spans="1:241" ht="116.25" customHeight="1">
      <c r="A102" s="359" t="s">
        <v>1055</v>
      </c>
      <c r="B102" s="16" t="s">
        <v>1056</v>
      </c>
      <c r="C102" s="7"/>
      <c r="D102" s="4">
        <v>499.96800000000002</v>
      </c>
      <c r="E102" s="4">
        <v>499.96800000000002</v>
      </c>
      <c r="F102" s="4">
        <v>499.96800000000002</v>
      </c>
      <c r="G102" s="5"/>
      <c r="H102" s="5"/>
      <c r="I102" s="5"/>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c r="HS102" s="12"/>
      <c r="HT102" s="12"/>
      <c r="HU102" s="12"/>
      <c r="HV102" s="12"/>
      <c r="HW102" s="12"/>
      <c r="HX102" s="12"/>
      <c r="HY102" s="12"/>
      <c r="HZ102" s="12"/>
      <c r="IA102" s="12"/>
      <c r="IB102" s="12"/>
      <c r="IC102" s="12"/>
      <c r="ID102" s="12"/>
      <c r="IE102" s="12"/>
      <c r="IF102" s="12"/>
      <c r="IG102" s="12"/>
    </row>
    <row r="103" spans="1:241">
      <c r="A103" s="359"/>
      <c r="B103" s="15" t="s">
        <v>167</v>
      </c>
      <c r="C103" s="6" t="e">
        <f>C10+C41</f>
        <v>#REF!</v>
      </c>
      <c r="D103" s="6">
        <f>D10+D41</f>
        <v>1040414.2844</v>
      </c>
      <c r="E103" s="6">
        <f>E10+E41</f>
        <v>938077.19990000012</v>
      </c>
      <c r="F103" s="6">
        <f>F10+F41</f>
        <v>1000450.9043800002</v>
      </c>
      <c r="G103" s="5"/>
      <c r="H103" s="5"/>
      <c r="I103" s="5"/>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c r="HS103" s="12"/>
      <c r="HT103" s="12"/>
      <c r="HU103" s="12"/>
      <c r="HV103" s="12"/>
      <c r="HW103" s="12"/>
      <c r="HX103" s="12"/>
      <c r="HY103" s="12"/>
      <c r="HZ103" s="12"/>
      <c r="IA103" s="12"/>
      <c r="IB103" s="12"/>
      <c r="IC103" s="12"/>
      <c r="ID103" s="12"/>
      <c r="IE103" s="12"/>
      <c r="IF103" s="12"/>
      <c r="IG103" s="12"/>
    </row>
    <row r="104" spans="1:241" ht="49.15" customHeight="1">
      <c r="C104" s="95"/>
      <c r="G104" s="5"/>
      <c r="H104" s="5"/>
      <c r="I104" s="5"/>
      <c r="J104" s="12"/>
      <c r="K104" s="12"/>
      <c r="L104" s="12"/>
    </row>
    <row r="105" spans="1:241" ht="51" customHeight="1">
      <c r="C105" s="23"/>
      <c r="F105" s="5"/>
      <c r="G105" s="5"/>
      <c r="H105" s="5"/>
      <c r="I105" s="5"/>
      <c r="J105" s="12"/>
      <c r="K105" s="12"/>
      <c r="L105" s="12"/>
    </row>
    <row r="106" spans="1:241">
      <c r="C106" s="23"/>
      <c r="F106" s="5"/>
      <c r="G106" s="5"/>
      <c r="H106" s="5"/>
      <c r="I106" s="5"/>
    </row>
    <row r="107" spans="1:241">
      <c r="C107" s="23"/>
      <c r="G107" s="5"/>
      <c r="H107" s="5"/>
      <c r="I107" s="5"/>
    </row>
    <row r="111" spans="1:241" ht="67.900000000000006" customHeight="1"/>
    <row r="112" spans="1:241" ht="54" customHeight="1"/>
    <row r="114" ht="51.6" customHeight="1"/>
    <row r="115" ht="65.45" customHeight="1"/>
    <row r="116" ht="50.45" customHeight="1"/>
  </sheetData>
  <autoFilter ref="A8:F65"/>
  <mergeCells count="14">
    <mergeCell ref="B70:C70"/>
    <mergeCell ref="A6:F6"/>
    <mergeCell ref="D1:F1"/>
    <mergeCell ref="D2:F2"/>
    <mergeCell ref="D3:F3"/>
    <mergeCell ref="A8:A9"/>
    <mergeCell ref="B8:B9"/>
    <mergeCell ref="C8:C9"/>
    <mergeCell ref="D8:D9"/>
    <mergeCell ref="E8:E9"/>
    <mergeCell ref="F8:F9"/>
    <mergeCell ref="D4:F4"/>
    <mergeCell ref="B65:C65"/>
    <mergeCell ref="B56:C56"/>
  </mergeCells>
  <pageMargins left="0.25" right="0.25" top="0.75" bottom="0.75" header="0.3" footer="0.3"/>
  <pageSetup paperSize="9" scale="58" fitToHeight="0" orientation="portrait" r:id="rId1"/>
  <rowBreaks count="1" manualBreakCount="1">
    <brk id="4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013"/>
  <sheetViews>
    <sheetView view="pageBreakPreview" topLeftCell="A28" zoomScaleSheetLayoutView="100" workbookViewId="0">
      <selection activeCell="G15" sqref="G15"/>
    </sheetView>
  </sheetViews>
  <sheetFormatPr defaultColWidth="8.7109375" defaultRowHeight="15.75"/>
  <cols>
    <col min="1" max="1" width="46" style="14" customWidth="1"/>
    <col min="2" max="2" width="4.7109375" style="13" customWidth="1"/>
    <col min="3" max="3" width="5.42578125" style="13" customWidth="1"/>
    <col min="4" max="4" width="17.28515625" style="13" customWidth="1"/>
    <col min="5" max="5" width="5.5703125" style="13" customWidth="1"/>
    <col min="6" max="6" width="18.85546875" style="24" customWidth="1"/>
    <col min="7" max="7" width="18.7109375" style="24" customWidth="1"/>
    <col min="8" max="8" width="18.85546875" style="24" customWidth="1"/>
    <col min="9" max="9" width="25.85546875" style="24" customWidth="1"/>
    <col min="10" max="11" width="19.42578125" style="24" customWidth="1"/>
    <col min="12" max="14" width="17.7109375" style="24" customWidth="1"/>
    <col min="15" max="16384" width="8.7109375" style="24"/>
  </cols>
  <sheetData>
    <row r="1" spans="1:14">
      <c r="A1" s="397" t="s">
        <v>598</v>
      </c>
      <c r="B1" s="397"/>
      <c r="C1" s="397"/>
      <c r="D1" s="397"/>
      <c r="E1" s="397"/>
      <c r="F1" s="397"/>
      <c r="G1" s="397"/>
      <c r="H1" s="397"/>
    </row>
    <row r="2" spans="1:14">
      <c r="A2" s="397" t="s">
        <v>195</v>
      </c>
      <c r="B2" s="397"/>
      <c r="C2" s="397"/>
      <c r="D2" s="397"/>
      <c r="E2" s="397"/>
      <c r="F2" s="397"/>
      <c r="G2" s="397"/>
      <c r="H2" s="397"/>
    </row>
    <row r="3" spans="1:14">
      <c r="A3" s="397" t="s">
        <v>196</v>
      </c>
      <c r="B3" s="397"/>
      <c r="C3" s="397"/>
      <c r="D3" s="397"/>
      <c r="E3" s="397"/>
      <c r="F3" s="397"/>
      <c r="G3" s="397"/>
      <c r="H3" s="397"/>
    </row>
    <row r="4" spans="1:14" ht="15.75" customHeight="1">
      <c r="A4" s="398" t="s">
        <v>1151</v>
      </c>
      <c r="B4" s="398"/>
      <c r="C4" s="398"/>
      <c r="D4" s="398"/>
      <c r="E4" s="398"/>
      <c r="F4" s="398"/>
      <c r="G4" s="398"/>
      <c r="H4" s="398"/>
    </row>
    <row r="5" spans="1:14" ht="4.5" customHeight="1"/>
    <row r="6" spans="1:14">
      <c r="A6" s="395" t="s">
        <v>197</v>
      </c>
      <c r="B6" s="395"/>
      <c r="C6" s="395"/>
      <c r="D6" s="395"/>
      <c r="E6" s="395"/>
      <c r="F6" s="395"/>
      <c r="G6" s="395"/>
      <c r="H6" s="395"/>
    </row>
    <row r="7" spans="1:14" ht="16.5" customHeight="1">
      <c r="A7" s="395" t="s">
        <v>1028</v>
      </c>
      <c r="B7" s="395"/>
      <c r="C7" s="395"/>
      <c r="D7" s="395"/>
      <c r="E7" s="395"/>
      <c r="F7" s="395"/>
      <c r="G7" s="395"/>
      <c r="H7" s="395"/>
    </row>
    <row r="8" spans="1:14" ht="15.75" customHeight="1">
      <c r="A8" s="395" t="s">
        <v>599</v>
      </c>
      <c r="B8" s="395"/>
      <c r="C8" s="395"/>
      <c r="D8" s="395"/>
      <c r="E8" s="395"/>
      <c r="F8" s="395"/>
      <c r="G8" s="395"/>
      <c r="H8" s="395"/>
    </row>
    <row r="9" spans="1:14" ht="29.45" customHeight="1">
      <c r="A9" s="25"/>
      <c r="B9" s="25"/>
      <c r="C9" s="26"/>
      <c r="D9" s="26"/>
      <c r="E9" s="26"/>
      <c r="F9" s="26"/>
      <c r="G9" s="26"/>
      <c r="H9" s="27" t="s">
        <v>96</v>
      </c>
    </row>
    <row r="10" spans="1:14" ht="18.75" customHeight="1">
      <c r="A10" s="396" t="s">
        <v>182</v>
      </c>
      <c r="B10" s="396" t="s">
        <v>99</v>
      </c>
      <c r="C10" s="396" t="s">
        <v>100</v>
      </c>
      <c r="D10" s="396" t="s">
        <v>183</v>
      </c>
      <c r="E10" s="396" t="s">
        <v>101</v>
      </c>
      <c r="F10" s="396" t="s">
        <v>515</v>
      </c>
      <c r="G10" s="396" t="s">
        <v>593</v>
      </c>
      <c r="H10" s="396" t="s">
        <v>1029</v>
      </c>
    </row>
    <row r="11" spans="1:14" ht="52.5" customHeight="1">
      <c r="A11" s="396"/>
      <c r="B11" s="396"/>
      <c r="C11" s="396"/>
      <c r="D11" s="396"/>
      <c r="E11" s="396"/>
      <c r="F11" s="396"/>
      <c r="G11" s="396"/>
      <c r="H11" s="396"/>
    </row>
    <row r="12" spans="1:14" s="28" customFormat="1" ht="15.6" customHeight="1">
      <c r="A12" s="375">
        <v>1</v>
      </c>
      <c r="B12" s="375">
        <v>2</v>
      </c>
      <c r="C12" s="375">
        <v>3</v>
      </c>
      <c r="D12" s="375">
        <v>4</v>
      </c>
      <c r="E12" s="375">
        <v>5</v>
      </c>
      <c r="F12" s="375">
        <v>6</v>
      </c>
      <c r="G12" s="375">
        <v>7</v>
      </c>
      <c r="H12" s="375">
        <v>8</v>
      </c>
    </row>
    <row r="13" spans="1:14" s="32" customFormat="1" ht="18.75" customHeight="1">
      <c r="A13" s="29" t="s">
        <v>600</v>
      </c>
      <c r="B13" s="30" t="s">
        <v>102</v>
      </c>
      <c r="C13" s="30" t="s">
        <v>103</v>
      </c>
      <c r="D13" s="30" t="s">
        <v>601</v>
      </c>
      <c r="E13" s="30" t="s">
        <v>198</v>
      </c>
      <c r="F13" s="31">
        <f>F14+F20+F35+F45+F48+F74+F80+F86</f>
        <v>105932.625</v>
      </c>
      <c r="G13" s="31">
        <f t="shared" ref="G13:H13" si="0">G14+G20+G35+G45+G48+G74+G80+G86</f>
        <v>92506.747940000001</v>
      </c>
      <c r="H13" s="31">
        <f t="shared" si="0"/>
        <v>88686.83124</v>
      </c>
      <c r="I13" s="138"/>
      <c r="J13" s="138"/>
      <c r="K13" s="138"/>
      <c r="L13" s="138"/>
    </row>
    <row r="14" spans="1:14" s="36" customFormat="1" ht="54" customHeight="1">
      <c r="A14" s="73" t="s">
        <v>602</v>
      </c>
      <c r="B14" s="34" t="s">
        <v>102</v>
      </c>
      <c r="C14" s="34" t="s">
        <v>603</v>
      </c>
      <c r="D14" s="34" t="s">
        <v>601</v>
      </c>
      <c r="E14" s="34" t="s">
        <v>198</v>
      </c>
      <c r="F14" s="35">
        <f>F17</f>
        <v>3270.7910000000002</v>
      </c>
      <c r="G14" s="35">
        <f t="shared" ref="G14:H14" si="1">G17</f>
        <v>3433.2802999999999</v>
      </c>
      <c r="H14" s="35">
        <f t="shared" si="1"/>
        <v>3603.8943800000002</v>
      </c>
      <c r="L14" s="171"/>
      <c r="M14" s="171"/>
      <c r="N14" s="171"/>
    </row>
    <row r="15" spans="1:14" ht="33" customHeight="1">
      <c r="A15" s="74" t="s">
        <v>604</v>
      </c>
      <c r="B15" s="37" t="s">
        <v>102</v>
      </c>
      <c r="C15" s="37" t="s">
        <v>603</v>
      </c>
      <c r="D15" s="37" t="s">
        <v>1</v>
      </c>
      <c r="E15" s="37" t="s">
        <v>198</v>
      </c>
      <c r="F15" s="38">
        <f t="shared" ref="F15:H18" si="2">F16</f>
        <v>3270.7910000000002</v>
      </c>
      <c r="G15" s="38">
        <f t="shared" si="2"/>
        <v>3433.2802999999999</v>
      </c>
      <c r="H15" s="38">
        <f t="shared" si="2"/>
        <v>3603.8943800000002</v>
      </c>
      <c r="L15" s="42"/>
      <c r="M15" s="42"/>
      <c r="N15" s="42"/>
    </row>
    <row r="16" spans="1:14" ht="48" customHeight="1">
      <c r="A16" s="77" t="s">
        <v>104</v>
      </c>
      <c r="B16" s="43" t="s">
        <v>102</v>
      </c>
      <c r="C16" s="43" t="s">
        <v>603</v>
      </c>
      <c r="D16" s="43" t="s">
        <v>2</v>
      </c>
      <c r="E16" s="43" t="s">
        <v>198</v>
      </c>
      <c r="F16" s="348">
        <f t="shared" si="2"/>
        <v>3270.7910000000002</v>
      </c>
      <c r="G16" s="348">
        <f t="shared" si="2"/>
        <v>3433.2802999999999</v>
      </c>
      <c r="H16" s="348">
        <f t="shared" si="2"/>
        <v>3603.8943800000002</v>
      </c>
      <c r="I16" s="42"/>
      <c r="J16" s="42"/>
      <c r="K16" s="42"/>
      <c r="L16" s="42"/>
      <c r="M16" s="42"/>
      <c r="N16" s="42"/>
    </row>
    <row r="17" spans="1:15" s="40" customFormat="1" ht="16.5" customHeight="1">
      <c r="A17" s="76" t="s">
        <v>203</v>
      </c>
      <c r="B17" s="53" t="s">
        <v>102</v>
      </c>
      <c r="C17" s="53" t="s">
        <v>603</v>
      </c>
      <c r="D17" s="53" t="s">
        <v>3</v>
      </c>
      <c r="E17" s="53" t="s">
        <v>198</v>
      </c>
      <c r="F17" s="41">
        <f>F18</f>
        <v>3270.7910000000002</v>
      </c>
      <c r="G17" s="41">
        <f t="shared" si="2"/>
        <v>3433.2802999999999</v>
      </c>
      <c r="H17" s="41">
        <f t="shared" si="2"/>
        <v>3603.8943800000002</v>
      </c>
    </row>
    <row r="18" spans="1:15" ht="95.25" customHeight="1">
      <c r="A18" s="77" t="s">
        <v>605</v>
      </c>
      <c r="B18" s="43" t="s">
        <v>102</v>
      </c>
      <c r="C18" s="43" t="s">
        <v>603</v>
      </c>
      <c r="D18" s="43" t="s">
        <v>3</v>
      </c>
      <c r="E18" s="43" t="s">
        <v>606</v>
      </c>
      <c r="F18" s="348">
        <f>F19</f>
        <v>3270.7910000000002</v>
      </c>
      <c r="G18" s="348">
        <f t="shared" si="2"/>
        <v>3433.2802999999999</v>
      </c>
      <c r="H18" s="348">
        <f t="shared" si="2"/>
        <v>3603.8943800000002</v>
      </c>
      <c r="I18" s="42"/>
      <c r="J18" s="42"/>
      <c r="K18" s="42"/>
    </row>
    <row r="19" spans="1:15" ht="33.75" customHeight="1">
      <c r="A19" s="74" t="s">
        <v>607</v>
      </c>
      <c r="B19" s="37" t="s">
        <v>102</v>
      </c>
      <c r="C19" s="37" t="s">
        <v>603</v>
      </c>
      <c r="D19" s="37" t="s">
        <v>3</v>
      </c>
      <c r="E19" s="37" t="s">
        <v>608</v>
      </c>
      <c r="F19" s="348">
        <f>'5'!D269</f>
        <v>3270.7910000000002</v>
      </c>
      <c r="G19" s="348">
        <f>'5'!E269</f>
        <v>3433.2802999999999</v>
      </c>
      <c r="H19" s="348">
        <f>'5'!F269</f>
        <v>3603.8943800000002</v>
      </c>
      <c r="L19" s="42"/>
      <c r="M19" s="42"/>
      <c r="N19" s="42"/>
    </row>
    <row r="20" spans="1:15" s="36" customFormat="1" ht="83.45" customHeight="1">
      <c r="A20" s="73" t="s">
        <v>609</v>
      </c>
      <c r="B20" s="34" t="s">
        <v>102</v>
      </c>
      <c r="C20" s="34" t="s">
        <v>105</v>
      </c>
      <c r="D20" s="34" t="s">
        <v>601</v>
      </c>
      <c r="E20" s="34" t="s">
        <v>198</v>
      </c>
      <c r="F20" s="35">
        <f>F23+F28</f>
        <v>7652.68</v>
      </c>
      <c r="G20" s="35">
        <f t="shared" ref="G20:H20" si="3">G23+G28</f>
        <v>6675.66</v>
      </c>
      <c r="H20" s="35">
        <f t="shared" si="3"/>
        <v>6917.05</v>
      </c>
    </row>
    <row r="21" spans="1:15" ht="33" customHeight="1">
      <c r="A21" s="77" t="s">
        <v>604</v>
      </c>
      <c r="B21" s="43" t="s">
        <v>102</v>
      </c>
      <c r="C21" s="43" t="s">
        <v>105</v>
      </c>
      <c r="D21" s="43" t="s">
        <v>1</v>
      </c>
      <c r="E21" s="43" t="s">
        <v>198</v>
      </c>
      <c r="F21" s="348">
        <f>F22</f>
        <v>7652.68</v>
      </c>
      <c r="G21" s="348">
        <f t="shared" ref="G21:H21" si="4">G22</f>
        <v>6675.66</v>
      </c>
      <c r="H21" s="348">
        <f t="shared" si="4"/>
        <v>6917.05</v>
      </c>
      <c r="L21" s="42"/>
      <c r="M21" s="42"/>
      <c r="N21" s="42"/>
    </row>
    <row r="22" spans="1:15" ht="47.25" customHeight="1">
      <c r="A22" s="77" t="s">
        <v>104</v>
      </c>
      <c r="B22" s="43" t="s">
        <v>102</v>
      </c>
      <c r="C22" s="43" t="s">
        <v>105</v>
      </c>
      <c r="D22" s="43" t="s">
        <v>2</v>
      </c>
      <c r="E22" s="43" t="s">
        <v>198</v>
      </c>
      <c r="F22" s="348">
        <f>F28+F23</f>
        <v>7652.68</v>
      </c>
      <c r="G22" s="348">
        <f>G28+G23</f>
        <v>6675.66</v>
      </c>
      <c r="H22" s="348">
        <f>H28+H23</f>
        <v>6917.05</v>
      </c>
      <c r="J22" s="40"/>
      <c r="K22" s="40"/>
      <c r="L22" s="40"/>
      <c r="M22" s="40"/>
      <c r="N22" s="40"/>
      <c r="O22" s="40"/>
    </row>
    <row r="23" spans="1:15" s="40" customFormat="1" ht="33.75" customHeight="1">
      <c r="A23" s="76" t="s">
        <v>610</v>
      </c>
      <c r="B23" s="53" t="s">
        <v>102</v>
      </c>
      <c r="C23" s="53" t="s">
        <v>105</v>
      </c>
      <c r="D23" s="53" t="s">
        <v>4</v>
      </c>
      <c r="E23" s="53" t="s">
        <v>198</v>
      </c>
      <c r="F23" s="41">
        <f>F24+F26</f>
        <v>3140.5</v>
      </c>
      <c r="G23" s="41">
        <f t="shared" ref="G23:H23" si="5">G24+G26</f>
        <v>3250.5</v>
      </c>
      <c r="H23" s="41">
        <f t="shared" si="5"/>
        <v>3380</v>
      </c>
      <c r="J23" s="24"/>
      <c r="K23" s="24"/>
      <c r="L23" s="42"/>
      <c r="M23" s="42"/>
      <c r="N23" s="42"/>
      <c r="O23" s="24"/>
    </row>
    <row r="24" spans="1:15" ht="98.25" customHeight="1">
      <c r="A24" s="77" t="s">
        <v>605</v>
      </c>
      <c r="B24" s="43" t="s">
        <v>102</v>
      </c>
      <c r="C24" s="43" t="s">
        <v>105</v>
      </c>
      <c r="D24" s="43" t="s">
        <v>4</v>
      </c>
      <c r="E24" s="43" t="s">
        <v>606</v>
      </c>
      <c r="F24" s="348">
        <f>F25</f>
        <v>3140.5</v>
      </c>
      <c r="G24" s="348">
        <f>G25</f>
        <v>3250.5</v>
      </c>
      <c r="H24" s="348">
        <f>H25</f>
        <v>3380</v>
      </c>
      <c r="L24" s="42"/>
      <c r="M24" s="42"/>
      <c r="N24" s="42"/>
    </row>
    <row r="25" spans="1:15" ht="35.25" customHeight="1">
      <c r="A25" s="77" t="s">
        <v>607</v>
      </c>
      <c r="B25" s="43" t="s">
        <v>102</v>
      </c>
      <c r="C25" s="43" t="s">
        <v>105</v>
      </c>
      <c r="D25" s="43" t="s">
        <v>4</v>
      </c>
      <c r="E25" s="43" t="s">
        <v>608</v>
      </c>
      <c r="F25" s="348">
        <f>'5'!D270</f>
        <v>3140.5</v>
      </c>
      <c r="G25" s="348">
        <f>'5'!E270</f>
        <v>3250.5</v>
      </c>
      <c r="H25" s="348">
        <f>'5'!F270</f>
        <v>3380</v>
      </c>
    </row>
    <row r="26" spans="1:15" ht="35.25" hidden="1" customHeight="1">
      <c r="A26" s="77" t="s">
        <v>611</v>
      </c>
      <c r="B26" s="43" t="s">
        <v>102</v>
      </c>
      <c r="C26" s="43" t="s">
        <v>105</v>
      </c>
      <c r="D26" s="43" t="s">
        <v>4</v>
      </c>
      <c r="E26" s="43" t="s">
        <v>612</v>
      </c>
      <c r="F26" s="348">
        <f>F27</f>
        <v>0</v>
      </c>
      <c r="G26" s="348">
        <f>G27</f>
        <v>0</v>
      </c>
      <c r="H26" s="348">
        <f>H27</f>
        <v>0</v>
      </c>
      <c r="L26" s="42"/>
      <c r="M26" s="42"/>
      <c r="N26" s="42"/>
    </row>
    <row r="27" spans="1:15" ht="48.6" hidden="1" customHeight="1">
      <c r="A27" s="77" t="s">
        <v>613</v>
      </c>
      <c r="B27" s="43" t="s">
        <v>102</v>
      </c>
      <c r="C27" s="43" t="s">
        <v>105</v>
      </c>
      <c r="D27" s="43" t="s">
        <v>4</v>
      </c>
      <c r="E27" s="43" t="s">
        <v>614</v>
      </c>
      <c r="F27" s="348">
        <v>0</v>
      </c>
      <c r="G27" s="348">
        <v>0</v>
      </c>
      <c r="H27" s="348">
        <v>0</v>
      </c>
      <c r="O27" s="40"/>
    </row>
    <row r="28" spans="1:15" s="40" customFormat="1" ht="48.75" customHeight="1">
      <c r="A28" s="76" t="s">
        <v>106</v>
      </c>
      <c r="B28" s="53" t="s">
        <v>102</v>
      </c>
      <c r="C28" s="53" t="s">
        <v>105</v>
      </c>
      <c r="D28" s="53" t="s">
        <v>5</v>
      </c>
      <c r="E28" s="53" t="s">
        <v>198</v>
      </c>
      <c r="F28" s="41">
        <f>F29+F31+F33</f>
        <v>4512.18</v>
      </c>
      <c r="G28" s="41">
        <f t="shared" ref="G28:H28" si="6">G29+G31+G33</f>
        <v>3425.16</v>
      </c>
      <c r="H28" s="41">
        <f t="shared" si="6"/>
        <v>3537.05</v>
      </c>
      <c r="O28" s="24"/>
    </row>
    <row r="29" spans="1:15" ht="94.5" customHeight="1">
      <c r="A29" s="77" t="s">
        <v>605</v>
      </c>
      <c r="B29" s="43" t="s">
        <v>102</v>
      </c>
      <c r="C29" s="43" t="s">
        <v>105</v>
      </c>
      <c r="D29" s="43" t="s">
        <v>5</v>
      </c>
      <c r="E29" s="43" t="s">
        <v>606</v>
      </c>
      <c r="F29" s="348">
        <f>F30</f>
        <v>3503.18</v>
      </c>
      <c r="G29" s="348">
        <f>G30</f>
        <v>2797.16</v>
      </c>
      <c r="H29" s="348">
        <f>H30</f>
        <v>2909.05</v>
      </c>
    </row>
    <row r="30" spans="1:15" ht="35.25" customHeight="1">
      <c r="A30" s="77" t="s">
        <v>607</v>
      </c>
      <c r="B30" s="43" t="s">
        <v>102</v>
      </c>
      <c r="C30" s="43" t="s">
        <v>105</v>
      </c>
      <c r="D30" s="43" t="s">
        <v>5</v>
      </c>
      <c r="E30" s="43" t="s">
        <v>608</v>
      </c>
      <c r="F30" s="348">
        <v>3503.18</v>
      </c>
      <c r="G30" s="348">
        <v>2797.16</v>
      </c>
      <c r="H30" s="348">
        <v>2909.05</v>
      </c>
      <c r="L30" s="42"/>
      <c r="M30" s="42"/>
      <c r="N30" s="42"/>
    </row>
    <row r="31" spans="1:15" ht="33" customHeight="1">
      <c r="A31" s="77" t="s">
        <v>611</v>
      </c>
      <c r="B31" s="43" t="s">
        <v>102</v>
      </c>
      <c r="C31" s="43" t="s">
        <v>105</v>
      </c>
      <c r="D31" s="43" t="s">
        <v>5</v>
      </c>
      <c r="E31" s="43" t="s">
        <v>612</v>
      </c>
      <c r="F31" s="348">
        <f>F32</f>
        <v>999</v>
      </c>
      <c r="G31" s="348">
        <f>G32</f>
        <v>618</v>
      </c>
      <c r="H31" s="348">
        <f>H32</f>
        <v>618</v>
      </c>
      <c r="L31" s="42"/>
      <c r="M31" s="42"/>
      <c r="N31" s="42"/>
    </row>
    <row r="32" spans="1:15" ht="50.25" customHeight="1">
      <c r="A32" s="77" t="s">
        <v>613</v>
      </c>
      <c r="B32" s="43" t="s">
        <v>102</v>
      </c>
      <c r="C32" s="43" t="s">
        <v>105</v>
      </c>
      <c r="D32" s="43" t="s">
        <v>5</v>
      </c>
      <c r="E32" s="43" t="s">
        <v>614</v>
      </c>
      <c r="F32" s="348">
        <f>618+381</f>
        <v>999</v>
      </c>
      <c r="G32" s="348">
        <v>618</v>
      </c>
      <c r="H32" s="348">
        <v>618</v>
      </c>
      <c r="L32" s="144"/>
      <c r="M32" s="144"/>
      <c r="N32" s="144"/>
    </row>
    <row r="33" spans="1:15" ht="19.5" customHeight="1">
      <c r="A33" s="77" t="s">
        <v>615</v>
      </c>
      <c r="B33" s="43" t="s">
        <v>102</v>
      </c>
      <c r="C33" s="43" t="s">
        <v>105</v>
      </c>
      <c r="D33" s="43" t="s">
        <v>5</v>
      </c>
      <c r="E33" s="43" t="s">
        <v>616</v>
      </c>
      <c r="F33" s="348">
        <f>F34</f>
        <v>10</v>
      </c>
      <c r="G33" s="348">
        <f>G34</f>
        <v>10</v>
      </c>
      <c r="H33" s="348">
        <f>H34</f>
        <v>10</v>
      </c>
    </row>
    <row r="34" spans="1:15" ht="18.75" customHeight="1">
      <c r="A34" s="77" t="s">
        <v>617</v>
      </c>
      <c r="B34" s="43" t="s">
        <v>102</v>
      </c>
      <c r="C34" s="43" t="s">
        <v>105</v>
      </c>
      <c r="D34" s="43" t="s">
        <v>5</v>
      </c>
      <c r="E34" s="43" t="s">
        <v>618</v>
      </c>
      <c r="F34" s="348">
        <v>10</v>
      </c>
      <c r="G34" s="348">
        <v>10</v>
      </c>
      <c r="H34" s="348">
        <v>10</v>
      </c>
      <c r="O34" s="36"/>
    </row>
    <row r="35" spans="1:15" s="36" customFormat="1" ht="82.5" customHeight="1">
      <c r="A35" s="73" t="s">
        <v>619</v>
      </c>
      <c r="B35" s="34" t="s">
        <v>102</v>
      </c>
      <c r="C35" s="34" t="s">
        <v>107</v>
      </c>
      <c r="D35" s="34" t="s">
        <v>601</v>
      </c>
      <c r="E35" s="34" t="s">
        <v>198</v>
      </c>
      <c r="F35" s="35">
        <f>F38</f>
        <v>47864.262999999999</v>
      </c>
      <c r="G35" s="35">
        <f t="shared" ref="G35:H35" si="7">G38</f>
        <v>48575.828640000007</v>
      </c>
      <c r="H35" s="35">
        <f t="shared" si="7"/>
        <v>44032.761859999999</v>
      </c>
      <c r="O35" s="24"/>
    </row>
    <row r="36" spans="1:15" ht="33.75" customHeight="1">
      <c r="A36" s="74" t="s">
        <v>604</v>
      </c>
      <c r="B36" s="37" t="s">
        <v>102</v>
      </c>
      <c r="C36" s="37" t="s">
        <v>107</v>
      </c>
      <c r="D36" s="37" t="s">
        <v>1</v>
      </c>
      <c r="E36" s="37" t="s">
        <v>198</v>
      </c>
      <c r="F36" s="38">
        <f t="shared" ref="F36:H37" si="8">F37</f>
        <v>47864.262999999999</v>
      </c>
      <c r="G36" s="38">
        <f t="shared" si="8"/>
        <v>48575.828640000007</v>
      </c>
      <c r="H36" s="38">
        <f t="shared" si="8"/>
        <v>44032.761859999999</v>
      </c>
    </row>
    <row r="37" spans="1:15" ht="47.25" customHeight="1">
      <c r="A37" s="77" t="s">
        <v>104</v>
      </c>
      <c r="B37" s="43" t="s">
        <v>102</v>
      </c>
      <c r="C37" s="43" t="s">
        <v>107</v>
      </c>
      <c r="D37" s="43" t="s">
        <v>2</v>
      </c>
      <c r="E37" s="43" t="s">
        <v>198</v>
      </c>
      <c r="F37" s="348">
        <f>F38</f>
        <v>47864.262999999999</v>
      </c>
      <c r="G37" s="348">
        <f t="shared" si="8"/>
        <v>48575.828640000007</v>
      </c>
      <c r="H37" s="348">
        <f t="shared" si="8"/>
        <v>44032.761859999999</v>
      </c>
      <c r="O37" s="40"/>
    </row>
    <row r="38" spans="1:15" s="40" customFormat="1" ht="48.75" customHeight="1">
      <c r="A38" s="76" t="s">
        <v>106</v>
      </c>
      <c r="B38" s="53" t="s">
        <v>102</v>
      </c>
      <c r="C38" s="53" t="s">
        <v>107</v>
      </c>
      <c r="D38" s="53" t="s">
        <v>5</v>
      </c>
      <c r="E38" s="53" t="s">
        <v>198</v>
      </c>
      <c r="F38" s="41">
        <f>F39+F41+F43</f>
        <v>47864.262999999999</v>
      </c>
      <c r="G38" s="41">
        <f t="shared" ref="G38:H38" si="9">G39+G41+G43</f>
        <v>48575.828640000007</v>
      </c>
      <c r="H38" s="41">
        <f t="shared" si="9"/>
        <v>44032.761859999999</v>
      </c>
      <c r="O38" s="24"/>
    </row>
    <row r="39" spans="1:15" ht="96" customHeight="1">
      <c r="A39" s="77" t="s">
        <v>605</v>
      </c>
      <c r="B39" s="43" t="s">
        <v>102</v>
      </c>
      <c r="C39" s="43" t="s">
        <v>107</v>
      </c>
      <c r="D39" s="43" t="s">
        <v>5</v>
      </c>
      <c r="E39" s="43" t="s">
        <v>606</v>
      </c>
      <c r="F39" s="348">
        <f>F40</f>
        <v>35925.663</v>
      </c>
      <c r="G39" s="348">
        <f>G40</f>
        <v>37294.226000000002</v>
      </c>
      <c r="H39" s="348">
        <f>H40</f>
        <v>38731.216999999997</v>
      </c>
    </row>
    <row r="40" spans="1:15" ht="39" customHeight="1">
      <c r="A40" s="77" t="s">
        <v>607</v>
      </c>
      <c r="B40" s="43" t="s">
        <v>102</v>
      </c>
      <c r="C40" s="43" t="s">
        <v>107</v>
      </c>
      <c r="D40" s="43" t="s">
        <v>5</v>
      </c>
      <c r="E40" s="43" t="s">
        <v>608</v>
      </c>
      <c r="F40" s="348">
        <v>35925.663</v>
      </c>
      <c r="G40" s="348">
        <v>37294.226000000002</v>
      </c>
      <c r="H40" s="348">
        <v>38731.216999999997</v>
      </c>
    </row>
    <row r="41" spans="1:15" ht="33" customHeight="1">
      <c r="A41" s="77" t="s">
        <v>611</v>
      </c>
      <c r="B41" s="43" t="s">
        <v>102</v>
      </c>
      <c r="C41" s="43" t="s">
        <v>107</v>
      </c>
      <c r="D41" s="43" t="s">
        <v>5</v>
      </c>
      <c r="E41" s="43" t="s">
        <v>612</v>
      </c>
      <c r="F41" s="348">
        <f>F42</f>
        <v>11427.6</v>
      </c>
      <c r="G41" s="348">
        <f>G42</f>
        <v>10770.602640000001</v>
      </c>
      <c r="H41" s="348">
        <f>H42</f>
        <v>4790.5448599999991</v>
      </c>
    </row>
    <row r="42" spans="1:15" ht="49.5" customHeight="1">
      <c r="A42" s="77" t="s">
        <v>613</v>
      </c>
      <c r="B42" s="43" t="s">
        <v>102</v>
      </c>
      <c r="C42" s="43" t="s">
        <v>107</v>
      </c>
      <c r="D42" s="43" t="s">
        <v>5</v>
      </c>
      <c r="E42" s="43" t="s">
        <v>614</v>
      </c>
      <c r="F42" s="348">
        <v>11427.6</v>
      </c>
      <c r="G42" s="348">
        <f>10770.6+0.00264</f>
        <v>10770.602640000001</v>
      </c>
      <c r="H42" s="348">
        <f>5354.91213-316.068-248.29927</f>
        <v>4790.5448599999991</v>
      </c>
    </row>
    <row r="43" spans="1:15" ht="18" customHeight="1">
      <c r="A43" s="77" t="s">
        <v>615</v>
      </c>
      <c r="B43" s="43" t="s">
        <v>102</v>
      </c>
      <c r="C43" s="43" t="s">
        <v>107</v>
      </c>
      <c r="D43" s="43" t="s">
        <v>5</v>
      </c>
      <c r="E43" s="43" t="s">
        <v>616</v>
      </c>
      <c r="F43" s="348">
        <f>F44</f>
        <v>511</v>
      </c>
      <c r="G43" s="348">
        <f>G44</f>
        <v>511</v>
      </c>
      <c r="H43" s="348">
        <f>H44</f>
        <v>511</v>
      </c>
    </row>
    <row r="44" spans="1:15" ht="17.25" customHeight="1">
      <c r="A44" s="74" t="s">
        <v>617</v>
      </c>
      <c r="B44" s="37" t="s">
        <v>102</v>
      </c>
      <c r="C44" s="37" t="s">
        <v>107</v>
      </c>
      <c r="D44" s="37" t="s">
        <v>5</v>
      </c>
      <c r="E44" s="37" t="s">
        <v>618</v>
      </c>
      <c r="F44" s="38">
        <v>511</v>
      </c>
      <c r="G44" s="38">
        <v>511</v>
      </c>
      <c r="H44" s="38">
        <v>511</v>
      </c>
      <c r="O44" s="36"/>
    </row>
    <row r="45" spans="1:15" s="36" customFormat="1" ht="49.5" customHeight="1">
      <c r="A45" s="73" t="s">
        <v>360</v>
      </c>
      <c r="B45" s="34" t="s">
        <v>102</v>
      </c>
      <c r="C45" s="34" t="s">
        <v>620</v>
      </c>
      <c r="D45" s="34" t="s">
        <v>223</v>
      </c>
      <c r="E45" s="34" t="s">
        <v>198</v>
      </c>
      <c r="F45" s="35">
        <f>F46</f>
        <v>13.552</v>
      </c>
      <c r="G45" s="35">
        <f t="shared" ref="G45:H45" si="10">G46</f>
        <v>109.01200000000001</v>
      </c>
      <c r="H45" s="35">
        <f t="shared" si="10"/>
        <v>17.384</v>
      </c>
      <c r="O45" s="24"/>
    </row>
    <row r="46" spans="1:15" ht="33.75" customHeight="1">
      <c r="A46" s="77" t="s">
        <v>611</v>
      </c>
      <c r="B46" s="43" t="s">
        <v>102</v>
      </c>
      <c r="C46" s="43" t="s">
        <v>620</v>
      </c>
      <c r="D46" s="43" t="s">
        <v>223</v>
      </c>
      <c r="E46" s="43" t="s">
        <v>612</v>
      </c>
      <c r="F46" s="348">
        <f t="shared" ref="F46:H46" si="11">F47</f>
        <v>13.552</v>
      </c>
      <c r="G46" s="348">
        <f t="shared" si="11"/>
        <v>109.01200000000001</v>
      </c>
      <c r="H46" s="348">
        <f t="shared" si="11"/>
        <v>17.384</v>
      </c>
    </row>
    <row r="47" spans="1:15" ht="52.5" customHeight="1">
      <c r="A47" s="77" t="s">
        <v>613</v>
      </c>
      <c r="B47" s="43" t="s">
        <v>102</v>
      </c>
      <c r="C47" s="43" t="s">
        <v>620</v>
      </c>
      <c r="D47" s="43" t="s">
        <v>223</v>
      </c>
      <c r="E47" s="43" t="s">
        <v>614</v>
      </c>
      <c r="F47" s="4">
        <f>'5'!D325</f>
        <v>13.552</v>
      </c>
      <c r="G47" s="4">
        <f>'5'!E325</f>
        <v>109.01200000000001</v>
      </c>
      <c r="H47" s="4">
        <f>'5'!F325</f>
        <v>17.384</v>
      </c>
      <c r="O47" s="36"/>
    </row>
    <row r="48" spans="1:15" s="36" customFormat="1" ht="63" customHeight="1">
      <c r="A48" s="73" t="s">
        <v>621</v>
      </c>
      <c r="B48" s="34" t="s">
        <v>102</v>
      </c>
      <c r="C48" s="34" t="s">
        <v>622</v>
      </c>
      <c r="D48" s="34" t="s">
        <v>601</v>
      </c>
      <c r="E48" s="34" t="s">
        <v>198</v>
      </c>
      <c r="F48" s="35">
        <f>F51+F60+F69</f>
        <v>14596.7</v>
      </c>
      <c r="G48" s="35">
        <f t="shared" ref="G48:H48" si="12">G51+G60+G69</f>
        <v>15036.208000000001</v>
      </c>
      <c r="H48" s="35">
        <f t="shared" si="12"/>
        <v>14850.096</v>
      </c>
      <c r="O48" s="24"/>
    </row>
    <row r="49" spans="1:15" ht="33.75" customHeight="1">
      <c r="A49" s="77" t="s">
        <v>184</v>
      </c>
      <c r="B49" s="43" t="s">
        <v>102</v>
      </c>
      <c r="C49" s="43" t="s">
        <v>622</v>
      </c>
      <c r="D49" s="43" t="s">
        <v>1</v>
      </c>
      <c r="E49" s="43" t="s">
        <v>198</v>
      </c>
      <c r="F49" s="348">
        <f t="shared" ref="F49:H49" si="13">F50</f>
        <v>14596.7</v>
      </c>
      <c r="G49" s="348">
        <f t="shared" si="13"/>
        <v>15036.208000000001</v>
      </c>
      <c r="H49" s="348">
        <f t="shared" si="13"/>
        <v>14850.096</v>
      </c>
    </row>
    <row r="50" spans="1:15" ht="47.25" customHeight="1">
      <c r="A50" s="77" t="s">
        <v>104</v>
      </c>
      <c r="B50" s="43" t="s">
        <v>102</v>
      </c>
      <c r="C50" s="43" t="s">
        <v>622</v>
      </c>
      <c r="D50" s="43" t="s">
        <v>2</v>
      </c>
      <c r="E50" s="43" t="s">
        <v>198</v>
      </c>
      <c r="F50" s="348">
        <f>F51+F60+F67</f>
        <v>14596.7</v>
      </c>
      <c r="G50" s="348">
        <f>G51+G60+G67</f>
        <v>15036.208000000001</v>
      </c>
      <c r="H50" s="348">
        <f>H51+H60+H67</f>
        <v>14850.096</v>
      </c>
      <c r="O50" s="40"/>
    </row>
    <row r="51" spans="1:15" s="40" customFormat="1" ht="48.75" customHeight="1">
      <c r="A51" s="76" t="s">
        <v>623</v>
      </c>
      <c r="B51" s="53" t="s">
        <v>102</v>
      </c>
      <c r="C51" s="53" t="s">
        <v>622</v>
      </c>
      <c r="D51" s="53" t="s">
        <v>5</v>
      </c>
      <c r="E51" s="53" t="s">
        <v>198</v>
      </c>
      <c r="F51" s="41">
        <f>F52+F54+F58+F56</f>
        <v>11334</v>
      </c>
      <c r="G51" s="41">
        <f t="shared" ref="G51:H51" si="14">G52+G54+G58+G56</f>
        <v>11834</v>
      </c>
      <c r="H51" s="41">
        <f t="shared" si="14"/>
        <v>11534</v>
      </c>
      <c r="O51" s="24"/>
    </row>
    <row r="52" spans="1:15" ht="95.25" customHeight="1">
      <c r="A52" s="77" t="s">
        <v>605</v>
      </c>
      <c r="B52" s="43" t="s">
        <v>102</v>
      </c>
      <c r="C52" s="43" t="s">
        <v>622</v>
      </c>
      <c r="D52" s="43" t="s">
        <v>5</v>
      </c>
      <c r="E52" s="43" t="s">
        <v>606</v>
      </c>
      <c r="F52" s="348">
        <f>F53</f>
        <v>9716.2180000000008</v>
      </c>
      <c r="G52" s="348">
        <f>G53</f>
        <v>10216.218000000001</v>
      </c>
      <c r="H52" s="348">
        <f>H53</f>
        <v>10916.218000000001</v>
      </c>
    </row>
    <row r="53" spans="1:15" ht="33" customHeight="1">
      <c r="A53" s="77" t="s">
        <v>607</v>
      </c>
      <c r="B53" s="43" t="s">
        <v>102</v>
      </c>
      <c r="C53" s="43" t="s">
        <v>622</v>
      </c>
      <c r="D53" s="43" t="s">
        <v>5</v>
      </c>
      <c r="E53" s="43" t="s">
        <v>608</v>
      </c>
      <c r="F53" s="348">
        <v>9716.2180000000008</v>
      </c>
      <c r="G53" s="348">
        <f>9716.218+500</f>
        <v>10216.218000000001</v>
      </c>
      <c r="H53" s="348">
        <v>10916.218000000001</v>
      </c>
    </row>
    <row r="54" spans="1:15" ht="33" customHeight="1">
      <c r="A54" s="77" t="s">
        <v>611</v>
      </c>
      <c r="B54" s="43" t="s">
        <v>102</v>
      </c>
      <c r="C54" s="43" t="s">
        <v>622</v>
      </c>
      <c r="D54" s="43" t="s">
        <v>5</v>
      </c>
      <c r="E54" s="43" t="s">
        <v>612</v>
      </c>
      <c r="F54" s="348">
        <f>F55</f>
        <v>1612.7820000000002</v>
      </c>
      <c r="G54" s="348">
        <f>G55</f>
        <v>1612.7820000000002</v>
      </c>
      <c r="H54" s="348">
        <f>H55</f>
        <v>612.78200000000015</v>
      </c>
    </row>
    <row r="55" spans="1:15" ht="48" customHeight="1">
      <c r="A55" s="77" t="s">
        <v>613</v>
      </c>
      <c r="B55" s="43" t="s">
        <v>102</v>
      </c>
      <c r="C55" s="43" t="s">
        <v>622</v>
      </c>
      <c r="D55" s="43" t="s">
        <v>5</v>
      </c>
      <c r="E55" s="43" t="s">
        <v>614</v>
      </c>
      <c r="F55" s="348">
        <f>167.949+7+1155.833+282</f>
        <v>1612.7820000000002</v>
      </c>
      <c r="G55" s="348">
        <f t="shared" ref="G55" si="15">167.949+7+1155.833+282</f>
        <v>1612.7820000000002</v>
      </c>
      <c r="H55" s="348">
        <f>167.949+7+1155.833+282-1000</f>
        <v>612.78200000000015</v>
      </c>
    </row>
    <row r="56" spans="1:15" ht="34.5" hidden="1" customHeight="1">
      <c r="A56" s="77" t="s">
        <v>758</v>
      </c>
      <c r="B56" s="43" t="s">
        <v>102</v>
      </c>
      <c r="C56" s="43" t="s">
        <v>622</v>
      </c>
      <c r="D56" s="43" t="s">
        <v>5</v>
      </c>
      <c r="E56" s="43" t="s">
        <v>759</v>
      </c>
      <c r="F56" s="348">
        <v>0</v>
      </c>
      <c r="G56" s="348">
        <f>G57</f>
        <v>0</v>
      </c>
      <c r="H56" s="348">
        <f>H57</f>
        <v>0</v>
      </c>
    </row>
    <row r="57" spans="1:15" ht="33.75" hidden="1" customHeight="1">
      <c r="A57" s="77" t="s">
        <v>115</v>
      </c>
      <c r="B57" s="43" t="s">
        <v>102</v>
      </c>
      <c r="C57" s="43" t="s">
        <v>622</v>
      </c>
      <c r="D57" s="43" t="s">
        <v>5</v>
      </c>
      <c r="E57" s="43" t="s">
        <v>799</v>
      </c>
      <c r="F57" s="348">
        <v>0</v>
      </c>
      <c r="G57" s="348">
        <v>0</v>
      </c>
      <c r="H57" s="348">
        <v>0</v>
      </c>
    </row>
    <row r="58" spans="1:15" ht="17.25" customHeight="1">
      <c r="A58" s="77" t="s">
        <v>615</v>
      </c>
      <c r="B58" s="43" t="s">
        <v>102</v>
      </c>
      <c r="C58" s="43" t="s">
        <v>622</v>
      </c>
      <c r="D58" s="43" t="s">
        <v>5</v>
      </c>
      <c r="E58" s="43" t="s">
        <v>616</v>
      </c>
      <c r="F58" s="348">
        <f>F59</f>
        <v>5</v>
      </c>
      <c r="G58" s="348">
        <f>G59</f>
        <v>5</v>
      </c>
      <c r="H58" s="348">
        <f>H59</f>
        <v>5</v>
      </c>
    </row>
    <row r="59" spans="1:15" ht="17.25" customHeight="1">
      <c r="A59" s="77" t="s">
        <v>617</v>
      </c>
      <c r="B59" s="43" t="s">
        <v>102</v>
      </c>
      <c r="C59" s="43" t="s">
        <v>622</v>
      </c>
      <c r="D59" s="43" t="s">
        <v>5</v>
      </c>
      <c r="E59" s="43" t="s">
        <v>618</v>
      </c>
      <c r="F59" s="348">
        <v>5</v>
      </c>
      <c r="G59" s="348">
        <v>5</v>
      </c>
      <c r="H59" s="348">
        <v>5</v>
      </c>
      <c r="O59" s="40"/>
    </row>
    <row r="60" spans="1:15" s="40" customFormat="1" ht="48" customHeight="1">
      <c r="A60" s="76" t="s">
        <v>624</v>
      </c>
      <c r="B60" s="53" t="s">
        <v>102</v>
      </c>
      <c r="C60" s="53" t="s">
        <v>622</v>
      </c>
      <c r="D60" s="53" t="s">
        <v>5</v>
      </c>
      <c r="E60" s="53" t="s">
        <v>198</v>
      </c>
      <c r="F60" s="41">
        <f>F63+F65+F61</f>
        <v>475</v>
      </c>
      <c r="G60" s="41">
        <f>G63+G65+G61</f>
        <v>355</v>
      </c>
      <c r="H60" s="41">
        <f>H63+H65+H61</f>
        <v>355</v>
      </c>
    </row>
    <row r="61" spans="1:15" s="40" customFormat="1" ht="94.5" hidden="1" customHeight="1">
      <c r="A61" s="77" t="s">
        <v>605</v>
      </c>
      <c r="B61" s="43" t="s">
        <v>102</v>
      </c>
      <c r="C61" s="43" t="s">
        <v>622</v>
      </c>
      <c r="D61" s="53" t="s">
        <v>5</v>
      </c>
      <c r="E61" s="43" t="s">
        <v>606</v>
      </c>
      <c r="F61" s="348">
        <f>F62</f>
        <v>0</v>
      </c>
      <c r="G61" s="348">
        <f>G62</f>
        <v>0</v>
      </c>
      <c r="H61" s="348">
        <f>H62</f>
        <v>0</v>
      </c>
    </row>
    <row r="62" spans="1:15" s="40" customFormat="1" ht="31.5" hidden="1" customHeight="1">
      <c r="A62" s="77" t="s">
        <v>607</v>
      </c>
      <c r="B62" s="43" t="s">
        <v>102</v>
      </c>
      <c r="C62" s="43" t="s">
        <v>622</v>
      </c>
      <c r="D62" s="53" t="s">
        <v>5</v>
      </c>
      <c r="E62" s="43" t="s">
        <v>608</v>
      </c>
      <c r="F62" s="348"/>
      <c r="G62" s="348"/>
      <c r="H62" s="348"/>
      <c r="O62" s="24"/>
    </row>
    <row r="63" spans="1:15" ht="34.5" customHeight="1">
      <c r="A63" s="77" t="s">
        <v>611</v>
      </c>
      <c r="B63" s="43" t="s">
        <v>102</v>
      </c>
      <c r="C63" s="43" t="s">
        <v>622</v>
      </c>
      <c r="D63" s="43" t="s">
        <v>5</v>
      </c>
      <c r="E63" s="43" t="s">
        <v>612</v>
      </c>
      <c r="F63" s="348">
        <f>F64</f>
        <v>473</v>
      </c>
      <c r="G63" s="348">
        <f>G64</f>
        <v>353</v>
      </c>
      <c r="H63" s="348">
        <f>H64</f>
        <v>353</v>
      </c>
    </row>
    <row r="64" spans="1:15" ht="45.75" customHeight="1">
      <c r="A64" s="77" t="s">
        <v>613</v>
      </c>
      <c r="B64" s="43" t="s">
        <v>102</v>
      </c>
      <c r="C64" s="43" t="s">
        <v>622</v>
      </c>
      <c r="D64" s="43" t="s">
        <v>5</v>
      </c>
      <c r="E64" s="43" t="s">
        <v>614</v>
      </c>
      <c r="F64" s="348">
        <f>353+120</f>
        <v>473</v>
      </c>
      <c r="G64" s="348">
        <v>353</v>
      </c>
      <c r="H64" s="348">
        <v>353</v>
      </c>
    </row>
    <row r="65" spans="1:15" ht="16.5" customHeight="1">
      <c r="A65" s="77" t="s">
        <v>615</v>
      </c>
      <c r="B65" s="43" t="s">
        <v>102</v>
      </c>
      <c r="C65" s="43" t="s">
        <v>622</v>
      </c>
      <c r="D65" s="43" t="s">
        <v>5</v>
      </c>
      <c r="E65" s="43" t="s">
        <v>616</v>
      </c>
      <c r="F65" s="348">
        <f>F66</f>
        <v>2</v>
      </c>
      <c r="G65" s="348">
        <f>G66</f>
        <v>2</v>
      </c>
      <c r="H65" s="348">
        <f>H66</f>
        <v>2</v>
      </c>
    </row>
    <row r="66" spans="1:15" ht="17.25" customHeight="1">
      <c r="A66" s="77" t="s">
        <v>617</v>
      </c>
      <c r="B66" s="43" t="s">
        <v>102</v>
      </c>
      <c r="C66" s="43" t="s">
        <v>622</v>
      </c>
      <c r="D66" s="43" t="s">
        <v>5</v>
      </c>
      <c r="E66" s="43" t="s">
        <v>618</v>
      </c>
      <c r="F66" s="348">
        <v>2</v>
      </c>
      <c r="G66" s="348">
        <v>2</v>
      </c>
      <c r="H66" s="348">
        <v>2</v>
      </c>
      <c r="O66" s="40"/>
    </row>
    <row r="67" spans="1:15" s="40" customFormat="1" ht="33" customHeight="1">
      <c r="A67" s="76" t="s">
        <v>625</v>
      </c>
      <c r="B67" s="53" t="s">
        <v>102</v>
      </c>
      <c r="C67" s="53" t="s">
        <v>622</v>
      </c>
      <c r="D67" s="53" t="s">
        <v>6</v>
      </c>
      <c r="E67" s="53" t="s">
        <v>198</v>
      </c>
      <c r="F67" s="41">
        <f>F69</f>
        <v>2787.7</v>
      </c>
      <c r="G67" s="41">
        <f>G69</f>
        <v>2847.2080000000001</v>
      </c>
      <c r="H67" s="41">
        <f>H69</f>
        <v>2961.096</v>
      </c>
      <c r="O67" s="24"/>
    </row>
    <row r="68" spans="1:15" ht="94.5" customHeight="1">
      <c r="A68" s="77" t="s">
        <v>605</v>
      </c>
      <c r="B68" s="43" t="s">
        <v>102</v>
      </c>
      <c r="C68" s="43" t="s">
        <v>622</v>
      </c>
      <c r="D68" s="43" t="s">
        <v>6</v>
      </c>
      <c r="E68" s="43" t="s">
        <v>606</v>
      </c>
      <c r="F68" s="348">
        <f>F69</f>
        <v>2787.7</v>
      </c>
      <c r="G68" s="348">
        <f>G69</f>
        <v>2847.2080000000001</v>
      </c>
      <c r="H68" s="348">
        <f>H69</f>
        <v>2961.096</v>
      </c>
    </row>
    <row r="69" spans="1:15" ht="34.5" customHeight="1">
      <c r="A69" s="77" t="s">
        <v>607</v>
      </c>
      <c r="B69" s="43" t="s">
        <v>102</v>
      </c>
      <c r="C69" s="43" t="s">
        <v>622</v>
      </c>
      <c r="D69" s="43" t="s">
        <v>6</v>
      </c>
      <c r="E69" s="43" t="s">
        <v>608</v>
      </c>
      <c r="F69" s="348">
        <f>'5'!D273</f>
        <v>2787.7</v>
      </c>
      <c r="G69" s="348">
        <f>'5'!E273</f>
        <v>2847.2080000000001</v>
      </c>
      <c r="H69" s="348">
        <f>'5'!F273</f>
        <v>2961.096</v>
      </c>
      <c r="O69" s="128"/>
    </row>
    <row r="70" spans="1:15" s="128" customFormat="1" ht="15.75" hidden="1" customHeight="1">
      <c r="A70" s="125" t="s">
        <v>626</v>
      </c>
      <c r="B70" s="126" t="s">
        <v>102</v>
      </c>
      <c r="C70" s="126" t="s">
        <v>627</v>
      </c>
      <c r="D70" s="126" t="s">
        <v>628</v>
      </c>
      <c r="E70" s="126" t="s">
        <v>198</v>
      </c>
      <c r="F70" s="127">
        <f>F71</f>
        <v>0</v>
      </c>
      <c r="G70" s="127">
        <f>G71</f>
        <v>0</v>
      </c>
      <c r="H70" s="127">
        <f>H71</f>
        <v>0</v>
      </c>
    </row>
    <row r="71" spans="1:15" s="128" customFormat="1" ht="31.5" hidden="1" customHeight="1">
      <c r="A71" s="125" t="s">
        <v>629</v>
      </c>
      <c r="B71" s="126" t="s">
        <v>102</v>
      </c>
      <c r="C71" s="126" t="s">
        <v>627</v>
      </c>
      <c r="D71" s="126" t="s">
        <v>630</v>
      </c>
      <c r="E71" s="126" t="s">
        <v>198</v>
      </c>
      <c r="F71" s="127">
        <f>F73</f>
        <v>0</v>
      </c>
      <c r="G71" s="127">
        <f>G73</f>
        <v>0</v>
      </c>
      <c r="H71" s="127">
        <f>H73</f>
        <v>0</v>
      </c>
    </row>
    <row r="72" spans="1:15" s="128" customFormat="1" ht="15.75" hidden="1" customHeight="1">
      <c r="A72" s="125" t="s">
        <v>615</v>
      </c>
      <c r="B72" s="126" t="s">
        <v>102</v>
      </c>
      <c r="C72" s="126" t="s">
        <v>627</v>
      </c>
      <c r="D72" s="126" t="s">
        <v>630</v>
      </c>
      <c r="E72" s="126" t="s">
        <v>616</v>
      </c>
      <c r="F72" s="127">
        <f>F73</f>
        <v>0</v>
      </c>
      <c r="G72" s="127">
        <f>G73</f>
        <v>0</v>
      </c>
      <c r="H72" s="127">
        <f>H73</f>
        <v>0</v>
      </c>
    </row>
    <row r="73" spans="1:15" s="128" customFormat="1" ht="15.75" hidden="1" customHeight="1">
      <c r="A73" s="125" t="s">
        <v>631</v>
      </c>
      <c r="B73" s="126" t="s">
        <v>102</v>
      </c>
      <c r="C73" s="126" t="s">
        <v>627</v>
      </c>
      <c r="D73" s="126" t="s">
        <v>630</v>
      </c>
      <c r="E73" s="126" t="s">
        <v>632</v>
      </c>
      <c r="F73" s="127"/>
      <c r="G73" s="127"/>
      <c r="H73" s="127"/>
    </row>
    <row r="74" spans="1:15" s="128" customFormat="1" ht="31.5" customHeight="1">
      <c r="A74" s="156" t="s">
        <v>633</v>
      </c>
      <c r="B74" s="157" t="s">
        <v>102</v>
      </c>
      <c r="C74" s="157" t="s">
        <v>187</v>
      </c>
      <c r="D74" s="157" t="s">
        <v>601</v>
      </c>
      <c r="E74" s="157" t="s">
        <v>198</v>
      </c>
      <c r="F74" s="158">
        <f>F77</f>
        <v>3721.68</v>
      </c>
      <c r="G74" s="158">
        <f t="shared" ref="G74:H74" si="16">G77</f>
        <v>0</v>
      </c>
      <c r="H74" s="158">
        <f t="shared" si="16"/>
        <v>0</v>
      </c>
    </row>
    <row r="75" spans="1:15" s="128" customFormat="1" ht="31.5" customHeight="1">
      <c r="A75" s="151" t="s">
        <v>634</v>
      </c>
      <c r="B75" s="43" t="s">
        <v>102</v>
      </c>
      <c r="C75" s="43" t="s">
        <v>187</v>
      </c>
      <c r="D75" s="43" t="s">
        <v>1</v>
      </c>
      <c r="E75" s="43" t="s">
        <v>198</v>
      </c>
      <c r="F75" s="348">
        <f t="shared" ref="F75:H78" si="17">F76</f>
        <v>3721.68</v>
      </c>
      <c r="G75" s="348">
        <f t="shared" si="17"/>
        <v>0</v>
      </c>
      <c r="H75" s="348">
        <f t="shared" si="17"/>
        <v>0</v>
      </c>
    </row>
    <row r="76" spans="1:15" s="128" customFormat="1" ht="47.25" customHeight="1">
      <c r="A76" s="151" t="s">
        <v>104</v>
      </c>
      <c r="B76" s="43" t="s">
        <v>102</v>
      </c>
      <c r="C76" s="43" t="s">
        <v>187</v>
      </c>
      <c r="D76" s="43" t="s">
        <v>2</v>
      </c>
      <c r="E76" s="43" t="s">
        <v>198</v>
      </c>
      <c r="F76" s="348">
        <f t="shared" si="17"/>
        <v>3721.68</v>
      </c>
      <c r="G76" s="348">
        <f t="shared" si="17"/>
        <v>0</v>
      </c>
      <c r="H76" s="348">
        <f t="shared" si="17"/>
        <v>0</v>
      </c>
    </row>
    <row r="77" spans="1:15" s="128" customFormat="1" ht="31.5" customHeight="1">
      <c r="A77" s="151" t="s">
        <v>241</v>
      </c>
      <c r="B77" s="43" t="s">
        <v>102</v>
      </c>
      <c r="C77" s="43" t="s">
        <v>187</v>
      </c>
      <c r="D77" s="43" t="s">
        <v>242</v>
      </c>
      <c r="E77" s="43" t="s">
        <v>198</v>
      </c>
      <c r="F77" s="348">
        <f t="shared" si="17"/>
        <v>3721.68</v>
      </c>
      <c r="G77" s="348">
        <f t="shared" si="17"/>
        <v>0</v>
      </c>
      <c r="H77" s="348">
        <f t="shared" si="17"/>
        <v>0</v>
      </c>
    </row>
    <row r="78" spans="1:15" s="128" customFormat="1" ht="15.75" customHeight="1">
      <c r="A78" s="151" t="s">
        <v>615</v>
      </c>
      <c r="B78" s="43" t="s">
        <v>102</v>
      </c>
      <c r="C78" s="43" t="s">
        <v>187</v>
      </c>
      <c r="D78" s="43" t="s">
        <v>242</v>
      </c>
      <c r="E78" s="43" t="s">
        <v>616</v>
      </c>
      <c r="F78" s="348">
        <f t="shared" si="17"/>
        <v>3721.68</v>
      </c>
      <c r="G78" s="348">
        <f t="shared" si="17"/>
        <v>0</v>
      </c>
      <c r="H78" s="348">
        <f t="shared" si="17"/>
        <v>0</v>
      </c>
    </row>
    <row r="79" spans="1:15" s="128" customFormat="1" ht="15.75" customHeight="1">
      <c r="A79" s="152" t="s">
        <v>635</v>
      </c>
      <c r="B79" s="43" t="s">
        <v>102</v>
      </c>
      <c r="C79" s="43" t="s">
        <v>187</v>
      </c>
      <c r="D79" s="43" t="s">
        <v>242</v>
      </c>
      <c r="E79" s="43" t="s">
        <v>636</v>
      </c>
      <c r="F79" s="348">
        <v>3721.68</v>
      </c>
      <c r="G79" s="348">
        <v>0</v>
      </c>
      <c r="H79" s="348">
        <v>0</v>
      </c>
      <c r="O79" s="36"/>
    </row>
    <row r="80" spans="1:15" s="36" customFormat="1" ht="19.5" customHeight="1">
      <c r="A80" s="46" t="s">
        <v>626</v>
      </c>
      <c r="B80" s="34" t="s">
        <v>102</v>
      </c>
      <c r="C80" s="34" t="s">
        <v>627</v>
      </c>
      <c r="D80" s="34" t="s">
        <v>601</v>
      </c>
      <c r="E80" s="34" t="s">
        <v>198</v>
      </c>
      <c r="F80" s="35">
        <f>F83</f>
        <v>9478.0640000000003</v>
      </c>
      <c r="G80" s="35">
        <f t="shared" ref="G80:H80" si="18">G83</f>
        <v>3000</v>
      </c>
      <c r="H80" s="35">
        <f t="shared" si="18"/>
        <v>3000</v>
      </c>
      <c r="O80" s="24"/>
    </row>
    <row r="81" spans="1:15" ht="33.75" customHeight="1">
      <c r="A81" s="148" t="s">
        <v>604</v>
      </c>
      <c r="B81" s="37" t="s">
        <v>102</v>
      </c>
      <c r="C81" s="37" t="s">
        <v>627</v>
      </c>
      <c r="D81" s="149" t="s">
        <v>1</v>
      </c>
      <c r="E81" s="149" t="s">
        <v>198</v>
      </c>
      <c r="F81" s="38">
        <f t="shared" ref="F81:H84" si="19">F82</f>
        <v>9478.0640000000003</v>
      </c>
      <c r="G81" s="38">
        <f t="shared" si="19"/>
        <v>3000</v>
      </c>
      <c r="H81" s="38">
        <f t="shared" si="19"/>
        <v>3000</v>
      </c>
    </row>
    <row r="82" spans="1:15" ht="49.5" customHeight="1">
      <c r="A82" s="159" t="s">
        <v>104</v>
      </c>
      <c r="B82" s="43" t="s">
        <v>102</v>
      </c>
      <c r="C82" s="43" t="s">
        <v>627</v>
      </c>
      <c r="D82" s="160" t="s">
        <v>2</v>
      </c>
      <c r="E82" s="160" t="s">
        <v>198</v>
      </c>
      <c r="F82" s="348">
        <f t="shared" si="19"/>
        <v>9478.0640000000003</v>
      </c>
      <c r="G82" s="348">
        <f t="shared" si="19"/>
        <v>3000</v>
      </c>
      <c r="H82" s="348">
        <f t="shared" si="19"/>
        <v>3000</v>
      </c>
    </row>
    <row r="83" spans="1:15" ht="33" customHeight="1">
      <c r="A83" s="159" t="s">
        <v>280</v>
      </c>
      <c r="B83" s="43" t="s">
        <v>102</v>
      </c>
      <c r="C83" s="43" t="s">
        <v>627</v>
      </c>
      <c r="D83" s="43" t="s">
        <v>281</v>
      </c>
      <c r="E83" s="160" t="s">
        <v>198</v>
      </c>
      <c r="F83" s="348">
        <f t="shared" si="19"/>
        <v>9478.0640000000003</v>
      </c>
      <c r="G83" s="348">
        <f t="shared" si="19"/>
        <v>3000</v>
      </c>
      <c r="H83" s="348">
        <f t="shared" si="19"/>
        <v>3000</v>
      </c>
    </row>
    <row r="84" spans="1:15" ht="20.25" customHeight="1">
      <c r="A84" s="159" t="s">
        <v>615</v>
      </c>
      <c r="B84" s="43" t="s">
        <v>102</v>
      </c>
      <c r="C84" s="43" t="s">
        <v>627</v>
      </c>
      <c r="D84" s="43" t="s">
        <v>281</v>
      </c>
      <c r="E84" s="160" t="s">
        <v>616</v>
      </c>
      <c r="F84" s="348">
        <f t="shared" si="19"/>
        <v>9478.0640000000003</v>
      </c>
      <c r="G84" s="348">
        <f t="shared" si="19"/>
        <v>3000</v>
      </c>
      <c r="H84" s="348">
        <f t="shared" si="19"/>
        <v>3000</v>
      </c>
    </row>
    <row r="85" spans="1:15" ht="18" customHeight="1">
      <c r="A85" s="159" t="s">
        <v>631</v>
      </c>
      <c r="B85" s="43" t="s">
        <v>102</v>
      </c>
      <c r="C85" s="43" t="s">
        <v>627</v>
      </c>
      <c r="D85" s="43" t="s">
        <v>281</v>
      </c>
      <c r="E85" s="160" t="s">
        <v>632</v>
      </c>
      <c r="F85" s="348">
        <f>'5'!D298</f>
        <v>9478.0640000000003</v>
      </c>
      <c r="G85" s="348">
        <f>'5'!E298</f>
        <v>3000</v>
      </c>
      <c r="H85" s="348">
        <f>'5'!F298</f>
        <v>3000</v>
      </c>
      <c r="O85" s="36"/>
    </row>
    <row r="86" spans="1:15" s="36" customFormat="1" ht="18.75" customHeight="1">
      <c r="A86" s="33" t="s">
        <v>637</v>
      </c>
      <c r="B86" s="34" t="s">
        <v>102</v>
      </c>
      <c r="C86" s="34" t="s">
        <v>638</v>
      </c>
      <c r="D86" s="34" t="s">
        <v>601</v>
      </c>
      <c r="E86" s="34" t="s">
        <v>198</v>
      </c>
      <c r="F86" s="35">
        <f>F88+F93+F98+F103+F108+F127+F137+F140+F152+F173+F194+F197+F204+F228+F146</f>
        <v>19334.895</v>
      </c>
      <c r="G86" s="35">
        <f>G88+G93+G98+G103+G108+G127+G137+G140+G152+G173+G194+G197+G204</f>
        <v>15676.758999999998</v>
      </c>
      <c r="H86" s="35">
        <f>H88+H93+H98+H103+H108+H127+H137+H140+H152+H173+H194+H197+H204</f>
        <v>16265.644999999999</v>
      </c>
      <c r="O86" s="24"/>
    </row>
    <row r="87" spans="1:15" ht="17.25" customHeight="1">
      <c r="A87" s="151" t="s">
        <v>639</v>
      </c>
      <c r="B87" s="43" t="s">
        <v>102</v>
      </c>
      <c r="C87" s="43" t="s">
        <v>638</v>
      </c>
      <c r="D87" s="43" t="s">
        <v>601</v>
      </c>
      <c r="E87" s="43" t="s">
        <v>198</v>
      </c>
      <c r="F87" s="348">
        <f>F88+F93+F98+F103+F108+F150+F112</f>
        <v>8268.7889999999989</v>
      </c>
      <c r="G87" s="348">
        <f>G88+G93+G98+G103+G108+G150+G112</f>
        <v>7359.6989999999996</v>
      </c>
      <c r="H87" s="348">
        <f>H88+H93+H98+H103+H108+H150+H112</f>
        <v>7543.744999999999</v>
      </c>
      <c r="O87" s="40"/>
    </row>
    <row r="88" spans="1:15" s="40" customFormat="1" ht="69" customHeight="1">
      <c r="A88" s="76" t="s">
        <v>640</v>
      </c>
      <c r="B88" s="53" t="s">
        <v>102</v>
      </c>
      <c r="C88" s="53" t="s">
        <v>638</v>
      </c>
      <c r="D88" s="53" t="s">
        <v>7</v>
      </c>
      <c r="E88" s="53" t="s">
        <v>198</v>
      </c>
      <c r="F88" s="41">
        <f>F89+F91</f>
        <v>1112.9279999999999</v>
      </c>
      <c r="G88" s="41">
        <f t="shared" ref="G88:H88" si="20">G89+G91</f>
        <v>1158.722</v>
      </c>
      <c r="H88" s="41">
        <f t="shared" si="20"/>
        <v>1202.471</v>
      </c>
      <c r="O88" s="24"/>
    </row>
    <row r="89" spans="1:15" ht="96" customHeight="1">
      <c r="A89" s="77" t="s">
        <v>605</v>
      </c>
      <c r="B89" s="43" t="s">
        <v>102</v>
      </c>
      <c r="C89" s="43" t="s">
        <v>638</v>
      </c>
      <c r="D89" s="43" t="s">
        <v>7</v>
      </c>
      <c r="E89" s="43" t="s">
        <v>606</v>
      </c>
      <c r="F89" s="348">
        <f>F90</f>
        <v>1085.6959999999999</v>
      </c>
      <c r="G89" s="348">
        <f>G90</f>
        <v>1085.6959999999999</v>
      </c>
      <c r="H89" s="348">
        <f>H90</f>
        <v>1085.6959999999999</v>
      </c>
    </row>
    <row r="90" spans="1:15" ht="33" customHeight="1">
      <c r="A90" s="74" t="s">
        <v>607</v>
      </c>
      <c r="B90" s="37" t="s">
        <v>102</v>
      </c>
      <c r="C90" s="37" t="s">
        <v>638</v>
      </c>
      <c r="D90" s="37" t="s">
        <v>7</v>
      </c>
      <c r="E90" s="37" t="s">
        <v>608</v>
      </c>
      <c r="F90" s="348">
        <v>1085.6959999999999</v>
      </c>
      <c r="G90" s="348">
        <v>1085.6959999999999</v>
      </c>
      <c r="H90" s="348">
        <v>1085.6959999999999</v>
      </c>
    </row>
    <row r="91" spans="1:15" ht="33.75" customHeight="1">
      <c r="A91" s="74" t="s">
        <v>611</v>
      </c>
      <c r="B91" s="37" t="s">
        <v>102</v>
      </c>
      <c r="C91" s="37" t="s">
        <v>638</v>
      </c>
      <c r="D91" s="37" t="s">
        <v>7</v>
      </c>
      <c r="E91" s="37" t="s">
        <v>612</v>
      </c>
      <c r="F91" s="348">
        <f>F92</f>
        <v>27.232000000000003</v>
      </c>
      <c r="G91" s="38">
        <f>G92</f>
        <v>73.02600000000001</v>
      </c>
      <c r="H91" s="38">
        <f>H92</f>
        <v>116.77500000000001</v>
      </c>
    </row>
    <row r="92" spans="1:15" ht="48.75" customHeight="1">
      <c r="A92" s="77" t="s">
        <v>613</v>
      </c>
      <c r="B92" s="43" t="s">
        <v>102</v>
      </c>
      <c r="C92" s="43" t="s">
        <v>638</v>
      </c>
      <c r="D92" s="43" t="s">
        <v>7</v>
      </c>
      <c r="E92" s="43" t="s">
        <v>614</v>
      </c>
      <c r="F92" s="348">
        <f>25.885+1.347</f>
        <v>27.232000000000003</v>
      </c>
      <c r="G92" s="348">
        <f>67.748+5.278</f>
        <v>73.02600000000001</v>
      </c>
      <c r="H92" s="348">
        <f>111.286+5.489</f>
        <v>116.77500000000001</v>
      </c>
      <c r="O92" s="48"/>
    </row>
    <row r="93" spans="1:15" s="48" customFormat="1" ht="48" customHeight="1">
      <c r="A93" s="76" t="s">
        <v>641</v>
      </c>
      <c r="B93" s="53" t="s">
        <v>102</v>
      </c>
      <c r="C93" s="53" t="s">
        <v>638</v>
      </c>
      <c r="D93" s="58" t="s">
        <v>397</v>
      </c>
      <c r="E93" s="53" t="s">
        <v>198</v>
      </c>
      <c r="F93" s="41">
        <f>F94+F96</f>
        <v>1702.3340000000001</v>
      </c>
      <c r="G93" s="41">
        <f>G94+G96</f>
        <v>1769.2260000000001</v>
      </c>
      <c r="H93" s="41">
        <f>H94+H96</f>
        <v>1830.0200000000002</v>
      </c>
      <c r="O93" s="49"/>
    </row>
    <row r="94" spans="1:15" s="49" customFormat="1" ht="96.75" customHeight="1">
      <c r="A94" s="77" t="s">
        <v>605</v>
      </c>
      <c r="B94" s="43" t="s">
        <v>102</v>
      </c>
      <c r="C94" s="43" t="s">
        <v>638</v>
      </c>
      <c r="D94" s="43" t="s">
        <v>397</v>
      </c>
      <c r="E94" s="43" t="s">
        <v>606</v>
      </c>
      <c r="F94" s="348">
        <f>F95</f>
        <v>1702.3340000000001</v>
      </c>
      <c r="G94" s="348">
        <f>G95</f>
        <v>1769.2260000000001</v>
      </c>
      <c r="H94" s="348">
        <f>H95</f>
        <v>1830.0200000000002</v>
      </c>
      <c r="O94" s="24"/>
    </row>
    <row r="95" spans="1:15" ht="31.5" customHeight="1">
      <c r="A95" s="77" t="s">
        <v>607</v>
      </c>
      <c r="B95" s="43" t="s">
        <v>102</v>
      </c>
      <c r="C95" s="43" t="s">
        <v>638</v>
      </c>
      <c r="D95" s="43" t="s">
        <v>397</v>
      </c>
      <c r="E95" s="43" t="s">
        <v>608</v>
      </c>
      <c r="F95" s="348">
        <f>16.491+1680.967+4.876</f>
        <v>1702.3340000000001</v>
      </c>
      <c r="G95" s="348">
        <f>16.491+1680.967+57.922+13.846</f>
        <v>1769.2260000000001</v>
      </c>
      <c r="H95" s="348">
        <f>16.491+1680.967+57.922+60.239+14.401</f>
        <v>1830.0200000000002</v>
      </c>
    </row>
    <row r="96" spans="1:15" ht="33.75" hidden="1" customHeight="1">
      <c r="A96" s="77" t="s">
        <v>611</v>
      </c>
      <c r="B96" s="43" t="s">
        <v>102</v>
      </c>
      <c r="C96" s="43" t="s">
        <v>638</v>
      </c>
      <c r="D96" s="43" t="s">
        <v>397</v>
      </c>
      <c r="E96" s="43" t="s">
        <v>612</v>
      </c>
      <c r="F96" s="348">
        <f>F97</f>
        <v>0</v>
      </c>
      <c r="G96" s="348">
        <f>G97</f>
        <v>0</v>
      </c>
      <c r="H96" s="348">
        <f>H97</f>
        <v>0</v>
      </c>
    </row>
    <row r="97" spans="1:15" ht="49.5" hidden="1" customHeight="1">
      <c r="A97" s="77" t="s">
        <v>613</v>
      </c>
      <c r="B97" s="43" t="s">
        <v>102</v>
      </c>
      <c r="C97" s="43" t="s">
        <v>638</v>
      </c>
      <c r="D97" s="43" t="s">
        <v>397</v>
      </c>
      <c r="E97" s="43" t="s">
        <v>614</v>
      </c>
      <c r="F97" s="348">
        <v>0</v>
      </c>
      <c r="G97" s="348">
        <v>0</v>
      </c>
      <c r="H97" s="348">
        <v>0</v>
      </c>
      <c r="O97" s="40"/>
    </row>
    <row r="98" spans="1:15" s="40" customFormat="1" ht="49.5" customHeight="1">
      <c r="A98" s="76" t="s">
        <v>642</v>
      </c>
      <c r="B98" s="53" t="s">
        <v>102</v>
      </c>
      <c r="C98" s="53" t="s">
        <v>638</v>
      </c>
      <c r="D98" s="53" t="s">
        <v>397</v>
      </c>
      <c r="E98" s="53" t="s">
        <v>198</v>
      </c>
      <c r="F98" s="41">
        <f>F99+F101</f>
        <v>1197.2910000000002</v>
      </c>
      <c r="G98" s="41">
        <f>G99+G101</f>
        <v>1256.5540000000001</v>
      </c>
      <c r="H98" s="41">
        <f>H99+H101</f>
        <v>1316.7930000000001</v>
      </c>
      <c r="O98" s="24"/>
    </row>
    <row r="99" spans="1:15" ht="97.5" customHeight="1">
      <c r="A99" s="77" t="s">
        <v>605</v>
      </c>
      <c r="B99" s="43" t="s">
        <v>102</v>
      </c>
      <c r="C99" s="43" t="s">
        <v>638</v>
      </c>
      <c r="D99" s="43" t="s">
        <v>397</v>
      </c>
      <c r="E99" s="43" t="s">
        <v>606</v>
      </c>
      <c r="F99" s="348">
        <f>F100</f>
        <v>1197.2910000000002</v>
      </c>
      <c r="G99" s="348">
        <f>G100</f>
        <v>1256.5540000000001</v>
      </c>
      <c r="H99" s="348">
        <f>H100</f>
        <v>1316.7930000000001</v>
      </c>
    </row>
    <row r="100" spans="1:15" ht="31.5" customHeight="1">
      <c r="A100" s="77" t="s">
        <v>607</v>
      </c>
      <c r="B100" s="43" t="s">
        <v>102</v>
      </c>
      <c r="C100" s="43" t="s">
        <v>638</v>
      </c>
      <c r="D100" s="43" t="s">
        <v>397</v>
      </c>
      <c r="E100" s="43" t="s">
        <v>608</v>
      </c>
      <c r="F100" s="348">
        <f>16.491+1182.141-1.341</f>
        <v>1197.2910000000002</v>
      </c>
      <c r="G100" s="348">
        <f>16.491+1182.141+57.922</f>
        <v>1256.5540000000001</v>
      </c>
      <c r="H100" s="348">
        <f>16.491+1182.141+57.922+60.239</f>
        <v>1316.7930000000001</v>
      </c>
    </row>
    <row r="101" spans="1:15" ht="35.25" hidden="1" customHeight="1">
      <c r="A101" s="77" t="s">
        <v>611</v>
      </c>
      <c r="B101" s="43" t="s">
        <v>102</v>
      </c>
      <c r="C101" s="43" t="s">
        <v>638</v>
      </c>
      <c r="D101" s="43" t="s">
        <v>397</v>
      </c>
      <c r="E101" s="43" t="s">
        <v>612</v>
      </c>
      <c r="F101" s="348">
        <f>F102</f>
        <v>0</v>
      </c>
      <c r="G101" s="348">
        <f>G102</f>
        <v>0</v>
      </c>
      <c r="H101" s="348">
        <f>H102</f>
        <v>0</v>
      </c>
    </row>
    <row r="102" spans="1:15" ht="48" hidden="1" customHeight="1">
      <c r="A102" s="77" t="s">
        <v>613</v>
      </c>
      <c r="B102" s="43" t="s">
        <v>102</v>
      </c>
      <c r="C102" s="43" t="s">
        <v>638</v>
      </c>
      <c r="D102" s="43" t="s">
        <v>397</v>
      </c>
      <c r="E102" s="43" t="s">
        <v>614</v>
      </c>
      <c r="F102" s="348">
        <v>0</v>
      </c>
      <c r="G102" s="348">
        <v>0</v>
      </c>
      <c r="H102" s="348">
        <v>0</v>
      </c>
      <c r="O102" s="40"/>
    </row>
    <row r="103" spans="1:15" s="40" customFormat="1" ht="115.5" customHeight="1">
      <c r="A103" s="76" t="s">
        <v>643</v>
      </c>
      <c r="B103" s="53" t="s">
        <v>102</v>
      </c>
      <c r="C103" s="53" t="s">
        <v>638</v>
      </c>
      <c r="D103" s="53" t="s">
        <v>644</v>
      </c>
      <c r="E103" s="53" t="s">
        <v>198</v>
      </c>
      <c r="F103" s="41">
        <f>F105+F106</f>
        <v>2693.587</v>
      </c>
      <c r="G103" s="41">
        <f t="shared" ref="G103:H103" si="21">G105+G106</f>
        <v>2693.587</v>
      </c>
      <c r="H103" s="41">
        <f t="shared" si="21"/>
        <v>2693.587</v>
      </c>
      <c r="O103" s="24"/>
    </row>
    <row r="104" spans="1:15" ht="99" customHeight="1">
      <c r="A104" s="77" t="s">
        <v>605</v>
      </c>
      <c r="B104" s="43" t="s">
        <v>102</v>
      </c>
      <c r="C104" s="43" t="s">
        <v>638</v>
      </c>
      <c r="D104" s="43" t="s">
        <v>644</v>
      </c>
      <c r="E104" s="43" t="s">
        <v>606</v>
      </c>
      <c r="F104" s="348">
        <f>'2  '!D91</f>
        <v>2693.587</v>
      </c>
      <c r="G104" s="348">
        <f>'2  '!E91</f>
        <v>2693.587</v>
      </c>
      <c r="H104" s="348">
        <f>'2  '!F91</f>
        <v>2693.587</v>
      </c>
      <c r="I104" s="42"/>
    </row>
    <row r="105" spans="1:15" ht="35.25" customHeight="1">
      <c r="A105" s="77" t="s">
        <v>607</v>
      </c>
      <c r="B105" s="43" t="s">
        <v>102</v>
      </c>
      <c r="C105" s="43" t="s">
        <v>638</v>
      </c>
      <c r="D105" s="43" t="s">
        <v>644</v>
      </c>
      <c r="E105" s="43" t="s">
        <v>608</v>
      </c>
      <c r="F105" s="348">
        <v>2358.5709999999999</v>
      </c>
      <c r="G105" s="348">
        <v>2358.5709999999999</v>
      </c>
      <c r="H105" s="348">
        <v>2358.5709999999999</v>
      </c>
      <c r="I105" s="42"/>
    </row>
    <row r="106" spans="1:15" ht="33" customHeight="1">
      <c r="A106" s="77" t="s">
        <v>611</v>
      </c>
      <c r="B106" s="43" t="s">
        <v>102</v>
      </c>
      <c r="C106" s="43" t="s">
        <v>638</v>
      </c>
      <c r="D106" s="43" t="s">
        <v>644</v>
      </c>
      <c r="E106" s="43" t="s">
        <v>612</v>
      </c>
      <c r="F106" s="348">
        <f>F107</f>
        <v>335.01600000000002</v>
      </c>
      <c r="G106" s="348">
        <f>G107</f>
        <v>335.01600000000002</v>
      </c>
      <c r="H106" s="348">
        <f>H107</f>
        <v>335.01600000000002</v>
      </c>
    </row>
    <row r="107" spans="1:15" ht="47.45" customHeight="1">
      <c r="A107" s="77" t="s">
        <v>613</v>
      </c>
      <c r="B107" s="43" t="s">
        <v>102</v>
      </c>
      <c r="C107" s="43" t="s">
        <v>638</v>
      </c>
      <c r="D107" s="43" t="s">
        <v>644</v>
      </c>
      <c r="E107" s="43" t="s">
        <v>614</v>
      </c>
      <c r="F107" s="348">
        <v>335.01600000000002</v>
      </c>
      <c r="G107" s="348">
        <v>335.01600000000002</v>
      </c>
      <c r="H107" s="348">
        <v>335.01600000000002</v>
      </c>
    </row>
    <row r="108" spans="1:15" ht="67.5" customHeight="1">
      <c r="A108" s="76" t="s">
        <v>974</v>
      </c>
      <c r="B108" s="53" t="s">
        <v>102</v>
      </c>
      <c r="C108" s="53" t="s">
        <v>638</v>
      </c>
      <c r="D108" s="53" t="s">
        <v>645</v>
      </c>
      <c r="E108" s="53" t="s">
        <v>198</v>
      </c>
      <c r="F108" s="41">
        <f>'2  '!D96</f>
        <v>461.44499999999999</v>
      </c>
      <c r="G108" s="41">
        <f>'2  '!E96</f>
        <v>481.61</v>
      </c>
      <c r="H108" s="41">
        <f>'2  '!F96</f>
        <v>500.87399999999997</v>
      </c>
    </row>
    <row r="109" spans="1:15" ht="42" customHeight="1">
      <c r="A109" s="77" t="s">
        <v>607</v>
      </c>
      <c r="B109" s="43" t="s">
        <v>102</v>
      </c>
      <c r="C109" s="43" t="s">
        <v>638</v>
      </c>
      <c r="D109" s="53" t="s">
        <v>645</v>
      </c>
      <c r="E109" s="43" t="s">
        <v>608</v>
      </c>
      <c r="F109" s="41">
        <f>472.055-277.63711</f>
        <v>194.41789</v>
      </c>
      <c r="G109" s="41">
        <f>472.055-472.055</f>
        <v>0</v>
      </c>
      <c r="H109" s="41">
        <f>472.055-472.055</f>
        <v>0</v>
      </c>
      <c r="I109" s="42"/>
      <c r="J109" s="42"/>
      <c r="K109" s="42"/>
      <c r="L109" s="42"/>
    </row>
    <row r="110" spans="1:15" ht="37.5" customHeight="1">
      <c r="A110" s="77" t="s">
        <v>611</v>
      </c>
      <c r="B110" s="43" t="s">
        <v>102</v>
      </c>
      <c r="C110" s="43" t="s">
        <v>638</v>
      </c>
      <c r="D110" s="43" t="s">
        <v>645</v>
      </c>
      <c r="E110" s="43" t="s">
        <v>612</v>
      </c>
      <c r="F110" s="348">
        <f>F111</f>
        <v>267.02711000000005</v>
      </c>
      <c r="G110" s="348">
        <f>G111</f>
        <v>481.61</v>
      </c>
      <c r="H110" s="348">
        <f>H111</f>
        <v>500.87400000000002</v>
      </c>
    </row>
    <row r="111" spans="1:15" ht="48" customHeight="1">
      <c r="A111" s="77" t="s">
        <v>613</v>
      </c>
      <c r="B111" s="43" t="s">
        <v>102</v>
      </c>
      <c r="C111" s="43" t="s">
        <v>638</v>
      </c>
      <c r="D111" s="43" t="s">
        <v>645</v>
      </c>
      <c r="E111" s="43" t="s">
        <v>614</v>
      </c>
      <c r="F111" s="348">
        <f>256.023+11.00411</f>
        <v>267.02711000000005</v>
      </c>
      <c r="G111" s="348">
        <f>283.387+198.223</f>
        <v>481.61</v>
      </c>
      <c r="H111" s="348">
        <f>311.845+189.029</f>
        <v>500.87400000000002</v>
      </c>
    </row>
    <row r="112" spans="1:15" ht="35.65" hidden="1" customHeight="1">
      <c r="A112" s="77" t="s">
        <v>396</v>
      </c>
      <c r="B112" s="43" t="s">
        <v>102</v>
      </c>
      <c r="C112" s="43" t="s">
        <v>638</v>
      </c>
      <c r="D112" s="43" t="s">
        <v>398</v>
      </c>
      <c r="E112" s="43" t="s">
        <v>198</v>
      </c>
      <c r="F112" s="348">
        <f>F113</f>
        <v>0</v>
      </c>
      <c r="G112" s="348">
        <f>G113</f>
        <v>0</v>
      </c>
      <c r="H112" s="348">
        <f>H113</f>
        <v>0</v>
      </c>
    </row>
    <row r="113" spans="1:15" ht="47.25" hidden="1" customHeight="1">
      <c r="A113" s="77" t="s">
        <v>613</v>
      </c>
      <c r="B113" s="43" t="s">
        <v>102</v>
      </c>
      <c r="C113" s="43" t="s">
        <v>638</v>
      </c>
      <c r="D113" s="43" t="s">
        <v>398</v>
      </c>
      <c r="E113" s="43" t="s">
        <v>614</v>
      </c>
      <c r="F113" s="348"/>
      <c r="G113" s="348"/>
      <c r="H113" s="348"/>
    </row>
    <row r="114" spans="1:15" ht="15.75" hidden="1" customHeight="1">
      <c r="A114" s="81" t="s">
        <v>637</v>
      </c>
      <c r="B114" s="43" t="s">
        <v>102</v>
      </c>
      <c r="C114" s="43" t="s">
        <v>638</v>
      </c>
      <c r="D114" s="59" t="s">
        <v>601</v>
      </c>
      <c r="E114" s="59" t="s">
        <v>198</v>
      </c>
      <c r="F114" s="96">
        <f>F119+F116</f>
        <v>0</v>
      </c>
      <c r="G114" s="96">
        <f>G119+G116</f>
        <v>0</v>
      </c>
      <c r="H114" s="96">
        <f>H119+H116</f>
        <v>0</v>
      </c>
      <c r="O114" s="40"/>
    </row>
    <row r="115" spans="1:15" s="40" customFormat="1" ht="78.75" hidden="1" customHeight="1">
      <c r="A115" s="76" t="s">
        <v>646</v>
      </c>
      <c r="B115" s="43" t="s">
        <v>102</v>
      </c>
      <c r="C115" s="43" t="s">
        <v>638</v>
      </c>
      <c r="D115" s="53" t="s">
        <v>17</v>
      </c>
      <c r="E115" s="53" t="s">
        <v>198</v>
      </c>
      <c r="F115" s="41">
        <f t="shared" ref="F115:H117" si="22">F116</f>
        <v>0</v>
      </c>
      <c r="G115" s="41">
        <f t="shared" si="22"/>
        <v>0</v>
      </c>
      <c r="H115" s="41">
        <f t="shared" si="22"/>
        <v>0</v>
      </c>
      <c r="O115" s="24"/>
    </row>
    <row r="116" spans="1:15" ht="63" hidden="1" customHeight="1">
      <c r="A116" s="77" t="s">
        <v>647</v>
      </c>
      <c r="B116" s="43" t="s">
        <v>102</v>
      </c>
      <c r="C116" s="43" t="s">
        <v>638</v>
      </c>
      <c r="D116" s="43" t="s">
        <v>74</v>
      </c>
      <c r="E116" s="43" t="s">
        <v>648</v>
      </c>
      <c r="F116" s="348">
        <f t="shared" si="22"/>
        <v>0</v>
      </c>
      <c r="G116" s="348">
        <f t="shared" si="22"/>
        <v>0</v>
      </c>
      <c r="H116" s="348">
        <f t="shared" si="22"/>
        <v>0</v>
      </c>
    </row>
    <row r="117" spans="1:15" ht="47.25" hidden="1" customHeight="1">
      <c r="A117" s="77" t="s">
        <v>649</v>
      </c>
      <c r="B117" s="43" t="s">
        <v>102</v>
      </c>
      <c r="C117" s="43" t="s">
        <v>638</v>
      </c>
      <c r="D117" s="43" t="s">
        <v>74</v>
      </c>
      <c r="E117" s="43" t="s">
        <v>648</v>
      </c>
      <c r="F117" s="348">
        <f t="shared" si="22"/>
        <v>0</v>
      </c>
      <c r="G117" s="348">
        <f t="shared" si="22"/>
        <v>0</v>
      </c>
      <c r="H117" s="348">
        <f t="shared" si="22"/>
        <v>0</v>
      </c>
    </row>
    <row r="118" spans="1:15" ht="15.75" hidden="1" customHeight="1">
      <c r="A118" s="77" t="s">
        <v>650</v>
      </c>
      <c r="B118" s="43" t="s">
        <v>102</v>
      </c>
      <c r="C118" s="43" t="s">
        <v>638</v>
      </c>
      <c r="D118" s="43" t="s">
        <v>74</v>
      </c>
      <c r="E118" s="43" t="s">
        <v>651</v>
      </c>
      <c r="F118" s="348"/>
      <c r="G118" s="348"/>
      <c r="H118" s="348"/>
    </row>
    <row r="119" spans="1:15" ht="78.75" hidden="1" customHeight="1">
      <c r="A119" s="161" t="s">
        <v>652</v>
      </c>
      <c r="B119" s="43" t="s">
        <v>102</v>
      </c>
      <c r="C119" s="43" t="s">
        <v>638</v>
      </c>
      <c r="D119" s="43" t="s">
        <v>225</v>
      </c>
      <c r="E119" s="43" t="s">
        <v>198</v>
      </c>
      <c r="F119" s="348">
        <f t="shared" ref="F119:H120" si="23">F120</f>
        <v>0</v>
      </c>
      <c r="G119" s="348">
        <f t="shared" si="23"/>
        <v>0</v>
      </c>
      <c r="H119" s="348">
        <f t="shared" si="23"/>
        <v>0</v>
      </c>
    </row>
    <row r="120" spans="1:15" ht="47.25" hidden="1" customHeight="1">
      <c r="A120" s="77" t="s">
        <v>649</v>
      </c>
      <c r="B120" s="43" t="s">
        <v>102</v>
      </c>
      <c r="C120" s="43" t="s">
        <v>638</v>
      </c>
      <c r="D120" s="43" t="s">
        <v>225</v>
      </c>
      <c r="E120" s="43" t="s">
        <v>648</v>
      </c>
      <c r="F120" s="348">
        <f t="shared" si="23"/>
        <v>0</v>
      </c>
      <c r="G120" s="348">
        <f t="shared" si="23"/>
        <v>0</v>
      </c>
      <c r="H120" s="348">
        <f t="shared" si="23"/>
        <v>0</v>
      </c>
    </row>
    <row r="121" spans="1:15" ht="15.75" hidden="1" customHeight="1">
      <c r="A121" s="77" t="s">
        <v>650</v>
      </c>
      <c r="B121" s="43" t="s">
        <v>102</v>
      </c>
      <c r="C121" s="43" t="s">
        <v>638</v>
      </c>
      <c r="D121" s="43" t="s">
        <v>225</v>
      </c>
      <c r="E121" s="43" t="s">
        <v>651</v>
      </c>
      <c r="F121" s="348"/>
      <c r="G121" s="348"/>
      <c r="H121" s="348"/>
    </row>
    <row r="122" spans="1:15" ht="78.75" hidden="1" customHeight="1">
      <c r="A122" s="76" t="s">
        <v>378</v>
      </c>
      <c r="B122" s="53" t="s">
        <v>102</v>
      </c>
      <c r="C122" s="53" t="s">
        <v>638</v>
      </c>
      <c r="D122" s="53" t="s">
        <v>379</v>
      </c>
      <c r="E122" s="53" t="s">
        <v>198</v>
      </c>
      <c r="F122" s="41">
        <f t="shared" ref="F122:H123" si="24">F123</f>
        <v>0</v>
      </c>
      <c r="G122" s="41">
        <f t="shared" si="24"/>
        <v>0</v>
      </c>
      <c r="H122" s="41">
        <f t="shared" si="24"/>
        <v>0</v>
      </c>
    </row>
    <row r="123" spans="1:15" ht="94.5" hidden="1" customHeight="1">
      <c r="A123" s="77" t="s">
        <v>605</v>
      </c>
      <c r="B123" s="43" t="s">
        <v>102</v>
      </c>
      <c r="C123" s="43" t="s">
        <v>638</v>
      </c>
      <c r="D123" s="43" t="s">
        <v>379</v>
      </c>
      <c r="E123" s="43" t="s">
        <v>606</v>
      </c>
      <c r="F123" s="348">
        <f t="shared" si="24"/>
        <v>0</v>
      </c>
      <c r="G123" s="348">
        <f t="shared" si="24"/>
        <v>0</v>
      </c>
      <c r="H123" s="348">
        <f t="shared" si="24"/>
        <v>0</v>
      </c>
    </row>
    <row r="124" spans="1:15" ht="31.5" hidden="1" customHeight="1">
      <c r="A124" s="77" t="s">
        <v>607</v>
      </c>
      <c r="B124" s="43" t="s">
        <v>102</v>
      </c>
      <c r="C124" s="43" t="s">
        <v>638</v>
      </c>
      <c r="D124" s="43" t="s">
        <v>379</v>
      </c>
      <c r="E124" s="43" t="s">
        <v>608</v>
      </c>
      <c r="F124" s="348"/>
      <c r="G124" s="348"/>
      <c r="H124" s="348"/>
    </row>
    <row r="125" spans="1:15" ht="34.5" customHeight="1">
      <c r="A125" s="77" t="s">
        <v>604</v>
      </c>
      <c r="B125" s="43" t="s">
        <v>102</v>
      </c>
      <c r="C125" s="43" t="s">
        <v>638</v>
      </c>
      <c r="D125" s="43" t="s">
        <v>1</v>
      </c>
      <c r="E125" s="43" t="s">
        <v>198</v>
      </c>
      <c r="F125" s="348">
        <f>F126</f>
        <v>10867.106</v>
      </c>
      <c r="G125" s="348">
        <f>G126</f>
        <v>8158.0599999999995</v>
      </c>
      <c r="H125" s="348">
        <f>H126</f>
        <v>8540.9</v>
      </c>
    </row>
    <row r="126" spans="1:15" ht="51" customHeight="1">
      <c r="A126" s="77" t="s">
        <v>104</v>
      </c>
      <c r="B126" s="43" t="s">
        <v>102</v>
      </c>
      <c r="C126" s="43" t="s">
        <v>638</v>
      </c>
      <c r="D126" s="43" t="s">
        <v>2</v>
      </c>
      <c r="E126" s="43" t="s">
        <v>198</v>
      </c>
      <c r="F126" s="348">
        <f>F127+F132+F137+F140+F145+F164+F167+F173+F176</f>
        <v>10867.106</v>
      </c>
      <c r="G126" s="348">
        <f>G127+G132+G137+G140+G145+G164+G167+G170+G173+G176</f>
        <v>8158.0599999999995</v>
      </c>
      <c r="H126" s="348">
        <f>H127+H132+H137+H140+H145+H164+H167+H170+H173+H176</f>
        <v>8540.9</v>
      </c>
      <c r="O126" s="40"/>
    </row>
    <row r="127" spans="1:15" s="40" customFormat="1" ht="49.5" customHeight="1">
      <c r="A127" s="76" t="s">
        <v>653</v>
      </c>
      <c r="B127" s="53" t="s">
        <v>102</v>
      </c>
      <c r="C127" s="53" t="s">
        <v>638</v>
      </c>
      <c r="D127" s="53" t="s">
        <v>5</v>
      </c>
      <c r="E127" s="53" t="s">
        <v>198</v>
      </c>
      <c r="F127" s="41">
        <f>F128+F130</f>
        <v>7603.4699999999993</v>
      </c>
      <c r="G127" s="41">
        <f t="shared" ref="G127:H127" si="25">G128+G130</f>
        <v>7968.0599999999995</v>
      </c>
      <c r="H127" s="41">
        <f t="shared" si="25"/>
        <v>8350.9</v>
      </c>
      <c r="O127" s="24"/>
    </row>
    <row r="128" spans="1:15" ht="96" customHeight="1">
      <c r="A128" s="77" t="s">
        <v>605</v>
      </c>
      <c r="B128" s="43" t="s">
        <v>102</v>
      </c>
      <c r="C128" s="43" t="s">
        <v>638</v>
      </c>
      <c r="D128" s="43" t="s">
        <v>5</v>
      </c>
      <c r="E128" s="43" t="s">
        <v>606</v>
      </c>
      <c r="F128" s="348">
        <f>F129</f>
        <v>7387.82</v>
      </c>
      <c r="G128" s="348">
        <f t="shared" ref="G128:H128" si="26">G129</f>
        <v>7752.41</v>
      </c>
      <c r="H128" s="348">
        <f t="shared" si="26"/>
        <v>8135.25</v>
      </c>
    </row>
    <row r="129" spans="1:15" ht="34.5" customHeight="1">
      <c r="A129" s="77" t="s">
        <v>607</v>
      </c>
      <c r="B129" s="43" t="s">
        <v>102</v>
      </c>
      <c r="C129" s="43" t="s">
        <v>638</v>
      </c>
      <c r="D129" s="43" t="s">
        <v>5</v>
      </c>
      <c r="E129" s="43" t="s">
        <v>608</v>
      </c>
      <c r="F129" s="348">
        <v>7387.82</v>
      </c>
      <c r="G129" s="348">
        <v>7752.41</v>
      </c>
      <c r="H129" s="348">
        <v>8135.25</v>
      </c>
    </row>
    <row r="130" spans="1:15" ht="35.25" customHeight="1">
      <c r="A130" s="77" t="s">
        <v>611</v>
      </c>
      <c r="B130" s="43" t="s">
        <v>102</v>
      </c>
      <c r="C130" s="43" t="s">
        <v>638</v>
      </c>
      <c r="D130" s="43" t="s">
        <v>5</v>
      </c>
      <c r="E130" s="43" t="s">
        <v>612</v>
      </c>
      <c r="F130" s="348">
        <f>F131</f>
        <v>215.65</v>
      </c>
      <c r="G130" s="348">
        <f>G131</f>
        <v>215.65</v>
      </c>
      <c r="H130" s="348">
        <f>H131</f>
        <v>215.65</v>
      </c>
    </row>
    <row r="131" spans="1:15" ht="49.5" customHeight="1">
      <c r="A131" s="77" t="s">
        <v>613</v>
      </c>
      <c r="B131" s="43" t="s">
        <v>102</v>
      </c>
      <c r="C131" s="43" t="s">
        <v>638</v>
      </c>
      <c r="D131" s="43" t="s">
        <v>5</v>
      </c>
      <c r="E131" s="43" t="s">
        <v>614</v>
      </c>
      <c r="F131" s="348">
        <v>215.65</v>
      </c>
      <c r="G131" s="348">
        <v>215.65</v>
      </c>
      <c r="H131" s="348">
        <v>215.65</v>
      </c>
      <c r="O131" s="40"/>
    </row>
    <row r="132" spans="1:15" s="40" customFormat="1" ht="15.75" hidden="1" customHeight="1">
      <c r="A132" s="76" t="s">
        <v>654</v>
      </c>
      <c r="B132" s="53" t="s">
        <v>102</v>
      </c>
      <c r="C132" s="53" t="s">
        <v>638</v>
      </c>
      <c r="D132" s="53" t="s">
        <v>8</v>
      </c>
      <c r="E132" s="53" t="s">
        <v>198</v>
      </c>
      <c r="F132" s="41">
        <f t="shared" ref="F132:H133" si="27">F133</f>
        <v>0</v>
      </c>
      <c r="G132" s="41">
        <f t="shared" si="27"/>
        <v>0</v>
      </c>
      <c r="H132" s="41">
        <f t="shared" si="27"/>
        <v>0</v>
      </c>
      <c r="O132" s="24"/>
    </row>
    <row r="133" spans="1:15" ht="15.75" hidden="1" customHeight="1">
      <c r="A133" s="77" t="s">
        <v>615</v>
      </c>
      <c r="B133" s="43" t="s">
        <v>102</v>
      </c>
      <c r="C133" s="43" t="s">
        <v>638</v>
      </c>
      <c r="D133" s="43" t="s">
        <v>8</v>
      </c>
      <c r="E133" s="43" t="s">
        <v>616</v>
      </c>
      <c r="F133" s="348">
        <f t="shared" si="27"/>
        <v>0</v>
      </c>
      <c r="G133" s="348">
        <f t="shared" si="27"/>
        <v>0</v>
      </c>
      <c r="H133" s="348">
        <f t="shared" si="27"/>
        <v>0</v>
      </c>
    </row>
    <row r="134" spans="1:15" ht="15.75" hidden="1" customHeight="1">
      <c r="A134" s="77" t="s">
        <v>654</v>
      </c>
      <c r="B134" s="43" t="s">
        <v>102</v>
      </c>
      <c r="C134" s="43" t="s">
        <v>638</v>
      </c>
      <c r="D134" s="43" t="s">
        <v>8</v>
      </c>
      <c r="E134" s="43" t="s">
        <v>655</v>
      </c>
      <c r="F134" s="348">
        <f>'5'!D274</f>
        <v>0</v>
      </c>
      <c r="G134" s="348">
        <f>'5'!E274</f>
        <v>0</v>
      </c>
      <c r="H134" s="348">
        <f>'5'!F274</f>
        <v>0</v>
      </c>
    </row>
    <row r="135" spans="1:15" ht="32.450000000000003" hidden="1" customHeight="1">
      <c r="A135" s="77" t="s">
        <v>570</v>
      </c>
      <c r="B135" s="43" t="s">
        <v>102</v>
      </c>
      <c r="C135" s="43" t="s">
        <v>638</v>
      </c>
      <c r="D135" s="43" t="s">
        <v>5</v>
      </c>
      <c r="E135" s="43" t="s">
        <v>612</v>
      </c>
      <c r="F135" s="348">
        <f>F136</f>
        <v>0</v>
      </c>
      <c r="G135" s="348">
        <f>G136</f>
        <v>0</v>
      </c>
      <c r="H135" s="348">
        <f>H136</f>
        <v>0</v>
      </c>
    </row>
    <row r="136" spans="1:15" ht="47.25" hidden="1" customHeight="1">
      <c r="A136" s="77" t="s">
        <v>613</v>
      </c>
      <c r="B136" s="43" t="s">
        <v>102</v>
      </c>
      <c r="C136" s="43" t="s">
        <v>638</v>
      </c>
      <c r="D136" s="43" t="s">
        <v>5</v>
      </c>
      <c r="E136" s="43" t="s">
        <v>614</v>
      </c>
      <c r="F136" s="348"/>
      <c r="G136" s="348"/>
      <c r="H136" s="348"/>
      <c r="O136" s="40"/>
    </row>
    <row r="137" spans="1:15" s="40" customFormat="1" ht="63" customHeight="1">
      <c r="A137" s="76" t="s">
        <v>656</v>
      </c>
      <c r="B137" s="53" t="s">
        <v>102</v>
      </c>
      <c r="C137" s="53" t="s">
        <v>638</v>
      </c>
      <c r="D137" s="53" t="s">
        <v>9</v>
      </c>
      <c r="E137" s="53" t="s">
        <v>198</v>
      </c>
      <c r="F137" s="41">
        <f t="shared" ref="F137:H138" si="28">F138</f>
        <v>500</v>
      </c>
      <c r="G137" s="41">
        <f t="shared" si="28"/>
        <v>50</v>
      </c>
      <c r="H137" s="41">
        <f t="shared" si="28"/>
        <v>50</v>
      </c>
      <c r="O137" s="24"/>
    </row>
    <row r="138" spans="1:15" ht="35.25" customHeight="1">
      <c r="A138" s="77" t="s">
        <v>611</v>
      </c>
      <c r="B138" s="43" t="s">
        <v>102</v>
      </c>
      <c r="C138" s="43" t="s">
        <v>638</v>
      </c>
      <c r="D138" s="43" t="s">
        <v>9</v>
      </c>
      <c r="E138" s="43" t="s">
        <v>612</v>
      </c>
      <c r="F138" s="348">
        <f t="shared" si="28"/>
        <v>500</v>
      </c>
      <c r="G138" s="348">
        <f t="shared" si="28"/>
        <v>50</v>
      </c>
      <c r="H138" s="348">
        <f t="shared" si="28"/>
        <v>50</v>
      </c>
    </row>
    <row r="139" spans="1:15" ht="49.5" customHeight="1">
      <c r="A139" s="77" t="s">
        <v>613</v>
      </c>
      <c r="B139" s="43" t="s">
        <v>102</v>
      </c>
      <c r="C139" s="43" t="s">
        <v>638</v>
      </c>
      <c r="D139" s="43" t="s">
        <v>9</v>
      </c>
      <c r="E139" s="43" t="s">
        <v>614</v>
      </c>
      <c r="F139" s="348">
        <f>'5'!D276</f>
        <v>500</v>
      </c>
      <c r="G139" s="348">
        <f>'5'!E276</f>
        <v>50</v>
      </c>
      <c r="H139" s="348">
        <f>'5'!F276</f>
        <v>50</v>
      </c>
    </row>
    <row r="140" spans="1:15" ht="16.5" customHeight="1">
      <c r="A140" s="76" t="s">
        <v>249</v>
      </c>
      <c r="B140" s="53" t="s">
        <v>102</v>
      </c>
      <c r="C140" s="53" t="s">
        <v>638</v>
      </c>
      <c r="D140" s="53" t="s">
        <v>250</v>
      </c>
      <c r="E140" s="53" t="s">
        <v>198</v>
      </c>
      <c r="F140" s="41">
        <f>F141+F143</f>
        <v>2092.62</v>
      </c>
      <c r="G140" s="41">
        <f>G141+G143</f>
        <v>60</v>
      </c>
      <c r="H140" s="41">
        <f>H141+H143</f>
        <v>60</v>
      </c>
    </row>
    <row r="141" spans="1:15" ht="34.5" customHeight="1">
      <c r="A141" s="77" t="s">
        <v>611</v>
      </c>
      <c r="B141" s="43" t="s">
        <v>102</v>
      </c>
      <c r="C141" s="43" t="s">
        <v>638</v>
      </c>
      <c r="D141" s="43" t="s">
        <v>250</v>
      </c>
      <c r="E141" s="43" t="s">
        <v>612</v>
      </c>
      <c r="F141" s="348">
        <f>F142</f>
        <v>2092.62</v>
      </c>
      <c r="G141" s="348">
        <f>G142</f>
        <v>60</v>
      </c>
      <c r="H141" s="348">
        <f>H142</f>
        <v>60</v>
      </c>
    </row>
    <row r="142" spans="1:15" ht="54.75" customHeight="1">
      <c r="A142" s="77" t="s">
        <v>613</v>
      </c>
      <c r="B142" s="43" t="s">
        <v>102</v>
      </c>
      <c r="C142" s="43" t="s">
        <v>638</v>
      </c>
      <c r="D142" s="43" t="s">
        <v>250</v>
      </c>
      <c r="E142" s="43" t="s">
        <v>614</v>
      </c>
      <c r="F142" s="348">
        <f>'5'!D294</f>
        <v>2092.62</v>
      </c>
      <c r="G142" s="348">
        <f>'5'!E294</f>
        <v>60</v>
      </c>
      <c r="H142" s="348">
        <f>'5'!F294</f>
        <v>60</v>
      </c>
    </row>
    <row r="143" spans="1:15" ht="21.75" hidden="1" customHeight="1">
      <c r="A143" s="77" t="s">
        <v>615</v>
      </c>
      <c r="B143" s="43" t="s">
        <v>102</v>
      </c>
      <c r="C143" s="43" t="s">
        <v>638</v>
      </c>
      <c r="D143" s="43" t="s">
        <v>250</v>
      </c>
      <c r="E143" s="43" t="s">
        <v>616</v>
      </c>
      <c r="F143" s="348">
        <f>F144</f>
        <v>0</v>
      </c>
      <c r="G143" s="348">
        <f>G144</f>
        <v>0</v>
      </c>
      <c r="H143" s="348">
        <f>H144</f>
        <v>0</v>
      </c>
    </row>
    <row r="144" spans="1:15" ht="15.75" hidden="1" customHeight="1">
      <c r="A144" s="77" t="s">
        <v>617</v>
      </c>
      <c r="B144" s="43" t="s">
        <v>102</v>
      </c>
      <c r="C144" s="43" t="s">
        <v>638</v>
      </c>
      <c r="D144" s="43" t="s">
        <v>250</v>
      </c>
      <c r="E144" s="43" t="s">
        <v>618</v>
      </c>
      <c r="F144" s="348"/>
      <c r="G144" s="348"/>
      <c r="H144" s="348"/>
      <c r="O144" s="40"/>
    </row>
    <row r="145" spans="1:15" s="40" customFormat="1" ht="78.75" customHeight="1">
      <c r="A145" s="76" t="s">
        <v>482</v>
      </c>
      <c r="B145" s="53" t="s">
        <v>102</v>
      </c>
      <c r="C145" s="53" t="s">
        <v>638</v>
      </c>
      <c r="D145" s="53" t="s">
        <v>483</v>
      </c>
      <c r="E145" s="53" t="s">
        <v>198</v>
      </c>
      <c r="F145" s="41">
        <f>F147+F148</f>
        <v>91.015999999999991</v>
      </c>
      <c r="G145" s="41">
        <f>G147+G148</f>
        <v>0</v>
      </c>
      <c r="H145" s="41">
        <f>H147+H148</f>
        <v>0</v>
      </c>
    </row>
    <row r="146" spans="1:15" s="40" customFormat="1" ht="31.5" customHeight="1">
      <c r="A146" s="77" t="s">
        <v>611</v>
      </c>
      <c r="B146" s="43" t="s">
        <v>102</v>
      </c>
      <c r="C146" s="43" t="s">
        <v>638</v>
      </c>
      <c r="D146" s="53" t="s">
        <v>483</v>
      </c>
      <c r="E146" s="43" t="s">
        <v>612</v>
      </c>
      <c r="F146" s="348">
        <f>F147</f>
        <v>91.015999999999991</v>
      </c>
      <c r="G146" s="348">
        <f>G147</f>
        <v>0</v>
      </c>
      <c r="H146" s="348">
        <f>H147</f>
        <v>0</v>
      </c>
      <c r="O146" s="24"/>
    </row>
    <row r="147" spans="1:15" ht="47.25" customHeight="1">
      <c r="A147" s="77" t="s">
        <v>613</v>
      </c>
      <c r="B147" s="43" t="s">
        <v>102</v>
      </c>
      <c r="C147" s="43" t="s">
        <v>638</v>
      </c>
      <c r="D147" s="53" t="s">
        <v>483</v>
      </c>
      <c r="E147" s="43" t="s">
        <v>614</v>
      </c>
      <c r="F147" s="348">
        <f>'5'!D303</f>
        <v>91.015999999999991</v>
      </c>
      <c r="G147" s="348">
        <v>0</v>
      </c>
      <c r="H147" s="348">
        <v>0</v>
      </c>
    </row>
    <row r="148" spans="1:15" ht="15.75" hidden="1" customHeight="1">
      <c r="A148" s="77" t="s">
        <v>615</v>
      </c>
      <c r="B148" s="43" t="s">
        <v>102</v>
      </c>
      <c r="C148" s="43" t="s">
        <v>638</v>
      </c>
      <c r="D148" s="43" t="s">
        <v>274</v>
      </c>
      <c r="E148" s="43" t="s">
        <v>616</v>
      </c>
      <c r="F148" s="348">
        <f>F149</f>
        <v>0</v>
      </c>
      <c r="G148" s="348">
        <f>G149</f>
        <v>0</v>
      </c>
      <c r="H148" s="348">
        <f>H149</f>
        <v>0</v>
      </c>
    </row>
    <row r="149" spans="1:15" ht="15.75" hidden="1" customHeight="1">
      <c r="A149" s="77" t="s">
        <v>617</v>
      </c>
      <c r="B149" s="43" t="s">
        <v>102</v>
      </c>
      <c r="C149" s="43" t="s">
        <v>638</v>
      </c>
      <c r="D149" s="43" t="s">
        <v>274</v>
      </c>
      <c r="E149" s="43" t="s">
        <v>618</v>
      </c>
      <c r="F149" s="348"/>
      <c r="G149" s="348"/>
      <c r="H149" s="348"/>
      <c r="O149" s="49"/>
    </row>
    <row r="150" spans="1:15" s="49" customFormat="1" ht="81" customHeight="1">
      <c r="A150" s="153" t="s">
        <v>657</v>
      </c>
      <c r="B150" s="150" t="s">
        <v>102</v>
      </c>
      <c r="C150" s="150" t="s">
        <v>638</v>
      </c>
      <c r="D150" s="150" t="s">
        <v>601</v>
      </c>
      <c r="E150" s="150" t="s">
        <v>198</v>
      </c>
      <c r="F150" s="54">
        <f>F151+F158</f>
        <v>1101.2040000000002</v>
      </c>
      <c r="G150" s="54">
        <f>G151+G158</f>
        <v>0</v>
      </c>
      <c r="H150" s="54">
        <f>H151+H158</f>
        <v>0</v>
      </c>
      <c r="O150" s="24"/>
    </row>
    <row r="151" spans="1:15" ht="38.25" customHeight="1">
      <c r="A151" s="77" t="s">
        <v>634</v>
      </c>
      <c r="B151" s="43" t="s">
        <v>102</v>
      </c>
      <c r="C151" s="43" t="s">
        <v>638</v>
      </c>
      <c r="D151" s="43" t="s">
        <v>1</v>
      </c>
      <c r="E151" s="43" t="s">
        <v>198</v>
      </c>
      <c r="F151" s="348">
        <f t="shared" ref="F151:F154" si="29">F152</f>
        <v>1101.2040000000002</v>
      </c>
      <c r="G151" s="348">
        <f t="shared" ref="G151:G155" si="30">G152</f>
        <v>0</v>
      </c>
      <c r="H151" s="348">
        <f t="shared" ref="H151:H155" si="31">H152</f>
        <v>0</v>
      </c>
    </row>
    <row r="152" spans="1:15" ht="45.75" customHeight="1">
      <c r="A152" s="77" t="s">
        <v>104</v>
      </c>
      <c r="B152" s="43" t="s">
        <v>102</v>
      </c>
      <c r="C152" s="43" t="s">
        <v>638</v>
      </c>
      <c r="D152" s="43" t="s">
        <v>2</v>
      </c>
      <c r="E152" s="43" t="s">
        <v>198</v>
      </c>
      <c r="F152" s="348">
        <f>F153</f>
        <v>1101.2040000000002</v>
      </c>
      <c r="G152" s="348">
        <f t="shared" si="30"/>
        <v>0</v>
      </c>
      <c r="H152" s="348">
        <f t="shared" si="31"/>
        <v>0</v>
      </c>
    </row>
    <row r="153" spans="1:15" ht="78.75">
      <c r="A153" s="77" t="s">
        <v>443</v>
      </c>
      <c r="B153" s="43" t="s">
        <v>102</v>
      </c>
      <c r="C153" s="43" t="s">
        <v>638</v>
      </c>
      <c r="D153" s="43" t="s">
        <v>928</v>
      </c>
      <c r="E153" s="43" t="s">
        <v>198</v>
      </c>
      <c r="F153" s="348">
        <f>F155+F157</f>
        <v>1101.2040000000002</v>
      </c>
      <c r="G153" s="348">
        <f t="shared" ref="G153:H153" si="32">G155+G157</f>
        <v>0</v>
      </c>
      <c r="H153" s="348">
        <f t="shared" si="32"/>
        <v>0</v>
      </c>
    </row>
    <row r="154" spans="1:15" ht="96" customHeight="1">
      <c r="A154" s="77" t="s">
        <v>605</v>
      </c>
      <c r="B154" s="43" t="s">
        <v>102</v>
      </c>
      <c r="C154" s="43" t="s">
        <v>638</v>
      </c>
      <c r="D154" s="58" t="s">
        <v>928</v>
      </c>
      <c r="E154" s="43" t="s">
        <v>606</v>
      </c>
      <c r="F154" s="348">
        <f t="shared" si="29"/>
        <v>634.60400000000004</v>
      </c>
      <c r="G154" s="348">
        <f t="shared" si="30"/>
        <v>0</v>
      </c>
      <c r="H154" s="348">
        <f t="shared" si="31"/>
        <v>0</v>
      </c>
    </row>
    <row r="155" spans="1:15" ht="32.25" customHeight="1">
      <c r="A155" s="77" t="s">
        <v>607</v>
      </c>
      <c r="B155" s="43" t="s">
        <v>102</v>
      </c>
      <c r="C155" s="43" t="s">
        <v>638</v>
      </c>
      <c r="D155" s="58" t="s">
        <v>928</v>
      </c>
      <c r="E155" s="43" t="s">
        <v>608</v>
      </c>
      <c r="F155" s="348">
        <f>944.95722-310.35322</f>
        <v>634.60400000000004</v>
      </c>
      <c r="G155" s="348">
        <f t="shared" si="30"/>
        <v>0</v>
      </c>
      <c r="H155" s="348">
        <f t="shared" si="31"/>
        <v>0</v>
      </c>
    </row>
    <row r="156" spans="1:15" ht="37.5" customHeight="1">
      <c r="A156" s="77" t="s">
        <v>611</v>
      </c>
      <c r="B156" s="43" t="s">
        <v>102</v>
      </c>
      <c r="C156" s="43" t="s">
        <v>638</v>
      </c>
      <c r="D156" s="58" t="s">
        <v>928</v>
      </c>
      <c r="E156" s="43" t="s">
        <v>612</v>
      </c>
      <c r="F156" s="348">
        <f>F157</f>
        <v>466.6</v>
      </c>
      <c r="G156" s="348">
        <f>G157</f>
        <v>0</v>
      </c>
      <c r="H156" s="348">
        <f>H157</f>
        <v>0</v>
      </c>
    </row>
    <row r="157" spans="1:15" ht="49.5" customHeight="1">
      <c r="A157" s="77" t="s">
        <v>613</v>
      </c>
      <c r="B157" s="43" t="s">
        <v>102</v>
      </c>
      <c r="C157" s="43" t="s">
        <v>638</v>
      </c>
      <c r="D157" s="58" t="s">
        <v>928</v>
      </c>
      <c r="E157" s="43" t="s">
        <v>614</v>
      </c>
      <c r="F157" s="348">
        <f>323.368+143.232</f>
        <v>466.6</v>
      </c>
      <c r="G157" s="348">
        <v>0</v>
      </c>
      <c r="H157" s="348">
        <v>0</v>
      </c>
    </row>
    <row r="158" spans="1:15" ht="37.5" hidden="1" customHeight="1">
      <c r="A158" s="77" t="s">
        <v>634</v>
      </c>
      <c r="B158" s="43" t="s">
        <v>102</v>
      </c>
      <c r="C158" s="43" t="s">
        <v>638</v>
      </c>
      <c r="D158" s="43" t="s">
        <v>1</v>
      </c>
      <c r="E158" s="43" t="s">
        <v>198</v>
      </c>
      <c r="F158" s="348">
        <f>F159</f>
        <v>0</v>
      </c>
      <c r="G158" s="348">
        <f>G159</f>
        <v>0</v>
      </c>
      <c r="H158" s="348">
        <f>H159</f>
        <v>0</v>
      </c>
    </row>
    <row r="159" spans="1:15" ht="49.5" hidden="1" customHeight="1">
      <c r="A159" s="77" t="s">
        <v>104</v>
      </c>
      <c r="B159" s="43" t="s">
        <v>102</v>
      </c>
      <c r="C159" s="43" t="s">
        <v>638</v>
      </c>
      <c r="D159" s="43" t="s">
        <v>2</v>
      </c>
      <c r="E159" s="43" t="s">
        <v>198</v>
      </c>
      <c r="F159" s="348">
        <f>F160+F162</f>
        <v>0</v>
      </c>
      <c r="G159" s="348">
        <f>G160+G162</f>
        <v>0</v>
      </c>
      <c r="H159" s="348">
        <f>H160+H162</f>
        <v>0</v>
      </c>
    </row>
    <row r="160" spans="1:15" ht="93" hidden="1" customHeight="1">
      <c r="A160" s="77" t="s">
        <v>605</v>
      </c>
      <c r="B160" s="43" t="s">
        <v>102</v>
      </c>
      <c r="C160" s="43" t="s">
        <v>638</v>
      </c>
      <c r="D160" s="43" t="s">
        <v>461</v>
      </c>
      <c r="E160" s="43" t="s">
        <v>606</v>
      </c>
      <c r="F160" s="348">
        <f>F161</f>
        <v>0</v>
      </c>
      <c r="G160" s="348">
        <f>G161</f>
        <v>0</v>
      </c>
      <c r="H160" s="348">
        <f>H161</f>
        <v>0</v>
      </c>
    </row>
    <row r="161" spans="1:8" ht="41.45" hidden="1" customHeight="1">
      <c r="A161" s="77" t="s">
        <v>607</v>
      </c>
      <c r="B161" s="43" t="s">
        <v>102</v>
      </c>
      <c r="C161" s="43" t="s">
        <v>638</v>
      </c>
      <c r="D161" s="43" t="s">
        <v>461</v>
      </c>
      <c r="E161" s="43" t="s">
        <v>608</v>
      </c>
      <c r="F161" s="348"/>
      <c r="G161" s="348"/>
      <c r="H161" s="348"/>
    </row>
    <row r="162" spans="1:8" ht="49.5" hidden="1" customHeight="1">
      <c r="A162" s="77" t="s">
        <v>611</v>
      </c>
      <c r="B162" s="43" t="s">
        <v>102</v>
      </c>
      <c r="C162" s="43" t="s">
        <v>638</v>
      </c>
      <c r="D162" s="43" t="s">
        <v>461</v>
      </c>
      <c r="E162" s="43" t="s">
        <v>612</v>
      </c>
      <c r="F162" s="348">
        <f>F163</f>
        <v>0</v>
      </c>
      <c r="G162" s="348">
        <f>G163</f>
        <v>0</v>
      </c>
      <c r="H162" s="348">
        <f>H163</f>
        <v>0</v>
      </c>
    </row>
    <row r="163" spans="1:8" ht="49.5" hidden="1" customHeight="1">
      <c r="A163" s="77" t="s">
        <v>613</v>
      </c>
      <c r="B163" s="43" t="s">
        <v>102</v>
      </c>
      <c r="C163" s="43" t="s">
        <v>638</v>
      </c>
      <c r="D163" s="43" t="s">
        <v>461</v>
      </c>
      <c r="E163" s="43" t="s">
        <v>614</v>
      </c>
      <c r="F163" s="348"/>
      <c r="G163" s="348"/>
      <c r="H163" s="348"/>
    </row>
    <row r="164" spans="1:8" ht="46.15" hidden="1" customHeight="1">
      <c r="A164" s="76" t="s">
        <v>367</v>
      </c>
      <c r="B164" s="53" t="s">
        <v>102</v>
      </c>
      <c r="C164" s="53" t="s">
        <v>638</v>
      </c>
      <c r="D164" s="53" t="s">
        <v>368</v>
      </c>
      <c r="E164" s="53" t="s">
        <v>198</v>
      </c>
      <c r="F164" s="41">
        <f t="shared" ref="F164:H165" si="33">F165</f>
        <v>0</v>
      </c>
      <c r="G164" s="41">
        <f t="shared" si="33"/>
        <v>0</v>
      </c>
      <c r="H164" s="41">
        <f t="shared" si="33"/>
        <v>0</v>
      </c>
    </row>
    <row r="165" spans="1:8" ht="35.65" hidden="1" customHeight="1">
      <c r="A165" s="77" t="s">
        <v>611</v>
      </c>
      <c r="B165" s="43" t="s">
        <v>102</v>
      </c>
      <c r="C165" s="43" t="s">
        <v>638</v>
      </c>
      <c r="D165" s="43" t="s">
        <v>368</v>
      </c>
      <c r="E165" s="43" t="s">
        <v>612</v>
      </c>
      <c r="F165" s="348">
        <f t="shared" si="33"/>
        <v>0</v>
      </c>
      <c r="G165" s="348">
        <f t="shared" si="33"/>
        <v>0</v>
      </c>
      <c r="H165" s="348">
        <f t="shared" si="33"/>
        <v>0</v>
      </c>
    </row>
    <row r="166" spans="1:8" ht="48.6" hidden="1" customHeight="1">
      <c r="A166" s="77" t="s">
        <v>613</v>
      </c>
      <c r="B166" s="43" t="s">
        <v>102</v>
      </c>
      <c r="C166" s="43" t="s">
        <v>638</v>
      </c>
      <c r="D166" s="43" t="s">
        <v>368</v>
      </c>
      <c r="E166" s="43" t="s">
        <v>614</v>
      </c>
      <c r="F166" s="348"/>
      <c r="G166" s="348"/>
      <c r="H166" s="348"/>
    </row>
    <row r="167" spans="1:8" ht="34.9" hidden="1" customHeight="1">
      <c r="A167" s="153" t="s">
        <v>434</v>
      </c>
      <c r="B167" s="150" t="s">
        <v>102</v>
      </c>
      <c r="C167" s="150" t="s">
        <v>638</v>
      </c>
      <c r="D167" s="150" t="s">
        <v>435</v>
      </c>
      <c r="E167" s="150" t="s">
        <v>198</v>
      </c>
      <c r="F167" s="54">
        <f t="shared" ref="F167:H168" si="34">F168</f>
        <v>0</v>
      </c>
      <c r="G167" s="54">
        <f t="shared" si="34"/>
        <v>0</v>
      </c>
      <c r="H167" s="54">
        <f t="shared" si="34"/>
        <v>0</v>
      </c>
    </row>
    <row r="168" spans="1:8" ht="36.6" hidden="1" customHeight="1">
      <c r="A168" s="77" t="s">
        <v>611</v>
      </c>
      <c r="B168" s="43" t="s">
        <v>102</v>
      </c>
      <c r="C168" s="43" t="s">
        <v>638</v>
      </c>
      <c r="D168" s="43" t="s">
        <v>435</v>
      </c>
      <c r="E168" s="43" t="s">
        <v>612</v>
      </c>
      <c r="F168" s="348">
        <f t="shared" si="34"/>
        <v>0</v>
      </c>
      <c r="G168" s="348">
        <f t="shared" si="34"/>
        <v>0</v>
      </c>
      <c r="H168" s="348">
        <f t="shared" si="34"/>
        <v>0</v>
      </c>
    </row>
    <row r="169" spans="1:8" ht="49.15" hidden="1" customHeight="1">
      <c r="A169" s="77" t="s">
        <v>613</v>
      </c>
      <c r="B169" s="43" t="s">
        <v>102</v>
      </c>
      <c r="C169" s="43" t="s">
        <v>638</v>
      </c>
      <c r="D169" s="43" t="s">
        <v>435</v>
      </c>
      <c r="E169" s="43" t="s">
        <v>614</v>
      </c>
      <c r="F169" s="348">
        <f>'5'!D308</f>
        <v>0</v>
      </c>
      <c r="G169" s="348">
        <v>0</v>
      </c>
      <c r="H169" s="348">
        <v>0</v>
      </c>
    </row>
    <row r="170" spans="1:8" ht="78.75" hidden="1" customHeight="1">
      <c r="A170" s="76" t="s">
        <v>482</v>
      </c>
      <c r="B170" s="53" t="s">
        <v>102</v>
      </c>
      <c r="C170" s="53" t="s">
        <v>638</v>
      </c>
      <c r="D170" s="53" t="s">
        <v>483</v>
      </c>
      <c r="E170" s="53" t="s">
        <v>198</v>
      </c>
      <c r="F170" s="41">
        <f t="shared" ref="F170:H171" si="35">F171</f>
        <v>0</v>
      </c>
      <c r="G170" s="41">
        <f t="shared" si="35"/>
        <v>0</v>
      </c>
      <c r="H170" s="41">
        <f t="shared" si="35"/>
        <v>0</v>
      </c>
    </row>
    <row r="171" spans="1:8" ht="31.5" hidden="1" customHeight="1">
      <c r="A171" s="77" t="s">
        <v>611</v>
      </c>
      <c r="B171" s="43" t="s">
        <v>102</v>
      </c>
      <c r="C171" s="43" t="s">
        <v>638</v>
      </c>
      <c r="D171" s="43" t="s">
        <v>483</v>
      </c>
      <c r="E171" s="43" t="s">
        <v>612</v>
      </c>
      <c r="F171" s="348">
        <f t="shared" si="35"/>
        <v>0</v>
      </c>
      <c r="G171" s="348">
        <f t="shared" si="35"/>
        <v>0</v>
      </c>
      <c r="H171" s="348">
        <f t="shared" si="35"/>
        <v>0</v>
      </c>
    </row>
    <row r="172" spans="1:8" ht="47.25" hidden="1" customHeight="1">
      <c r="A172" s="77" t="s">
        <v>613</v>
      </c>
      <c r="B172" s="43" t="s">
        <v>102</v>
      </c>
      <c r="C172" s="43" t="s">
        <v>638</v>
      </c>
      <c r="D172" s="43" t="s">
        <v>483</v>
      </c>
      <c r="E172" s="43" t="s">
        <v>614</v>
      </c>
      <c r="F172" s="348"/>
      <c r="G172" s="348"/>
      <c r="H172" s="348"/>
    </row>
    <row r="173" spans="1:8" ht="51.75" customHeight="1">
      <c r="A173" s="76" t="s">
        <v>484</v>
      </c>
      <c r="B173" s="53" t="s">
        <v>102</v>
      </c>
      <c r="C173" s="53" t="s">
        <v>638</v>
      </c>
      <c r="D173" s="53" t="s">
        <v>485</v>
      </c>
      <c r="E173" s="53" t="s">
        <v>198</v>
      </c>
      <c r="F173" s="41">
        <f t="shared" ref="F173:H174" si="36">F174</f>
        <v>580</v>
      </c>
      <c r="G173" s="41">
        <f t="shared" si="36"/>
        <v>80</v>
      </c>
      <c r="H173" s="41">
        <f t="shared" si="36"/>
        <v>80</v>
      </c>
    </row>
    <row r="174" spans="1:8" ht="40.15" customHeight="1">
      <c r="A174" s="77" t="s">
        <v>611</v>
      </c>
      <c r="B174" s="43" t="s">
        <v>102</v>
      </c>
      <c r="C174" s="43" t="s">
        <v>638</v>
      </c>
      <c r="D174" s="43" t="s">
        <v>485</v>
      </c>
      <c r="E174" s="43" t="s">
        <v>612</v>
      </c>
      <c r="F174" s="348">
        <f>F175</f>
        <v>580</v>
      </c>
      <c r="G174" s="348">
        <f t="shared" si="36"/>
        <v>80</v>
      </c>
      <c r="H174" s="348">
        <f t="shared" si="36"/>
        <v>80</v>
      </c>
    </row>
    <row r="175" spans="1:8" ht="49.15" customHeight="1">
      <c r="A175" s="77" t="s">
        <v>613</v>
      </c>
      <c r="B175" s="43" t="s">
        <v>102</v>
      </c>
      <c r="C175" s="43" t="s">
        <v>638</v>
      </c>
      <c r="D175" s="43" t="s">
        <v>485</v>
      </c>
      <c r="E175" s="43" t="s">
        <v>614</v>
      </c>
      <c r="F175" s="348">
        <f>'5'!D309</f>
        <v>580</v>
      </c>
      <c r="G175" s="348">
        <f>'5'!E309</f>
        <v>80</v>
      </c>
      <c r="H175" s="348">
        <f>'5'!F309</f>
        <v>80</v>
      </c>
    </row>
    <row r="176" spans="1:8" ht="49.15" hidden="1" customHeight="1">
      <c r="A176" s="76" t="s">
        <v>550</v>
      </c>
      <c r="B176" s="43" t="s">
        <v>102</v>
      </c>
      <c r="C176" s="43" t="s">
        <v>638</v>
      </c>
      <c r="D176" s="43" t="s">
        <v>485</v>
      </c>
      <c r="E176" s="53" t="s">
        <v>198</v>
      </c>
      <c r="F176" s="41">
        <f t="shared" ref="F176:H177" si="37">F177</f>
        <v>0</v>
      </c>
      <c r="G176" s="41">
        <f t="shared" si="37"/>
        <v>0</v>
      </c>
      <c r="H176" s="41">
        <f t="shared" si="37"/>
        <v>0</v>
      </c>
    </row>
    <row r="177" spans="1:15" ht="42" hidden="1" customHeight="1">
      <c r="A177" s="77" t="s">
        <v>611</v>
      </c>
      <c r="B177" s="43" t="s">
        <v>102</v>
      </c>
      <c r="C177" s="43" t="s">
        <v>638</v>
      </c>
      <c r="D177" s="43" t="s">
        <v>485</v>
      </c>
      <c r="E177" s="43" t="s">
        <v>612</v>
      </c>
      <c r="F177" s="348">
        <f t="shared" si="37"/>
        <v>0</v>
      </c>
      <c r="G177" s="348">
        <f t="shared" si="37"/>
        <v>0</v>
      </c>
      <c r="H177" s="348">
        <f t="shared" si="37"/>
        <v>0</v>
      </c>
    </row>
    <row r="178" spans="1:15" ht="49.15" hidden="1" customHeight="1">
      <c r="A178" s="77" t="s">
        <v>613</v>
      </c>
      <c r="B178" s="43" t="s">
        <v>102</v>
      </c>
      <c r="C178" s="43" t="s">
        <v>638</v>
      </c>
      <c r="D178" s="43" t="s">
        <v>485</v>
      </c>
      <c r="E178" s="43" t="s">
        <v>614</v>
      </c>
      <c r="F178" s="348"/>
      <c r="G178" s="348"/>
      <c r="H178" s="348"/>
      <c r="O178" s="40"/>
    </row>
    <row r="179" spans="1:15" s="40" customFormat="1" ht="50.25" hidden="1" customHeight="1">
      <c r="A179" s="76" t="s">
        <v>658</v>
      </c>
      <c r="B179" s="43" t="s">
        <v>102</v>
      </c>
      <c r="C179" s="43" t="s">
        <v>638</v>
      </c>
      <c r="D179" s="43" t="s">
        <v>485</v>
      </c>
      <c r="E179" s="53" t="s">
        <v>198</v>
      </c>
      <c r="F179" s="41">
        <f>F180+F183+F191+F194</f>
        <v>120</v>
      </c>
      <c r="G179" s="41">
        <f>G180+G183+G191+G194</f>
        <v>120</v>
      </c>
      <c r="H179" s="41">
        <f>H180+H183+H191+H194</f>
        <v>140</v>
      </c>
      <c r="O179" s="55"/>
    </row>
    <row r="180" spans="1:15" s="55" customFormat="1" ht="35.25" hidden="1" customHeight="1">
      <c r="A180" s="86" t="s">
        <v>659</v>
      </c>
      <c r="B180" s="43" t="s">
        <v>102</v>
      </c>
      <c r="C180" s="43" t="s">
        <v>638</v>
      </c>
      <c r="D180" s="43" t="s">
        <v>485</v>
      </c>
      <c r="E180" s="43" t="s">
        <v>198</v>
      </c>
      <c r="F180" s="348">
        <f t="shared" ref="F180:H181" si="38">F181</f>
        <v>0</v>
      </c>
      <c r="G180" s="348">
        <f t="shared" si="38"/>
        <v>0</v>
      </c>
      <c r="H180" s="348">
        <f t="shared" si="38"/>
        <v>0</v>
      </c>
      <c r="O180" s="24"/>
    </row>
    <row r="181" spans="1:15" ht="39" hidden="1" customHeight="1">
      <c r="A181" s="77" t="s">
        <v>611</v>
      </c>
      <c r="B181" s="43" t="s">
        <v>102</v>
      </c>
      <c r="C181" s="43" t="s">
        <v>638</v>
      </c>
      <c r="D181" s="43" t="s">
        <v>485</v>
      </c>
      <c r="E181" s="43" t="s">
        <v>612</v>
      </c>
      <c r="F181" s="348">
        <f t="shared" si="38"/>
        <v>0</v>
      </c>
      <c r="G181" s="348">
        <f t="shared" si="38"/>
        <v>0</v>
      </c>
      <c r="H181" s="348">
        <f t="shared" si="38"/>
        <v>0</v>
      </c>
    </row>
    <row r="182" spans="1:15" ht="47.25" hidden="1" customHeight="1">
      <c r="A182" s="77" t="s">
        <v>613</v>
      </c>
      <c r="B182" s="43" t="s">
        <v>102</v>
      </c>
      <c r="C182" s="43" t="s">
        <v>638</v>
      </c>
      <c r="D182" s="43" t="s">
        <v>485</v>
      </c>
      <c r="E182" s="43" t="s">
        <v>614</v>
      </c>
      <c r="F182" s="348"/>
      <c r="G182" s="348"/>
      <c r="H182" s="348"/>
    </row>
    <row r="183" spans="1:15" ht="56.25" hidden="1" customHeight="1">
      <c r="A183" s="86" t="s">
        <v>159</v>
      </c>
      <c r="B183" s="43" t="s">
        <v>102</v>
      </c>
      <c r="C183" s="43" t="s">
        <v>638</v>
      </c>
      <c r="D183" s="43" t="s">
        <v>485</v>
      </c>
      <c r="E183" s="43" t="s">
        <v>198</v>
      </c>
      <c r="F183" s="348">
        <f t="shared" ref="F183:H186" si="39">F184</f>
        <v>0</v>
      </c>
      <c r="G183" s="348">
        <f t="shared" si="39"/>
        <v>0</v>
      </c>
      <c r="H183" s="348">
        <f t="shared" si="39"/>
        <v>0</v>
      </c>
    </row>
    <row r="184" spans="1:15" ht="64.150000000000006" hidden="1" customHeight="1">
      <c r="A184" s="76" t="s">
        <v>660</v>
      </c>
      <c r="B184" s="43" t="s">
        <v>102</v>
      </c>
      <c r="C184" s="43" t="s">
        <v>638</v>
      </c>
      <c r="D184" s="43" t="s">
        <v>485</v>
      </c>
      <c r="E184" s="53" t="s">
        <v>198</v>
      </c>
      <c r="F184" s="41">
        <f>F185+F188</f>
        <v>0</v>
      </c>
      <c r="G184" s="41">
        <f>G185+G188</f>
        <v>0</v>
      </c>
      <c r="H184" s="41">
        <f>H185+H188</f>
        <v>0</v>
      </c>
    </row>
    <row r="185" spans="1:15" ht="90" hidden="1" customHeight="1">
      <c r="A185" s="77" t="s">
        <v>1038</v>
      </c>
      <c r="B185" s="43" t="s">
        <v>102</v>
      </c>
      <c r="C185" s="43" t="s">
        <v>638</v>
      </c>
      <c r="D185" s="43" t="s">
        <v>485</v>
      </c>
      <c r="E185" s="43" t="s">
        <v>198</v>
      </c>
      <c r="F185" s="348">
        <f t="shared" si="39"/>
        <v>0</v>
      </c>
      <c r="G185" s="348">
        <f t="shared" si="39"/>
        <v>0</v>
      </c>
      <c r="H185" s="348">
        <f t="shared" si="39"/>
        <v>0</v>
      </c>
    </row>
    <row r="186" spans="1:15" ht="49.5" hidden="1" customHeight="1">
      <c r="A186" s="77" t="s">
        <v>661</v>
      </c>
      <c r="B186" s="43" t="s">
        <v>102</v>
      </c>
      <c r="C186" s="43" t="s">
        <v>638</v>
      </c>
      <c r="D186" s="43" t="s">
        <v>485</v>
      </c>
      <c r="E186" s="43" t="s">
        <v>662</v>
      </c>
      <c r="F186" s="348">
        <f t="shared" si="39"/>
        <v>0</v>
      </c>
      <c r="G186" s="348">
        <f t="shared" si="39"/>
        <v>0</v>
      </c>
      <c r="H186" s="348">
        <f t="shared" si="39"/>
        <v>0</v>
      </c>
    </row>
    <row r="187" spans="1:15" ht="16.899999999999999" hidden="1" customHeight="1">
      <c r="A187" s="77" t="s">
        <v>663</v>
      </c>
      <c r="B187" s="43" t="s">
        <v>102</v>
      </c>
      <c r="C187" s="43" t="s">
        <v>638</v>
      </c>
      <c r="D187" s="43" t="s">
        <v>485</v>
      </c>
      <c r="E187" s="43" t="s">
        <v>664</v>
      </c>
      <c r="F187" s="348"/>
      <c r="G187" s="348"/>
      <c r="H187" s="348"/>
    </row>
    <row r="188" spans="1:15" ht="96.6" hidden="1" customHeight="1">
      <c r="A188" s="77" t="s">
        <v>1039</v>
      </c>
      <c r="B188" s="43" t="s">
        <v>102</v>
      </c>
      <c r="C188" s="43" t="s">
        <v>638</v>
      </c>
      <c r="D188" s="43" t="s">
        <v>485</v>
      </c>
      <c r="E188" s="43" t="s">
        <v>198</v>
      </c>
      <c r="F188" s="348">
        <f t="shared" ref="F188:H189" si="40">F189</f>
        <v>0</v>
      </c>
      <c r="G188" s="348">
        <f t="shared" si="40"/>
        <v>0</v>
      </c>
      <c r="H188" s="348">
        <f t="shared" si="40"/>
        <v>0</v>
      </c>
    </row>
    <row r="189" spans="1:15" ht="50.25" hidden="1" customHeight="1">
      <c r="A189" s="77" t="s">
        <v>661</v>
      </c>
      <c r="B189" s="43" t="s">
        <v>102</v>
      </c>
      <c r="C189" s="43" t="s">
        <v>638</v>
      </c>
      <c r="D189" s="43" t="s">
        <v>485</v>
      </c>
      <c r="E189" s="43" t="s">
        <v>662</v>
      </c>
      <c r="F189" s="348">
        <f t="shared" si="40"/>
        <v>0</v>
      </c>
      <c r="G189" s="348">
        <f t="shared" si="40"/>
        <v>0</v>
      </c>
      <c r="H189" s="348">
        <f t="shared" si="40"/>
        <v>0</v>
      </c>
    </row>
    <row r="190" spans="1:15" ht="18" hidden="1" customHeight="1">
      <c r="A190" s="77" t="s">
        <v>663</v>
      </c>
      <c r="B190" s="43" t="s">
        <v>102</v>
      </c>
      <c r="C190" s="43" t="s">
        <v>638</v>
      </c>
      <c r="D190" s="43" t="s">
        <v>485</v>
      </c>
      <c r="E190" s="43" t="s">
        <v>664</v>
      </c>
      <c r="F190" s="348"/>
      <c r="G190" s="348">
        <v>0</v>
      </c>
      <c r="H190" s="348">
        <v>0</v>
      </c>
    </row>
    <row r="191" spans="1:15" ht="92.65" hidden="1" customHeight="1">
      <c r="A191" s="76" t="s">
        <v>352</v>
      </c>
      <c r="B191" s="43" t="s">
        <v>102</v>
      </c>
      <c r="C191" s="43" t="s">
        <v>638</v>
      </c>
      <c r="D191" s="43" t="s">
        <v>485</v>
      </c>
      <c r="E191" s="53" t="s">
        <v>198</v>
      </c>
      <c r="F191" s="41">
        <f t="shared" ref="F191:H192" si="41">F192</f>
        <v>0</v>
      </c>
      <c r="G191" s="41">
        <f t="shared" si="41"/>
        <v>0</v>
      </c>
      <c r="H191" s="41">
        <f t="shared" si="41"/>
        <v>0</v>
      </c>
    </row>
    <row r="192" spans="1:15" ht="36.6" hidden="1" customHeight="1">
      <c r="A192" s="77" t="s">
        <v>611</v>
      </c>
      <c r="B192" s="43" t="s">
        <v>102</v>
      </c>
      <c r="C192" s="43" t="s">
        <v>638</v>
      </c>
      <c r="D192" s="43" t="s">
        <v>485</v>
      </c>
      <c r="E192" s="43" t="s">
        <v>612</v>
      </c>
      <c r="F192" s="348">
        <f t="shared" si="41"/>
        <v>0</v>
      </c>
      <c r="G192" s="348">
        <f t="shared" si="41"/>
        <v>0</v>
      </c>
      <c r="H192" s="348">
        <f t="shared" si="41"/>
        <v>0</v>
      </c>
    </row>
    <row r="193" spans="1:15" ht="50.65" hidden="1" customHeight="1">
      <c r="A193" s="77" t="s">
        <v>613</v>
      </c>
      <c r="B193" s="43" t="s">
        <v>102</v>
      </c>
      <c r="C193" s="43" t="s">
        <v>638</v>
      </c>
      <c r="D193" s="43" t="s">
        <v>485</v>
      </c>
      <c r="E193" s="43" t="s">
        <v>614</v>
      </c>
      <c r="F193" s="348"/>
      <c r="G193" s="348"/>
      <c r="H193" s="348"/>
    </row>
    <row r="194" spans="1:15" ht="36" customHeight="1">
      <c r="A194" s="86" t="s">
        <v>665</v>
      </c>
      <c r="B194" s="43" t="s">
        <v>102</v>
      </c>
      <c r="C194" s="43" t="s">
        <v>638</v>
      </c>
      <c r="D194" s="43" t="s">
        <v>21</v>
      </c>
      <c r="E194" s="43" t="s">
        <v>198</v>
      </c>
      <c r="F194" s="348">
        <f t="shared" ref="F194:H195" si="42">F195</f>
        <v>120</v>
      </c>
      <c r="G194" s="348">
        <f t="shared" si="42"/>
        <v>120</v>
      </c>
      <c r="H194" s="348">
        <f t="shared" si="42"/>
        <v>140</v>
      </c>
    </row>
    <row r="195" spans="1:15" ht="34.5" customHeight="1">
      <c r="A195" s="77" t="s">
        <v>611</v>
      </c>
      <c r="B195" s="43" t="s">
        <v>102</v>
      </c>
      <c r="C195" s="43" t="s">
        <v>638</v>
      </c>
      <c r="D195" s="43" t="s">
        <v>348</v>
      </c>
      <c r="E195" s="43" t="s">
        <v>612</v>
      </c>
      <c r="F195" s="348">
        <f t="shared" si="42"/>
        <v>120</v>
      </c>
      <c r="G195" s="348">
        <f t="shared" si="42"/>
        <v>120</v>
      </c>
      <c r="H195" s="348">
        <f t="shared" si="42"/>
        <v>140</v>
      </c>
    </row>
    <row r="196" spans="1:15" ht="48" customHeight="1">
      <c r="A196" s="77" t="s">
        <v>613</v>
      </c>
      <c r="B196" s="43" t="s">
        <v>102</v>
      </c>
      <c r="C196" s="43" t="s">
        <v>638</v>
      </c>
      <c r="D196" s="43" t="s">
        <v>348</v>
      </c>
      <c r="E196" s="43" t="s">
        <v>614</v>
      </c>
      <c r="F196" s="348">
        <f>'5'!D104</f>
        <v>120</v>
      </c>
      <c r="G196" s="348">
        <f>'5'!E104</f>
        <v>120</v>
      </c>
      <c r="H196" s="348">
        <f>'5'!F104</f>
        <v>140</v>
      </c>
      <c r="O196" s="40"/>
    </row>
    <row r="197" spans="1:15" s="40" customFormat="1" ht="67.5" customHeight="1">
      <c r="A197" s="76" t="s">
        <v>544</v>
      </c>
      <c r="B197" s="53" t="s">
        <v>102</v>
      </c>
      <c r="C197" s="53" t="s">
        <v>638</v>
      </c>
      <c r="D197" s="53" t="s">
        <v>22</v>
      </c>
      <c r="E197" s="53" t="s">
        <v>198</v>
      </c>
      <c r="F197" s="41">
        <f t="shared" ref="F197:H198" si="43">F198</f>
        <v>39</v>
      </c>
      <c r="G197" s="41">
        <f t="shared" si="43"/>
        <v>39</v>
      </c>
      <c r="H197" s="41">
        <f t="shared" si="43"/>
        <v>41</v>
      </c>
      <c r="O197" s="24"/>
    </row>
    <row r="198" spans="1:15" ht="35.25" customHeight="1">
      <c r="A198" s="77" t="s">
        <v>611</v>
      </c>
      <c r="B198" s="43" t="s">
        <v>102</v>
      </c>
      <c r="C198" s="43" t="s">
        <v>638</v>
      </c>
      <c r="D198" s="43" t="s">
        <v>666</v>
      </c>
      <c r="E198" s="43" t="s">
        <v>612</v>
      </c>
      <c r="F198" s="348">
        <f t="shared" si="43"/>
        <v>39</v>
      </c>
      <c r="G198" s="348">
        <f t="shared" si="43"/>
        <v>39</v>
      </c>
      <c r="H198" s="348">
        <f t="shared" si="43"/>
        <v>41</v>
      </c>
    </row>
    <row r="199" spans="1:15" ht="50.25" customHeight="1">
      <c r="A199" s="77" t="s">
        <v>613</v>
      </c>
      <c r="B199" s="43" t="s">
        <v>102</v>
      </c>
      <c r="C199" s="43" t="s">
        <v>638</v>
      </c>
      <c r="D199" s="43" t="s">
        <v>23</v>
      </c>
      <c r="E199" s="43" t="s">
        <v>614</v>
      </c>
      <c r="F199" s="348">
        <f>'5'!D125</f>
        <v>39</v>
      </c>
      <c r="G199" s="348">
        <f>'5'!E125</f>
        <v>39</v>
      </c>
      <c r="H199" s="348">
        <f>'5'!F125</f>
        <v>41</v>
      </c>
      <c r="O199" s="40"/>
    </row>
    <row r="200" spans="1:15" s="40" customFormat="1" ht="47.25" hidden="1" customHeight="1">
      <c r="A200" s="76" t="s">
        <v>667</v>
      </c>
      <c r="B200" s="53" t="s">
        <v>102</v>
      </c>
      <c r="C200" s="53" t="s">
        <v>638</v>
      </c>
      <c r="D200" s="53" t="s">
        <v>24</v>
      </c>
      <c r="E200" s="53" t="s">
        <v>198</v>
      </c>
      <c r="F200" s="41">
        <f t="shared" ref="F200:H201" si="44">F201</f>
        <v>0</v>
      </c>
      <c r="G200" s="41">
        <f t="shared" si="44"/>
        <v>0</v>
      </c>
      <c r="H200" s="41">
        <f t="shared" si="44"/>
        <v>0</v>
      </c>
      <c r="O200" s="24"/>
    </row>
    <row r="201" spans="1:15" ht="31.5" hidden="1" customHeight="1">
      <c r="A201" s="77" t="s">
        <v>611</v>
      </c>
      <c r="B201" s="43" t="s">
        <v>102</v>
      </c>
      <c r="C201" s="43" t="s">
        <v>638</v>
      </c>
      <c r="D201" s="43" t="s">
        <v>668</v>
      </c>
      <c r="E201" s="43" t="s">
        <v>612</v>
      </c>
      <c r="F201" s="348">
        <f t="shared" si="44"/>
        <v>0</v>
      </c>
      <c r="G201" s="348">
        <f t="shared" si="44"/>
        <v>0</v>
      </c>
      <c r="H201" s="348">
        <f t="shared" si="44"/>
        <v>0</v>
      </c>
    </row>
    <row r="202" spans="1:15" ht="47.25" hidden="1" customHeight="1">
      <c r="A202" s="77" t="s">
        <v>613</v>
      </c>
      <c r="B202" s="43" t="s">
        <v>102</v>
      </c>
      <c r="C202" s="43" t="s">
        <v>638</v>
      </c>
      <c r="D202" s="43" t="s">
        <v>668</v>
      </c>
      <c r="E202" s="43" t="s">
        <v>614</v>
      </c>
      <c r="F202" s="348"/>
      <c r="G202" s="348"/>
      <c r="H202" s="348"/>
    </row>
    <row r="203" spans="1:15" ht="66" customHeight="1">
      <c r="A203" s="76" t="s">
        <v>528</v>
      </c>
      <c r="B203" s="53" t="s">
        <v>102</v>
      </c>
      <c r="C203" s="53" t="s">
        <v>638</v>
      </c>
      <c r="D203" s="53" t="s">
        <v>282</v>
      </c>
      <c r="E203" s="53" t="s">
        <v>198</v>
      </c>
      <c r="F203" s="41">
        <f t="shared" ref="F203:H204" si="45">F204</f>
        <v>20</v>
      </c>
      <c r="G203" s="41">
        <f t="shared" si="45"/>
        <v>0</v>
      </c>
      <c r="H203" s="41">
        <f t="shared" si="45"/>
        <v>0</v>
      </c>
    </row>
    <row r="204" spans="1:15" ht="51.75" customHeight="1">
      <c r="A204" s="77" t="s">
        <v>283</v>
      </c>
      <c r="B204" s="43" t="s">
        <v>102</v>
      </c>
      <c r="C204" s="43" t="s">
        <v>638</v>
      </c>
      <c r="D204" s="43" t="s">
        <v>284</v>
      </c>
      <c r="E204" s="43" t="s">
        <v>612</v>
      </c>
      <c r="F204" s="348">
        <f t="shared" si="45"/>
        <v>20</v>
      </c>
      <c r="G204" s="348">
        <f t="shared" si="45"/>
        <v>0</v>
      </c>
      <c r="H204" s="348">
        <f t="shared" si="45"/>
        <v>0</v>
      </c>
    </row>
    <row r="205" spans="1:15" ht="36" customHeight="1">
      <c r="A205" s="77" t="s">
        <v>669</v>
      </c>
      <c r="B205" s="43" t="s">
        <v>102</v>
      </c>
      <c r="C205" s="43" t="s">
        <v>638</v>
      </c>
      <c r="D205" s="43" t="s">
        <v>285</v>
      </c>
      <c r="E205" s="43" t="s">
        <v>614</v>
      </c>
      <c r="F205" s="348">
        <f>'5'!D234</f>
        <v>20</v>
      </c>
      <c r="G205" s="348">
        <f>'5'!E234</f>
        <v>0</v>
      </c>
      <c r="H205" s="348">
        <f>'5'!F234</f>
        <v>0</v>
      </c>
      <c r="O205" s="49"/>
    </row>
    <row r="206" spans="1:15" s="49" customFormat="1" ht="15.75" hidden="1" customHeight="1">
      <c r="A206" s="129" t="s">
        <v>670</v>
      </c>
      <c r="B206" s="130" t="s">
        <v>603</v>
      </c>
      <c r="C206" s="130" t="s">
        <v>103</v>
      </c>
      <c r="D206" s="130" t="s">
        <v>601</v>
      </c>
      <c r="E206" s="130" t="s">
        <v>198</v>
      </c>
      <c r="F206" s="131">
        <f>F207</f>
        <v>0</v>
      </c>
      <c r="G206" s="131">
        <f>G207</f>
        <v>0</v>
      </c>
      <c r="H206" s="131">
        <f>H207</f>
        <v>0</v>
      </c>
      <c r="O206" s="24"/>
    </row>
    <row r="207" spans="1:15" ht="31.5" hidden="1" customHeight="1">
      <c r="A207" s="135" t="s">
        <v>671</v>
      </c>
      <c r="B207" s="126" t="s">
        <v>603</v>
      </c>
      <c r="C207" s="126" t="s">
        <v>103</v>
      </c>
      <c r="D207" s="126" t="s">
        <v>601</v>
      </c>
      <c r="E207" s="126" t="s">
        <v>198</v>
      </c>
      <c r="F207" s="127">
        <f t="shared" ref="F207:H209" si="46">F209</f>
        <v>0</v>
      </c>
      <c r="G207" s="127">
        <f t="shared" si="46"/>
        <v>0</v>
      </c>
      <c r="H207" s="127">
        <f t="shared" si="46"/>
        <v>0</v>
      </c>
    </row>
    <row r="208" spans="1:15" ht="78.75" hidden="1" customHeight="1">
      <c r="A208" s="132" t="s">
        <v>672</v>
      </c>
      <c r="B208" s="126" t="s">
        <v>603</v>
      </c>
      <c r="C208" s="126" t="s">
        <v>103</v>
      </c>
      <c r="D208" s="133" t="s">
        <v>261</v>
      </c>
      <c r="E208" s="133" t="s">
        <v>198</v>
      </c>
      <c r="F208" s="134">
        <f t="shared" si="46"/>
        <v>0</v>
      </c>
      <c r="G208" s="134">
        <f t="shared" si="46"/>
        <v>0</v>
      </c>
      <c r="H208" s="134">
        <f t="shared" si="46"/>
        <v>0</v>
      </c>
    </row>
    <row r="209" spans="1:15" ht="47.25" hidden="1" customHeight="1">
      <c r="A209" s="135" t="s">
        <v>673</v>
      </c>
      <c r="B209" s="126" t="s">
        <v>603</v>
      </c>
      <c r="C209" s="126" t="s">
        <v>103</v>
      </c>
      <c r="D209" s="126" t="s">
        <v>258</v>
      </c>
      <c r="E209" s="126" t="s">
        <v>198</v>
      </c>
      <c r="F209" s="127">
        <f t="shared" si="46"/>
        <v>0</v>
      </c>
      <c r="G209" s="127">
        <f t="shared" si="46"/>
        <v>0</v>
      </c>
      <c r="H209" s="127">
        <f t="shared" si="46"/>
        <v>0</v>
      </c>
    </row>
    <row r="210" spans="1:15" ht="15.75" hidden="1" customHeight="1">
      <c r="A210" s="135" t="s">
        <v>674</v>
      </c>
      <c r="B210" s="126" t="s">
        <v>603</v>
      </c>
      <c r="C210" s="126" t="s">
        <v>103</v>
      </c>
      <c r="D210" s="126" t="s">
        <v>258</v>
      </c>
      <c r="E210" s="126" t="s">
        <v>675</v>
      </c>
      <c r="F210" s="127">
        <f>F211</f>
        <v>0</v>
      </c>
      <c r="G210" s="127">
        <f>G211</f>
        <v>0</v>
      </c>
      <c r="H210" s="127">
        <f>H211</f>
        <v>0</v>
      </c>
    </row>
    <row r="211" spans="1:15" ht="15.75" hidden="1" customHeight="1">
      <c r="A211" s="135" t="s">
        <v>639</v>
      </c>
      <c r="B211" s="126" t="s">
        <v>603</v>
      </c>
      <c r="C211" s="126" t="s">
        <v>103</v>
      </c>
      <c r="D211" s="126" t="s">
        <v>258</v>
      </c>
      <c r="E211" s="126" t="s">
        <v>676</v>
      </c>
      <c r="F211" s="127"/>
      <c r="G211" s="127"/>
      <c r="H211" s="127"/>
      <c r="O211" s="49"/>
    </row>
    <row r="212" spans="1:15" s="49" customFormat="1" ht="47.25" hidden="1" customHeight="1">
      <c r="A212" s="81" t="s">
        <v>677</v>
      </c>
      <c r="B212" s="59" t="s">
        <v>105</v>
      </c>
      <c r="C212" s="59" t="s">
        <v>103</v>
      </c>
      <c r="D212" s="59" t="s">
        <v>601</v>
      </c>
      <c r="E212" s="59" t="s">
        <v>198</v>
      </c>
      <c r="F212" s="96">
        <f t="shared" ref="F212:H215" si="47">F213</f>
        <v>0</v>
      </c>
      <c r="G212" s="96">
        <f t="shared" si="47"/>
        <v>0</v>
      </c>
      <c r="H212" s="96">
        <f t="shared" si="47"/>
        <v>0</v>
      </c>
      <c r="O212" s="24"/>
    </row>
    <row r="213" spans="1:15" ht="63" hidden="1" customHeight="1">
      <c r="A213" s="77" t="s">
        <v>185</v>
      </c>
      <c r="B213" s="43" t="s">
        <v>105</v>
      </c>
      <c r="C213" s="43" t="s">
        <v>678</v>
      </c>
      <c r="D213" s="43" t="s">
        <v>10</v>
      </c>
      <c r="E213" s="43" t="s">
        <v>198</v>
      </c>
      <c r="F213" s="348">
        <f t="shared" si="47"/>
        <v>0</v>
      </c>
      <c r="G213" s="348">
        <f t="shared" si="47"/>
        <v>0</v>
      </c>
      <c r="H213" s="348">
        <f t="shared" si="47"/>
        <v>0</v>
      </c>
    </row>
    <row r="214" spans="1:15" ht="47.25" hidden="1" customHeight="1">
      <c r="A214" s="77" t="s">
        <v>679</v>
      </c>
      <c r="B214" s="43" t="s">
        <v>105</v>
      </c>
      <c r="C214" s="43" t="s">
        <v>678</v>
      </c>
      <c r="D214" s="43" t="s">
        <v>10</v>
      </c>
      <c r="E214" s="43" t="s">
        <v>198</v>
      </c>
      <c r="F214" s="348">
        <f t="shared" si="47"/>
        <v>0</v>
      </c>
      <c r="G214" s="348">
        <f t="shared" si="47"/>
        <v>0</v>
      </c>
      <c r="H214" s="348">
        <f t="shared" si="47"/>
        <v>0</v>
      </c>
    </row>
    <row r="215" spans="1:15" ht="31.5" hidden="1" customHeight="1">
      <c r="A215" s="77" t="s">
        <v>611</v>
      </c>
      <c r="B215" s="43" t="s">
        <v>105</v>
      </c>
      <c r="C215" s="43" t="s">
        <v>678</v>
      </c>
      <c r="D215" s="43" t="s">
        <v>10</v>
      </c>
      <c r="E215" s="43" t="s">
        <v>612</v>
      </c>
      <c r="F215" s="348">
        <f t="shared" si="47"/>
        <v>0</v>
      </c>
      <c r="G215" s="348">
        <f t="shared" si="47"/>
        <v>0</v>
      </c>
      <c r="H215" s="348">
        <f t="shared" si="47"/>
        <v>0</v>
      </c>
    </row>
    <row r="216" spans="1:15" ht="47.25" hidden="1" customHeight="1">
      <c r="A216" s="77" t="s">
        <v>613</v>
      </c>
      <c r="B216" s="43" t="s">
        <v>105</v>
      </c>
      <c r="C216" s="43" t="s">
        <v>678</v>
      </c>
      <c r="D216" s="43" t="s">
        <v>10</v>
      </c>
      <c r="E216" s="43" t="s">
        <v>614</v>
      </c>
      <c r="F216" s="348">
        <v>0</v>
      </c>
      <c r="G216" s="348">
        <v>0</v>
      </c>
      <c r="H216" s="348">
        <v>0</v>
      </c>
    </row>
    <row r="217" spans="1:15" ht="94.5" hidden="1" customHeight="1">
      <c r="A217" s="132" t="s">
        <v>680</v>
      </c>
      <c r="B217" s="133" t="s">
        <v>102</v>
      </c>
      <c r="C217" s="133" t="s">
        <v>638</v>
      </c>
      <c r="D217" s="133" t="s">
        <v>681</v>
      </c>
      <c r="E217" s="133" t="s">
        <v>198</v>
      </c>
      <c r="F217" s="134">
        <f t="shared" ref="F217:H218" si="48">F218</f>
        <v>0</v>
      </c>
      <c r="G217" s="134">
        <f t="shared" si="48"/>
        <v>0</v>
      </c>
      <c r="H217" s="134">
        <f t="shared" si="48"/>
        <v>0</v>
      </c>
    </row>
    <row r="218" spans="1:15" ht="94.5" hidden="1" customHeight="1">
      <c r="A218" s="135" t="s">
        <v>605</v>
      </c>
      <c r="B218" s="126" t="s">
        <v>102</v>
      </c>
      <c r="C218" s="126" t="s">
        <v>638</v>
      </c>
      <c r="D218" s="126" t="s">
        <v>681</v>
      </c>
      <c r="E218" s="126" t="s">
        <v>606</v>
      </c>
      <c r="F218" s="127">
        <f t="shared" si="48"/>
        <v>0</v>
      </c>
      <c r="G218" s="127">
        <f t="shared" si="48"/>
        <v>0</v>
      </c>
      <c r="H218" s="127">
        <f t="shared" si="48"/>
        <v>0</v>
      </c>
    </row>
    <row r="219" spans="1:15" ht="31.5" hidden="1" customHeight="1">
      <c r="A219" s="135" t="s">
        <v>607</v>
      </c>
      <c r="B219" s="126" t="s">
        <v>102</v>
      </c>
      <c r="C219" s="126" t="s">
        <v>638</v>
      </c>
      <c r="D219" s="126" t="s">
        <v>681</v>
      </c>
      <c r="E219" s="126" t="s">
        <v>608</v>
      </c>
      <c r="F219" s="127"/>
      <c r="G219" s="127"/>
      <c r="H219" s="127"/>
    </row>
    <row r="220" spans="1:15" ht="78.75" hidden="1" customHeight="1">
      <c r="A220" s="132" t="s">
        <v>682</v>
      </c>
      <c r="B220" s="126" t="s">
        <v>102</v>
      </c>
      <c r="C220" s="126" t="s">
        <v>638</v>
      </c>
      <c r="D220" s="126" t="s">
        <v>683</v>
      </c>
      <c r="E220" s="126" t="s">
        <v>198</v>
      </c>
      <c r="F220" s="127">
        <f>F221+F223</f>
        <v>0</v>
      </c>
      <c r="G220" s="127">
        <f>G221+G223</f>
        <v>0</v>
      </c>
      <c r="H220" s="127">
        <f>H221+H223</f>
        <v>0</v>
      </c>
    </row>
    <row r="221" spans="1:15" ht="94.5" hidden="1" customHeight="1">
      <c r="A221" s="135" t="s">
        <v>605</v>
      </c>
      <c r="B221" s="126" t="s">
        <v>102</v>
      </c>
      <c r="C221" s="126" t="s">
        <v>638</v>
      </c>
      <c r="D221" s="126" t="s">
        <v>683</v>
      </c>
      <c r="E221" s="126" t="s">
        <v>606</v>
      </c>
      <c r="F221" s="127">
        <f>F222</f>
        <v>0</v>
      </c>
      <c r="G221" s="127">
        <f>G222</f>
        <v>0</v>
      </c>
      <c r="H221" s="127">
        <f>H222</f>
        <v>0</v>
      </c>
    </row>
    <row r="222" spans="1:15" ht="31.5" hidden="1" customHeight="1">
      <c r="A222" s="135" t="s">
        <v>607</v>
      </c>
      <c r="B222" s="126" t="s">
        <v>102</v>
      </c>
      <c r="C222" s="126" t="s">
        <v>638</v>
      </c>
      <c r="D222" s="126" t="s">
        <v>683</v>
      </c>
      <c r="E222" s="126" t="s">
        <v>608</v>
      </c>
      <c r="F222" s="127"/>
      <c r="G222" s="127"/>
      <c r="H222" s="127"/>
    </row>
    <row r="223" spans="1:15" ht="31.5" hidden="1" customHeight="1">
      <c r="A223" s="135" t="s">
        <v>611</v>
      </c>
      <c r="B223" s="126" t="s">
        <v>102</v>
      </c>
      <c r="C223" s="126" t="s">
        <v>638</v>
      </c>
      <c r="D223" s="126" t="s">
        <v>683</v>
      </c>
      <c r="E223" s="126" t="s">
        <v>612</v>
      </c>
      <c r="F223" s="127">
        <f>F224</f>
        <v>0</v>
      </c>
      <c r="G223" s="127">
        <f>G224</f>
        <v>0</v>
      </c>
      <c r="H223" s="127">
        <f>H224</f>
        <v>0</v>
      </c>
    </row>
    <row r="224" spans="1:15" ht="47.25" hidden="1" customHeight="1">
      <c r="A224" s="135" t="s">
        <v>613</v>
      </c>
      <c r="B224" s="126" t="s">
        <v>102</v>
      </c>
      <c r="C224" s="126" t="s">
        <v>638</v>
      </c>
      <c r="D224" s="126" t="s">
        <v>683</v>
      </c>
      <c r="E224" s="126" t="s">
        <v>614</v>
      </c>
      <c r="F224" s="127"/>
      <c r="G224" s="127"/>
      <c r="H224" s="127"/>
    </row>
    <row r="225" spans="1:15" ht="110.25" hidden="1" customHeight="1">
      <c r="A225" s="132" t="s">
        <v>371</v>
      </c>
      <c r="B225" s="126" t="s">
        <v>102</v>
      </c>
      <c r="C225" s="126" t="s">
        <v>638</v>
      </c>
      <c r="D225" s="133" t="s">
        <v>372</v>
      </c>
      <c r="E225" s="133" t="s">
        <v>198</v>
      </c>
      <c r="F225" s="134">
        <f t="shared" ref="F225:H226" si="49">F226</f>
        <v>0</v>
      </c>
      <c r="G225" s="134">
        <f t="shared" si="49"/>
        <v>0</v>
      </c>
      <c r="H225" s="134">
        <f t="shared" si="49"/>
        <v>0</v>
      </c>
    </row>
    <row r="226" spans="1:15" ht="31.5" hidden="1" customHeight="1">
      <c r="A226" s="135" t="s">
        <v>611</v>
      </c>
      <c r="B226" s="126" t="s">
        <v>102</v>
      </c>
      <c r="C226" s="126" t="s">
        <v>638</v>
      </c>
      <c r="D226" s="126" t="s">
        <v>372</v>
      </c>
      <c r="E226" s="126" t="s">
        <v>612</v>
      </c>
      <c r="F226" s="127">
        <f t="shared" si="49"/>
        <v>0</v>
      </c>
      <c r="G226" s="127">
        <f t="shared" si="49"/>
        <v>0</v>
      </c>
      <c r="H226" s="127">
        <f t="shared" si="49"/>
        <v>0</v>
      </c>
    </row>
    <row r="227" spans="1:15" ht="47.25" hidden="1" customHeight="1">
      <c r="A227" s="135" t="s">
        <v>613</v>
      </c>
      <c r="B227" s="126" t="s">
        <v>102</v>
      </c>
      <c r="C227" s="126" t="s">
        <v>638</v>
      </c>
      <c r="D227" s="126" t="s">
        <v>372</v>
      </c>
      <c r="E227" s="126" t="s">
        <v>614</v>
      </c>
      <c r="F227" s="127"/>
      <c r="G227" s="127"/>
      <c r="H227" s="127"/>
    </row>
    <row r="228" spans="1:15" ht="63" customHeight="1">
      <c r="A228" s="76" t="s">
        <v>1054</v>
      </c>
      <c r="B228" s="53" t="s">
        <v>102</v>
      </c>
      <c r="C228" s="53" t="s">
        <v>638</v>
      </c>
      <c r="D228" s="53" t="s">
        <v>684</v>
      </c>
      <c r="E228" s="53" t="s">
        <v>198</v>
      </c>
      <c r="F228" s="41">
        <f t="shared" ref="F228:H229" si="50">F229</f>
        <v>20</v>
      </c>
      <c r="G228" s="41">
        <f t="shared" si="50"/>
        <v>0</v>
      </c>
      <c r="H228" s="41">
        <f t="shared" si="50"/>
        <v>0</v>
      </c>
    </row>
    <row r="229" spans="1:15" ht="31.5" customHeight="1">
      <c r="A229" s="77" t="s">
        <v>611</v>
      </c>
      <c r="B229" s="43" t="s">
        <v>102</v>
      </c>
      <c r="C229" s="43" t="s">
        <v>638</v>
      </c>
      <c r="D229" s="43" t="s">
        <v>541</v>
      </c>
      <c r="E229" s="43" t="s">
        <v>612</v>
      </c>
      <c r="F229" s="348">
        <f t="shared" si="50"/>
        <v>20</v>
      </c>
      <c r="G229" s="348">
        <f t="shared" si="50"/>
        <v>0</v>
      </c>
      <c r="H229" s="348">
        <f t="shared" si="50"/>
        <v>0</v>
      </c>
    </row>
    <row r="230" spans="1:15" ht="47.25" customHeight="1">
      <c r="A230" s="77" t="s">
        <v>613</v>
      </c>
      <c r="B230" s="43" t="s">
        <v>102</v>
      </c>
      <c r="C230" s="43" t="s">
        <v>638</v>
      </c>
      <c r="D230" s="43" t="s">
        <v>541</v>
      </c>
      <c r="E230" s="43" t="s">
        <v>614</v>
      </c>
      <c r="F230" s="348">
        <f>'5'!D248</f>
        <v>20</v>
      </c>
      <c r="G230" s="348">
        <f>'5'!E248</f>
        <v>0</v>
      </c>
      <c r="H230" s="348">
        <f>'5'!F248</f>
        <v>0</v>
      </c>
      <c r="O230" s="56"/>
    </row>
    <row r="231" spans="1:15" s="56" customFormat="1" ht="48" customHeight="1">
      <c r="A231" s="80" t="s">
        <v>677</v>
      </c>
      <c r="B231" s="30" t="s">
        <v>105</v>
      </c>
      <c r="C231" s="30" t="s">
        <v>103</v>
      </c>
      <c r="D231" s="30" t="s">
        <v>601</v>
      </c>
      <c r="E231" s="30" t="s">
        <v>198</v>
      </c>
      <c r="F231" s="31">
        <f>F236+F243+F232</f>
        <v>8525.27</v>
      </c>
      <c r="G231" s="31">
        <f t="shared" ref="G231:H231" si="51">G236+G243+G232</f>
        <v>50</v>
      </c>
      <c r="H231" s="31">
        <f t="shared" si="51"/>
        <v>50</v>
      </c>
      <c r="I231" s="336"/>
      <c r="J231" s="336"/>
      <c r="K231" s="336"/>
      <c r="O231" s="24"/>
    </row>
    <row r="232" spans="1:15" s="56" customFormat="1" ht="22.5" customHeight="1">
      <c r="A232" s="366" t="s">
        <v>1129</v>
      </c>
      <c r="B232" s="367" t="s">
        <v>105</v>
      </c>
      <c r="C232" s="367" t="s">
        <v>678</v>
      </c>
      <c r="D232" s="367" t="s">
        <v>10</v>
      </c>
      <c r="E232" s="367"/>
      <c r="F232" s="369">
        <f>F233</f>
        <v>200</v>
      </c>
      <c r="G232" s="369">
        <f t="shared" ref="G232:H232" si="52">G233</f>
        <v>50</v>
      </c>
      <c r="H232" s="369">
        <f t="shared" si="52"/>
        <v>50</v>
      </c>
      <c r="I232" s="336"/>
      <c r="J232" s="336"/>
      <c r="K232" s="336"/>
      <c r="O232" s="24"/>
    </row>
    <row r="233" spans="1:15" s="56" customFormat="1" ht="36.75" customHeight="1">
      <c r="A233" s="77" t="s">
        <v>1128</v>
      </c>
      <c r="B233" s="43" t="s">
        <v>105</v>
      </c>
      <c r="C233" s="43" t="s">
        <v>678</v>
      </c>
      <c r="D233" s="37" t="s">
        <v>10</v>
      </c>
      <c r="E233" s="43" t="s">
        <v>198</v>
      </c>
      <c r="F233" s="348">
        <f>F234</f>
        <v>200</v>
      </c>
      <c r="G233" s="348">
        <f t="shared" ref="G233:H233" si="53">G234</f>
        <v>50</v>
      </c>
      <c r="H233" s="348">
        <f t="shared" si="53"/>
        <v>50</v>
      </c>
      <c r="I233" s="336"/>
      <c r="J233" s="336"/>
      <c r="K233" s="336"/>
      <c r="O233" s="24"/>
    </row>
    <row r="234" spans="1:15" s="56" customFormat="1" ht="34.5" customHeight="1">
      <c r="A234" s="77" t="s">
        <v>611</v>
      </c>
      <c r="B234" s="43" t="s">
        <v>105</v>
      </c>
      <c r="C234" s="43" t="s">
        <v>678</v>
      </c>
      <c r="D234" s="37" t="s">
        <v>10</v>
      </c>
      <c r="E234" s="43" t="s">
        <v>612</v>
      </c>
      <c r="F234" s="348">
        <f>F235</f>
        <v>200</v>
      </c>
      <c r="G234" s="348">
        <f t="shared" ref="G234:H234" si="54">G235</f>
        <v>50</v>
      </c>
      <c r="H234" s="348">
        <f t="shared" si="54"/>
        <v>50</v>
      </c>
      <c r="I234" s="336"/>
      <c r="J234" s="336"/>
      <c r="K234" s="336"/>
      <c r="O234" s="24"/>
    </row>
    <row r="235" spans="1:15" s="56" customFormat="1" ht="51.75" customHeight="1">
      <c r="A235" s="77" t="s">
        <v>613</v>
      </c>
      <c r="B235" s="43" t="s">
        <v>105</v>
      </c>
      <c r="C235" s="43" t="s">
        <v>678</v>
      </c>
      <c r="D235" s="37" t="s">
        <v>10</v>
      </c>
      <c r="E235" s="43" t="s">
        <v>614</v>
      </c>
      <c r="F235" s="348">
        <v>200</v>
      </c>
      <c r="G235" s="348">
        <v>50</v>
      </c>
      <c r="H235" s="348">
        <v>50</v>
      </c>
      <c r="I235" s="336"/>
      <c r="J235" s="336"/>
      <c r="K235" s="336"/>
      <c r="O235" s="24"/>
    </row>
    <row r="236" spans="1:15" ht="65.25" customHeight="1">
      <c r="A236" s="366" t="s">
        <v>185</v>
      </c>
      <c r="B236" s="367" t="s">
        <v>105</v>
      </c>
      <c r="C236" s="367" t="s">
        <v>120</v>
      </c>
      <c r="D236" s="367" t="s">
        <v>1135</v>
      </c>
      <c r="E236" s="367" t="s">
        <v>198</v>
      </c>
      <c r="F236" s="369">
        <f>F237</f>
        <v>8314.35</v>
      </c>
      <c r="G236" s="369">
        <f>G237</f>
        <v>0</v>
      </c>
      <c r="H236" s="369">
        <f>H237</f>
        <v>0</v>
      </c>
    </row>
    <row r="237" spans="1:15" ht="48" customHeight="1">
      <c r="A237" s="74" t="s">
        <v>1144</v>
      </c>
      <c r="B237" s="37" t="s">
        <v>105</v>
      </c>
      <c r="C237" s="37" t="s">
        <v>120</v>
      </c>
      <c r="D237" s="37" t="s">
        <v>1135</v>
      </c>
      <c r="E237" s="37" t="s">
        <v>198</v>
      </c>
      <c r="F237" s="38">
        <f>F239</f>
        <v>8314.35</v>
      </c>
      <c r="G237" s="38">
        <f>G239</f>
        <v>0</v>
      </c>
      <c r="H237" s="38">
        <f>H239</f>
        <v>0</v>
      </c>
    </row>
    <row r="238" spans="1:15" ht="33.75" customHeight="1">
      <c r="A238" s="77" t="s">
        <v>611</v>
      </c>
      <c r="B238" s="37" t="s">
        <v>105</v>
      </c>
      <c r="C238" s="37" t="s">
        <v>120</v>
      </c>
      <c r="D238" s="37" t="s">
        <v>1135</v>
      </c>
      <c r="E238" s="37" t="s">
        <v>612</v>
      </c>
      <c r="F238" s="38">
        <f>F239</f>
        <v>8314.35</v>
      </c>
      <c r="G238" s="38">
        <f>G239</f>
        <v>0</v>
      </c>
      <c r="H238" s="38">
        <f>H239</f>
        <v>0</v>
      </c>
    </row>
    <row r="239" spans="1:15" ht="53.25" customHeight="1">
      <c r="A239" s="77" t="s">
        <v>1136</v>
      </c>
      <c r="B239" s="43" t="s">
        <v>105</v>
      </c>
      <c r="C239" s="43" t="s">
        <v>120</v>
      </c>
      <c r="D239" s="43" t="s">
        <v>1135</v>
      </c>
      <c r="E239" s="43" t="s">
        <v>1131</v>
      </c>
      <c r="F239" s="348">
        <v>8314.35</v>
      </c>
      <c r="G239" s="348">
        <v>0</v>
      </c>
      <c r="H239" s="348">
        <v>0</v>
      </c>
    </row>
    <row r="240" spans="1:15" ht="126" hidden="1" customHeight="1">
      <c r="A240" s="129" t="s">
        <v>563</v>
      </c>
      <c r="B240" s="37" t="s">
        <v>105</v>
      </c>
      <c r="C240" s="37" t="s">
        <v>678</v>
      </c>
      <c r="D240" s="37" t="s">
        <v>10</v>
      </c>
      <c r="E240" s="130" t="s">
        <v>198</v>
      </c>
      <c r="F240" s="136">
        <f t="shared" ref="F240:H241" si="55">F241</f>
        <v>0</v>
      </c>
      <c r="G240" s="136">
        <f t="shared" si="55"/>
        <v>0</v>
      </c>
      <c r="H240" s="136">
        <f t="shared" si="55"/>
        <v>0</v>
      </c>
    </row>
    <row r="241" spans="1:15" ht="31.5" hidden="1" customHeight="1">
      <c r="A241" s="135" t="s">
        <v>611</v>
      </c>
      <c r="B241" s="37" t="s">
        <v>105</v>
      </c>
      <c r="C241" s="37" t="s">
        <v>678</v>
      </c>
      <c r="D241" s="37" t="s">
        <v>10</v>
      </c>
      <c r="E241" s="126" t="s">
        <v>612</v>
      </c>
      <c r="F241" s="137">
        <f t="shared" si="55"/>
        <v>0</v>
      </c>
      <c r="G241" s="137">
        <f t="shared" si="55"/>
        <v>0</v>
      </c>
      <c r="H241" s="137">
        <f t="shared" si="55"/>
        <v>0</v>
      </c>
    </row>
    <row r="242" spans="1:15" ht="47.25" hidden="1" customHeight="1">
      <c r="A242" s="135" t="s">
        <v>613</v>
      </c>
      <c r="B242" s="37" t="s">
        <v>105</v>
      </c>
      <c r="C242" s="37" t="s">
        <v>678</v>
      </c>
      <c r="D242" s="37" t="s">
        <v>10</v>
      </c>
      <c r="E242" s="126" t="s">
        <v>614</v>
      </c>
      <c r="F242" s="137">
        <f>'5'!D300</f>
        <v>0</v>
      </c>
      <c r="G242" s="137">
        <v>0</v>
      </c>
      <c r="H242" s="127">
        <v>0</v>
      </c>
      <c r="O242" s="56"/>
    </row>
    <row r="243" spans="1:15" ht="52.5" customHeight="1">
      <c r="A243" s="366" t="s">
        <v>1127</v>
      </c>
      <c r="B243" s="367" t="s">
        <v>105</v>
      </c>
      <c r="C243" s="367" t="s">
        <v>830</v>
      </c>
      <c r="D243" s="367" t="s">
        <v>1125</v>
      </c>
      <c r="E243" s="367" t="s">
        <v>198</v>
      </c>
      <c r="F243" s="368">
        <f>F244</f>
        <v>10.92</v>
      </c>
      <c r="G243" s="368">
        <f t="shared" ref="G243:H243" si="56">G244</f>
        <v>0</v>
      </c>
      <c r="H243" s="368">
        <f t="shared" si="56"/>
        <v>0</v>
      </c>
      <c r="O243" s="56"/>
    </row>
    <row r="244" spans="1:15" ht="81" customHeight="1">
      <c r="A244" s="77" t="s">
        <v>1126</v>
      </c>
      <c r="B244" s="37" t="s">
        <v>105</v>
      </c>
      <c r="C244" s="37" t="s">
        <v>830</v>
      </c>
      <c r="D244" s="37" t="s">
        <v>1125</v>
      </c>
      <c r="E244" s="43" t="s">
        <v>198</v>
      </c>
      <c r="F244" s="365">
        <f>F245</f>
        <v>10.92</v>
      </c>
      <c r="G244" s="365">
        <f t="shared" ref="G244:H244" si="57">G245</f>
        <v>0</v>
      </c>
      <c r="H244" s="365">
        <f t="shared" si="57"/>
        <v>0</v>
      </c>
      <c r="O244" s="56"/>
    </row>
    <row r="245" spans="1:15" ht="47.25" customHeight="1">
      <c r="A245" s="77" t="s">
        <v>611</v>
      </c>
      <c r="B245" s="37" t="s">
        <v>105</v>
      </c>
      <c r="C245" s="37" t="s">
        <v>830</v>
      </c>
      <c r="D245" s="37" t="s">
        <v>1125</v>
      </c>
      <c r="E245" s="43" t="s">
        <v>612</v>
      </c>
      <c r="F245" s="365">
        <f>F246</f>
        <v>10.92</v>
      </c>
      <c r="G245" s="365">
        <f t="shared" ref="G245:H245" si="58">G246</f>
        <v>0</v>
      </c>
      <c r="H245" s="365">
        <f t="shared" si="58"/>
        <v>0</v>
      </c>
      <c r="O245" s="56"/>
    </row>
    <row r="246" spans="1:15" ht="47.25" customHeight="1">
      <c r="A246" s="77" t="s">
        <v>613</v>
      </c>
      <c r="B246" s="37" t="s">
        <v>105</v>
      </c>
      <c r="C246" s="37" t="s">
        <v>830</v>
      </c>
      <c r="D246" s="37" t="s">
        <v>1125</v>
      </c>
      <c r="E246" s="43" t="s">
        <v>614</v>
      </c>
      <c r="F246" s="365">
        <f>'5'!D304</f>
        <v>10.92</v>
      </c>
      <c r="G246" s="365">
        <f>'5'!E304</f>
        <v>0</v>
      </c>
      <c r="H246" s="365">
        <f>'5'!F304</f>
        <v>0</v>
      </c>
      <c r="O246" s="56"/>
    </row>
    <row r="247" spans="1:15" s="56" customFormat="1" ht="16.5" customHeight="1">
      <c r="A247" s="80" t="s">
        <v>685</v>
      </c>
      <c r="B247" s="30" t="s">
        <v>107</v>
      </c>
      <c r="C247" s="30" t="s">
        <v>103</v>
      </c>
      <c r="D247" s="30" t="s">
        <v>601</v>
      </c>
      <c r="E247" s="30" t="s">
        <v>198</v>
      </c>
      <c r="F247" s="31">
        <f>F248+F262+F283+F308+F318</f>
        <v>53646.153870000002</v>
      </c>
      <c r="G247" s="31">
        <f t="shared" ref="G247:H247" si="59">G248+G262+G283+G308</f>
        <v>26416.098269999999</v>
      </c>
      <c r="H247" s="31">
        <f t="shared" si="59"/>
        <v>34909.098270000002</v>
      </c>
      <c r="I247" s="336"/>
      <c r="J247" s="336"/>
      <c r="K247" s="336"/>
      <c r="O247" s="57"/>
    </row>
    <row r="248" spans="1:15" s="57" customFormat="1" ht="16.5" customHeight="1">
      <c r="A248" s="73" t="s">
        <v>686</v>
      </c>
      <c r="B248" s="34" t="s">
        <v>107</v>
      </c>
      <c r="C248" s="34" t="s">
        <v>620</v>
      </c>
      <c r="D248" s="34" t="s">
        <v>601</v>
      </c>
      <c r="E248" s="34" t="s">
        <v>198</v>
      </c>
      <c r="F248" s="35">
        <f>F249+F256+F261</f>
        <v>8904.35052</v>
      </c>
      <c r="G248" s="35">
        <f t="shared" ref="G248:H248" si="60">G249+G256+G261</f>
        <v>1485.3911900000001</v>
      </c>
      <c r="H248" s="35">
        <f t="shared" si="60"/>
        <v>1485.3911900000001</v>
      </c>
      <c r="O248" s="24"/>
    </row>
    <row r="249" spans="1:15" ht="113.25" customHeight="1">
      <c r="A249" s="76" t="s">
        <v>687</v>
      </c>
      <c r="B249" s="53" t="s">
        <v>107</v>
      </c>
      <c r="C249" s="53" t="s">
        <v>620</v>
      </c>
      <c r="D249" s="53" t="s">
        <v>25</v>
      </c>
      <c r="E249" s="53" t="s">
        <v>198</v>
      </c>
      <c r="F249" s="41">
        <f>F250</f>
        <v>1485.3911900000001</v>
      </c>
      <c r="G249" s="41">
        <f t="shared" ref="F249:H250" si="61">G250</f>
        <v>1485.3911900000001</v>
      </c>
      <c r="H249" s="41">
        <f t="shared" si="61"/>
        <v>1485.3911900000001</v>
      </c>
    </row>
    <row r="250" spans="1:15" ht="35.25" customHeight="1">
      <c r="A250" s="77" t="s">
        <v>611</v>
      </c>
      <c r="B250" s="43" t="s">
        <v>107</v>
      </c>
      <c r="C250" s="43" t="s">
        <v>620</v>
      </c>
      <c r="D250" s="43" t="s">
        <v>25</v>
      </c>
      <c r="E250" s="43" t="s">
        <v>612</v>
      </c>
      <c r="F250" s="348">
        <f t="shared" si="61"/>
        <v>1485.3911900000001</v>
      </c>
      <c r="G250" s="348">
        <f t="shared" si="61"/>
        <v>1485.3911900000001</v>
      </c>
      <c r="H250" s="348">
        <f t="shared" si="61"/>
        <v>1485.3911900000001</v>
      </c>
    </row>
    <row r="251" spans="1:15" ht="48" customHeight="1">
      <c r="A251" s="77" t="s">
        <v>613</v>
      </c>
      <c r="B251" s="43" t="s">
        <v>107</v>
      </c>
      <c r="C251" s="43" t="s">
        <v>620</v>
      </c>
      <c r="D251" s="43" t="s">
        <v>25</v>
      </c>
      <c r="E251" s="43" t="s">
        <v>614</v>
      </c>
      <c r="F251" s="348">
        <f>'5'!D319</f>
        <v>1485.3911900000001</v>
      </c>
      <c r="G251" s="348">
        <f>'5'!E319</f>
        <v>1485.3911900000001</v>
      </c>
      <c r="H251" s="348">
        <f>'5'!F319</f>
        <v>1485.3911900000001</v>
      </c>
    </row>
    <row r="252" spans="1:15" ht="78.75" hidden="1" customHeight="1">
      <c r="A252" s="76" t="s">
        <v>486</v>
      </c>
      <c r="B252" s="53" t="s">
        <v>107</v>
      </c>
      <c r="C252" s="53" t="s">
        <v>620</v>
      </c>
      <c r="D252" s="53" t="s">
        <v>487</v>
      </c>
      <c r="E252" s="53" t="s">
        <v>198</v>
      </c>
      <c r="F252" s="41">
        <f t="shared" ref="F252:H253" si="62">F253</f>
        <v>0</v>
      </c>
      <c r="G252" s="41">
        <f t="shared" si="62"/>
        <v>0</v>
      </c>
      <c r="H252" s="41">
        <f t="shared" si="62"/>
        <v>0</v>
      </c>
    </row>
    <row r="253" spans="1:15" ht="31.5" hidden="1" customHeight="1">
      <c r="A253" s="77" t="s">
        <v>611</v>
      </c>
      <c r="B253" s="43" t="s">
        <v>107</v>
      </c>
      <c r="C253" s="43" t="s">
        <v>620</v>
      </c>
      <c r="D253" s="43" t="s">
        <v>487</v>
      </c>
      <c r="E253" s="43" t="s">
        <v>612</v>
      </c>
      <c r="F253" s="348">
        <f t="shared" si="62"/>
        <v>0</v>
      </c>
      <c r="G253" s="348">
        <f t="shared" si="62"/>
        <v>0</v>
      </c>
      <c r="H253" s="348">
        <f t="shared" si="62"/>
        <v>0</v>
      </c>
    </row>
    <row r="254" spans="1:15" ht="47.25" hidden="1" customHeight="1">
      <c r="A254" s="77" t="s">
        <v>613</v>
      </c>
      <c r="B254" s="43" t="s">
        <v>107</v>
      </c>
      <c r="C254" s="43" t="s">
        <v>620</v>
      </c>
      <c r="D254" s="43" t="s">
        <v>487</v>
      </c>
      <c r="E254" s="43" t="s">
        <v>614</v>
      </c>
      <c r="F254" s="348"/>
      <c r="G254" s="348"/>
      <c r="H254" s="348"/>
    </row>
    <row r="255" spans="1:15" ht="97.5" customHeight="1">
      <c r="A255" s="153" t="s">
        <v>985</v>
      </c>
      <c r="B255" s="150" t="s">
        <v>107</v>
      </c>
      <c r="C255" s="150" t="s">
        <v>620</v>
      </c>
      <c r="D255" s="150" t="s">
        <v>969</v>
      </c>
      <c r="E255" s="150" t="s">
        <v>198</v>
      </c>
      <c r="F255" s="54">
        <f>F256</f>
        <v>7418.9593300000006</v>
      </c>
      <c r="G255" s="54">
        <f t="shared" ref="G255:H256" si="63">G256</f>
        <v>0</v>
      </c>
      <c r="H255" s="54">
        <f t="shared" si="63"/>
        <v>0</v>
      </c>
    </row>
    <row r="256" spans="1:15" ht="66" customHeight="1">
      <c r="A256" s="76" t="s">
        <v>966</v>
      </c>
      <c r="B256" s="43" t="s">
        <v>107</v>
      </c>
      <c r="C256" s="43" t="s">
        <v>620</v>
      </c>
      <c r="D256" s="43" t="s">
        <v>991</v>
      </c>
      <c r="E256" s="53" t="s">
        <v>198</v>
      </c>
      <c r="F256" s="348">
        <f>F257</f>
        <v>7418.9593300000006</v>
      </c>
      <c r="G256" s="348">
        <f t="shared" si="63"/>
        <v>0</v>
      </c>
      <c r="H256" s="348">
        <f>H257</f>
        <v>0</v>
      </c>
    </row>
    <row r="257" spans="1:15" ht="34.5" customHeight="1">
      <c r="A257" s="77" t="s">
        <v>611</v>
      </c>
      <c r="B257" s="43" t="s">
        <v>107</v>
      </c>
      <c r="C257" s="43" t="s">
        <v>620</v>
      </c>
      <c r="D257" s="43" t="s">
        <v>991</v>
      </c>
      <c r="E257" s="53" t="s">
        <v>612</v>
      </c>
      <c r="F257" s="348">
        <f>F258</f>
        <v>7418.9593300000006</v>
      </c>
      <c r="G257" s="348">
        <f t="shared" ref="G257:H257" si="64">G258</f>
        <v>0</v>
      </c>
      <c r="H257" s="348">
        <f t="shared" si="64"/>
        <v>0</v>
      </c>
    </row>
    <row r="258" spans="1:15" ht="56.25" customHeight="1">
      <c r="A258" s="77" t="s">
        <v>613</v>
      </c>
      <c r="B258" s="43" t="s">
        <v>107</v>
      </c>
      <c r="C258" s="43" t="s">
        <v>620</v>
      </c>
      <c r="D258" s="43" t="s">
        <v>991</v>
      </c>
      <c r="E258" s="53" t="s">
        <v>614</v>
      </c>
      <c r="F258" s="348">
        <f>'5'!D264</f>
        <v>7418.9593300000006</v>
      </c>
      <c r="G258" s="348">
        <f>'5'!E264</f>
        <v>0</v>
      </c>
      <c r="H258" s="348">
        <f>'5'!F264</f>
        <v>0</v>
      </c>
    </row>
    <row r="259" spans="1:15" ht="36.75" hidden="1" customHeight="1">
      <c r="A259" s="77" t="s">
        <v>1034</v>
      </c>
      <c r="B259" s="43" t="s">
        <v>107</v>
      </c>
      <c r="C259" s="43" t="s">
        <v>620</v>
      </c>
      <c r="D259" s="43" t="s">
        <v>1032</v>
      </c>
      <c r="E259" s="53" t="s">
        <v>198</v>
      </c>
      <c r="F259" s="348">
        <f>F260</f>
        <v>0</v>
      </c>
      <c r="G259" s="348">
        <f>G260</f>
        <v>0</v>
      </c>
      <c r="H259" s="348">
        <f>H260</f>
        <v>0</v>
      </c>
    </row>
    <row r="260" spans="1:15" ht="36.75" hidden="1" customHeight="1">
      <c r="A260" s="77" t="s">
        <v>611</v>
      </c>
      <c r="B260" s="43" t="s">
        <v>107</v>
      </c>
      <c r="C260" s="43" t="s">
        <v>620</v>
      </c>
      <c r="D260" s="43" t="s">
        <v>1032</v>
      </c>
      <c r="E260" s="53" t="s">
        <v>612</v>
      </c>
      <c r="F260" s="348">
        <v>0</v>
      </c>
      <c r="G260" s="348">
        <v>0</v>
      </c>
      <c r="H260" s="348">
        <f>H261</f>
        <v>0</v>
      </c>
    </row>
    <row r="261" spans="1:15" ht="56.25" hidden="1" customHeight="1">
      <c r="A261" s="77" t="s">
        <v>613</v>
      </c>
      <c r="B261" s="43" t="s">
        <v>107</v>
      </c>
      <c r="C261" s="43" t="s">
        <v>620</v>
      </c>
      <c r="D261" s="43" t="s">
        <v>1032</v>
      </c>
      <c r="E261" s="53" t="s">
        <v>614</v>
      </c>
      <c r="F261" s="348">
        <f>F260</f>
        <v>0</v>
      </c>
      <c r="G261" s="348">
        <f>G260</f>
        <v>0</v>
      </c>
      <c r="H261" s="348">
        <f>'5'!F326</f>
        <v>0</v>
      </c>
      <c r="O261" s="40"/>
    </row>
    <row r="262" spans="1:15" s="40" customFormat="1" ht="17.25" customHeight="1">
      <c r="A262" s="33" t="s">
        <v>688</v>
      </c>
      <c r="B262" s="34" t="s">
        <v>107</v>
      </c>
      <c r="C262" s="34" t="s">
        <v>689</v>
      </c>
      <c r="D262" s="34" t="s">
        <v>601</v>
      </c>
      <c r="E262" s="34" t="s">
        <v>198</v>
      </c>
      <c r="F262" s="35">
        <f>F268+F271+F274</f>
        <v>10508.46831</v>
      </c>
      <c r="G262" s="35">
        <f t="shared" ref="G262:H262" si="65">G268+G271+G274</f>
        <v>3.3870800000000001</v>
      </c>
      <c r="H262" s="35">
        <f t="shared" si="65"/>
        <v>3.3870800000000001</v>
      </c>
    </row>
    <row r="263" spans="1:15" s="40" customFormat="1" ht="118.5" customHeight="1">
      <c r="A263" s="76" t="s">
        <v>900</v>
      </c>
      <c r="B263" s="53" t="s">
        <v>107</v>
      </c>
      <c r="C263" s="53" t="s">
        <v>689</v>
      </c>
      <c r="D263" s="53" t="s">
        <v>894</v>
      </c>
      <c r="E263" s="53" t="s">
        <v>198</v>
      </c>
      <c r="F263" s="41">
        <f>F264</f>
        <v>10508.46831</v>
      </c>
      <c r="G263" s="41">
        <f t="shared" ref="G263:H263" si="66">G264</f>
        <v>3.3870800000000001</v>
      </c>
      <c r="H263" s="41">
        <f t="shared" si="66"/>
        <v>3.3870800000000001</v>
      </c>
      <c r="O263" s="24"/>
    </row>
    <row r="264" spans="1:15" ht="18.75" customHeight="1">
      <c r="A264" s="77" t="s">
        <v>690</v>
      </c>
      <c r="B264" s="43" t="s">
        <v>107</v>
      </c>
      <c r="C264" s="43" t="s">
        <v>689</v>
      </c>
      <c r="D264" s="43" t="s">
        <v>894</v>
      </c>
      <c r="E264" s="43" t="s">
        <v>198</v>
      </c>
      <c r="F264" s="348">
        <f>F265+F268+F271+F274</f>
        <v>10508.46831</v>
      </c>
      <c r="G264" s="348">
        <f t="shared" ref="G264:H264" si="67">G265+G268+G271+G274</f>
        <v>3.3870800000000001</v>
      </c>
      <c r="H264" s="348">
        <f t="shared" si="67"/>
        <v>3.3870800000000001</v>
      </c>
    </row>
    <row r="265" spans="1:15" ht="68.25" hidden="1" customHeight="1">
      <c r="A265" s="77" t="s">
        <v>26</v>
      </c>
      <c r="B265" s="43" t="s">
        <v>107</v>
      </c>
      <c r="C265" s="43" t="s">
        <v>689</v>
      </c>
      <c r="D265" s="43" t="s">
        <v>233</v>
      </c>
      <c r="E265" s="43" t="s">
        <v>198</v>
      </c>
      <c r="F265" s="348">
        <f t="shared" ref="F265:H266" si="68">F266</f>
        <v>0</v>
      </c>
      <c r="G265" s="348">
        <f t="shared" si="68"/>
        <v>0</v>
      </c>
      <c r="H265" s="348">
        <f t="shared" si="68"/>
        <v>0</v>
      </c>
    </row>
    <row r="266" spans="1:15" ht="19.149999999999999" hidden="1" customHeight="1">
      <c r="A266" s="77" t="s">
        <v>615</v>
      </c>
      <c r="B266" s="43" t="s">
        <v>107</v>
      </c>
      <c r="C266" s="43" t="s">
        <v>689</v>
      </c>
      <c r="D266" s="43" t="s">
        <v>233</v>
      </c>
      <c r="E266" s="43" t="s">
        <v>616</v>
      </c>
      <c r="F266" s="348">
        <f t="shared" si="68"/>
        <v>0</v>
      </c>
      <c r="G266" s="348">
        <f t="shared" si="68"/>
        <v>0</v>
      </c>
      <c r="H266" s="348">
        <f t="shared" si="68"/>
        <v>0</v>
      </c>
    </row>
    <row r="267" spans="1:15" ht="49.9" hidden="1" customHeight="1">
      <c r="A267" s="77" t="s">
        <v>354</v>
      </c>
      <c r="B267" s="43" t="s">
        <v>107</v>
      </c>
      <c r="C267" s="43" t="s">
        <v>689</v>
      </c>
      <c r="D267" s="43" t="s">
        <v>233</v>
      </c>
      <c r="E267" s="43" t="s">
        <v>691</v>
      </c>
      <c r="F267" s="348"/>
      <c r="G267" s="348"/>
      <c r="H267" s="348"/>
    </row>
    <row r="268" spans="1:15" ht="85.5" customHeight="1">
      <c r="A268" s="77" t="s">
        <v>584</v>
      </c>
      <c r="B268" s="43" t="s">
        <v>107</v>
      </c>
      <c r="C268" s="43" t="s">
        <v>689</v>
      </c>
      <c r="D268" s="43" t="s">
        <v>895</v>
      </c>
      <c r="E268" s="43" t="s">
        <v>198</v>
      </c>
      <c r="F268" s="348">
        <f>F269</f>
        <v>8404.0649799999992</v>
      </c>
      <c r="G268" s="348">
        <f t="shared" ref="G268:H269" si="69">G269</f>
        <v>0</v>
      </c>
      <c r="H268" s="348">
        <f t="shared" si="69"/>
        <v>0</v>
      </c>
    </row>
    <row r="269" spans="1:15" ht="34.5" customHeight="1">
      <c r="A269" s="77" t="s">
        <v>611</v>
      </c>
      <c r="B269" s="43" t="s">
        <v>107</v>
      </c>
      <c r="C269" s="43" t="s">
        <v>689</v>
      </c>
      <c r="D269" s="43" t="s">
        <v>895</v>
      </c>
      <c r="E269" s="43" t="s">
        <v>612</v>
      </c>
      <c r="F269" s="348">
        <f>F270</f>
        <v>8404.0649799999992</v>
      </c>
      <c r="G269" s="348">
        <f t="shared" si="69"/>
        <v>0</v>
      </c>
      <c r="H269" s="348">
        <f t="shared" si="69"/>
        <v>0</v>
      </c>
    </row>
    <row r="270" spans="1:15" ht="50.25" customHeight="1">
      <c r="A270" s="77" t="s">
        <v>613</v>
      </c>
      <c r="B270" s="43" t="s">
        <v>107</v>
      </c>
      <c r="C270" s="43" t="s">
        <v>689</v>
      </c>
      <c r="D270" s="43" t="s">
        <v>895</v>
      </c>
      <c r="E270" s="43" t="s">
        <v>614</v>
      </c>
      <c r="F270" s="348">
        <f>'5'!D253</f>
        <v>8404.0649799999992</v>
      </c>
      <c r="G270" s="348">
        <f>'5'!E253</f>
        <v>0</v>
      </c>
      <c r="H270" s="348">
        <f>'5'!F253</f>
        <v>0</v>
      </c>
    </row>
    <row r="271" spans="1:15" ht="78" customHeight="1">
      <c r="A271" s="77" t="s">
        <v>888</v>
      </c>
      <c r="B271" s="43" t="s">
        <v>107</v>
      </c>
      <c r="C271" s="43" t="s">
        <v>689</v>
      </c>
      <c r="D271" s="43" t="s">
        <v>897</v>
      </c>
      <c r="E271" s="43" t="s">
        <v>198</v>
      </c>
      <c r="F271" s="348">
        <f t="shared" ref="F271:H272" si="70">F272</f>
        <v>2101.0162500000001</v>
      </c>
      <c r="G271" s="348">
        <f t="shared" si="70"/>
        <v>0</v>
      </c>
      <c r="H271" s="348">
        <f t="shared" si="70"/>
        <v>0</v>
      </c>
    </row>
    <row r="272" spans="1:15" ht="31.15" customHeight="1">
      <c r="A272" s="77" t="s">
        <v>611</v>
      </c>
      <c r="B272" s="43" t="s">
        <v>107</v>
      </c>
      <c r="C272" s="43" t="s">
        <v>689</v>
      </c>
      <c r="D272" s="43" t="s">
        <v>897</v>
      </c>
      <c r="E272" s="43" t="s">
        <v>612</v>
      </c>
      <c r="F272" s="348">
        <f t="shared" si="70"/>
        <v>2101.0162500000001</v>
      </c>
      <c r="G272" s="348">
        <f t="shared" si="70"/>
        <v>0</v>
      </c>
      <c r="H272" s="348">
        <f t="shared" si="70"/>
        <v>0</v>
      </c>
    </row>
    <row r="273" spans="1:15" ht="50.45" customHeight="1">
      <c r="A273" s="77" t="s">
        <v>613</v>
      </c>
      <c r="B273" s="43" t="s">
        <v>107</v>
      </c>
      <c r="C273" s="43" t="s">
        <v>689</v>
      </c>
      <c r="D273" s="43" t="s">
        <v>897</v>
      </c>
      <c r="E273" s="43" t="s">
        <v>614</v>
      </c>
      <c r="F273" s="348">
        <f>'5'!D254</f>
        <v>2101.0162500000001</v>
      </c>
      <c r="G273" s="348">
        <f>'5'!E254</f>
        <v>0</v>
      </c>
      <c r="H273" s="348">
        <f>'5'!F254</f>
        <v>0</v>
      </c>
    </row>
    <row r="274" spans="1:15" ht="146.25" customHeight="1">
      <c r="A274" s="76" t="s">
        <v>693</v>
      </c>
      <c r="B274" s="53" t="s">
        <v>107</v>
      </c>
      <c r="C274" s="53" t="s">
        <v>689</v>
      </c>
      <c r="D274" s="53" t="s">
        <v>601</v>
      </c>
      <c r="E274" s="53" t="s">
        <v>198</v>
      </c>
      <c r="F274" s="41">
        <f t="shared" ref="F274:G274" si="71">F275</f>
        <v>3.3870800000000001</v>
      </c>
      <c r="G274" s="41">
        <f t="shared" si="71"/>
        <v>3.3870800000000001</v>
      </c>
      <c r="H274" s="41">
        <f>H279</f>
        <v>3.3870800000000001</v>
      </c>
    </row>
    <row r="275" spans="1:15" ht="36.75" customHeight="1">
      <c r="A275" s="77" t="s">
        <v>611</v>
      </c>
      <c r="B275" s="43" t="s">
        <v>107</v>
      </c>
      <c r="C275" s="43" t="s">
        <v>689</v>
      </c>
      <c r="D275" s="43" t="s">
        <v>899</v>
      </c>
      <c r="E275" s="43" t="s">
        <v>612</v>
      </c>
      <c r="F275" s="348">
        <f>F276</f>
        <v>3.3870800000000001</v>
      </c>
      <c r="G275" s="348">
        <f>G276</f>
        <v>3.3870800000000001</v>
      </c>
      <c r="H275" s="348">
        <f>H276</f>
        <v>0</v>
      </c>
    </row>
    <row r="276" spans="1:15" ht="52.5" customHeight="1">
      <c r="A276" s="77" t="s">
        <v>613</v>
      </c>
      <c r="B276" s="43" t="s">
        <v>107</v>
      </c>
      <c r="C276" s="43" t="s">
        <v>689</v>
      </c>
      <c r="D276" s="43" t="s">
        <v>899</v>
      </c>
      <c r="E276" s="43" t="s">
        <v>614</v>
      </c>
      <c r="F276" s="348">
        <f>'5'!D255</f>
        <v>3.3870800000000001</v>
      </c>
      <c r="G276" s="348">
        <f>'5'!E255</f>
        <v>3.3870800000000001</v>
      </c>
      <c r="H276" s="348">
        <f>'5'!F255</f>
        <v>0</v>
      </c>
    </row>
    <row r="277" spans="1:15" ht="21" hidden="1" customHeight="1">
      <c r="A277" s="76" t="s">
        <v>1033</v>
      </c>
      <c r="B277" s="53" t="s">
        <v>107</v>
      </c>
      <c r="C277" s="53" t="s">
        <v>689</v>
      </c>
      <c r="D277" s="53" t="s">
        <v>2</v>
      </c>
      <c r="E277" s="53" t="s">
        <v>198</v>
      </c>
      <c r="F277" s="41">
        <f t="shared" ref="F277:H277" si="72">F278</f>
        <v>0</v>
      </c>
      <c r="G277" s="41">
        <f t="shared" si="72"/>
        <v>0</v>
      </c>
      <c r="H277" s="41">
        <f t="shared" si="72"/>
        <v>3.3870800000000001</v>
      </c>
    </row>
    <row r="278" spans="1:15" ht="15.75" hidden="1" customHeight="1">
      <c r="A278" s="77" t="s">
        <v>611</v>
      </c>
      <c r="B278" s="43" t="s">
        <v>107</v>
      </c>
      <c r="C278" s="43" t="s">
        <v>689</v>
      </c>
      <c r="D278" s="43" t="s">
        <v>286</v>
      </c>
      <c r="E278" s="43" t="s">
        <v>612</v>
      </c>
      <c r="F278" s="348">
        <f>F279</f>
        <v>0</v>
      </c>
      <c r="G278" s="348">
        <f>G279</f>
        <v>0</v>
      </c>
      <c r="H278" s="348">
        <v>3.3870800000000001</v>
      </c>
    </row>
    <row r="279" spans="1:15" ht="31.5" hidden="1" customHeight="1">
      <c r="A279" s="77" t="s">
        <v>613</v>
      </c>
      <c r="B279" s="43" t="s">
        <v>107</v>
      </c>
      <c r="C279" s="43" t="s">
        <v>689</v>
      </c>
      <c r="D279" s="43" t="s">
        <v>286</v>
      </c>
      <c r="E279" s="43" t="s">
        <v>614</v>
      </c>
      <c r="F279" s="348">
        <f>'5'!D258</f>
        <v>0</v>
      </c>
      <c r="G279" s="348">
        <f>'5'!E258</f>
        <v>0</v>
      </c>
      <c r="H279" s="348">
        <v>3.3870800000000001</v>
      </c>
    </row>
    <row r="280" spans="1:15" ht="15.75" hidden="1" customHeight="1">
      <c r="A280" s="77" t="s">
        <v>615</v>
      </c>
      <c r="B280" s="43" t="s">
        <v>107</v>
      </c>
      <c r="C280" s="43" t="s">
        <v>689</v>
      </c>
      <c r="D280" s="43" t="s">
        <v>11</v>
      </c>
      <c r="E280" s="43" t="s">
        <v>616</v>
      </c>
      <c r="F280" s="348">
        <f>F281</f>
        <v>0</v>
      </c>
      <c r="G280" s="348">
        <f t="shared" ref="G280:H280" si="73">G281</f>
        <v>0</v>
      </c>
      <c r="H280" s="348">
        <f t="shared" si="73"/>
        <v>0</v>
      </c>
    </row>
    <row r="281" spans="1:15" ht="47.25" hidden="1" customHeight="1">
      <c r="A281" s="77" t="s">
        <v>354</v>
      </c>
      <c r="B281" s="43" t="s">
        <v>107</v>
      </c>
      <c r="C281" s="43" t="s">
        <v>689</v>
      </c>
      <c r="D281" s="43" t="s">
        <v>11</v>
      </c>
      <c r="E281" s="43" t="s">
        <v>691</v>
      </c>
      <c r="F281" s="348">
        <f>'5'!D280</f>
        <v>0</v>
      </c>
      <c r="G281" s="348">
        <f>'5'!E280</f>
        <v>0</v>
      </c>
      <c r="H281" s="348">
        <f>'5'!F280</f>
        <v>0</v>
      </c>
    </row>
    <row r="282" spans="1:15" ht="15.75" hidden="1" customHeight="1">
      <c r="A282" s="74"/>
      <c r="B282" s="37"/>
      <c r="C282" s="37"/>
      <c r="D282" s="37"/>
      <c r="E282" s="37"/>
      <c r="F282" s="38"/>
      <c r="G282" s="38"/>
      <c r="H282" s="38"/>
      <c r="O282" s="40"/>
    </row>
    <row r="283" spans="1:15" s="40" customFormat="1" ht="17.25" customHeight="1">
      <c r="A283" s="73" t="s">
        <v>695</v>
      </c>
      <c r="B283" s="34" t="s">
        <v>107</v>
      </c>
      <c r="C283" s="34" t="s">
        <v>678</v>
      </c>
      <c r="D283" s="34" t="s">
        <v>601</v>
      </c>
      <c r="E283" s="34" t="s">
        <v>198</v>
      </c>
      <c r="F283" s="35">
        <f>F287+F291+F303+F300</f>
        <v>32395.0177</v>
      </c>
      <c r="G283" s="35">
        <f t="shared" ref="G283:H283" si="74">G287+G291+G303+G300</f>
        <v>24727.32</v>
      </c>
      <c r="H283" s="35">
        <f t="shared" si="74"/>
        <v>33220.32</v>
      </c>
    </row>
    <row r="284" spans="1:15" s="40" customFormat="1" ht="86.25" customHeight="1">
      <c r="A284" s="76" t="s">
        <v>536</v>
      </c>
      <c r="B284" s="53" t="s">
        <v>107</v>
      </c>
      <c r="C284" s="53" t="s">
        <v>678</v>
      </c>
      <c r="D284" s="53" t="s">
        <v>228</v>
      </c>
      <c r="E284" s="53" t="s">
        <v>198</v>
      </c>
      <c r="F284" s="41">
        <f>F285+F290+F294</f>
        <v>21250.397700000001</v>
      </c>
      <c r="G284" s="41">
        <f t="shared" ref="G284:H284" si="75">G285+G290+G294</f>
        <v>24647</v>
      </c>
      <c r="H284" s="41">
        <f t="shared" si="75"/>
        <v>33140</v>
      </c>
      <c r="O284" s="24"/>
    </row>
    <row r="285" spans="1:15" ht="33.75" customHeight="1">
      <c r="A285" s="77" t="s">
        <v>186</v>
      </c>
      <c r="B285" s="43" t="s">
        <v>107</v>
      </c>
      <c r="C285" s="43" t="s">
        <v>678</v>
      </c>
      <c r="D285" s="43" t="s">
        <v>235</v>
      </c>
      <c r="E285" s="43" t="s">
        <v>198</v>
      </c>
      <c r="F285" s="348">
        <f>F286+F288</f>
        <v>4733.8756999999987</v>
      </c>
      <c r="G285" s="348">
        <f t="shared" ref="F285:H286" si="76">G286</f>
        <v>7358.9079999999994</v>
      </c>
      <c r="H285" s="348">
        <f t="shared" si="76"/>
        <v>9894.6810000000005</v>
      </c>
    </row>
    <row r="286" spans="1:15" ht="35.25" customHeight="1">
      <c r="A286" s="77" t="s">
        <v>611</v>
      </c>
      <c r="B286" s="43" t="s">
        <v>107</v>
      </c>
      <c r="C286" s="43" t="s">
        <v>678</v>
      </c>
      <c r="D286" s="43" t="s">
        <v>235</v>
      </c>
      <c r="E286" s="43" t="s">
        <v>612</v>
      </c>
      <c r="F286" s="348">
        <f t="shared" si="76"/>
        <v>4733.8756999999987</v>
      </c>
      <c r="G286" s="348">
        <f t="shared" si="76"/>
        <v>7358.9079999999994</v>
      </c>
      <c r="H286" s="348">
        <f t="shared" si="76"/>
        <v>9894.6810000000005</v>
      </c>
    </row>
    <row r="287" spans="1:15" ht="47.25" customHeight="1">
      <c r="A287" s="77" t="s">
        <v>613</v>
      </c>
      <c r="B287" s="43" t="s">
        <v>107</v>
      </c>
      <c r="C287" s="43" t="s">
        <v>678</v>
      </c>
      <c r="D287" s="43" t="s">
        <v>235</v>
      </c>
      <c r="E287" s="43" t="s">
        <v>614</v>
      </c>
      <c r="F287" s="348">
        <f>'5'!D211</f>
        <v>4733.8756999999987</v>
      </c>
      <c r="G287" s="348">
        <f>'5'!E211</f>
        <v>7358.9079999999994</v>
      </c>
      <c r="H287" s="348">
        <f>'5'!F211</f>
        <v>9894.6810000000005</v>
      </c>
    </row>
    <row r="288" spans="1:15" ht="47.25" hidden="1" customHeight="1">
      <c r="A288" s="77" t="s">
        <v>661</v>
      </c>
      <c r="B288" s="43" t="s">
        <v>107</v>
      </c>
      <c r="C288" s="43" t="s">
        <v>678</v>
      </c>
      <c r="D288" s="43" t="s">
        <v>235</v>
      </c>
      <c r="E288" s="43" t="s">
        <v>662</v>
      </c>
      <c r="F288" s="348">
        <f>F289</f>
        <v>0</v>
      </c>
      <c r="G288" s="348">
        <f>G289</f>
        <v>0</v>
      </c>
      <c r="H288" s="348">
        <f>H289</f>
        <v>0</v>
      </c>
    </row>
    <row r="289" spans="1:8" ht="15.75" hidden="1" customHeight="1">
      <c r="A289" s="77" t="s">
        <v>663</v>
      </c>
      <c r="B289" s="43" t="s">
        <v>107</v>
      </c>
      <c r="C289" s="43" t="s">
        <v>678</v>
      </c>
      <c r="D289" s="43" t="s">
        <v>235</v>
      </c>
      <c r="E289" s="43" t="s">
        <v>664</v>
      </c>
      <c r="F289" s="348"/>
      <c r="G289" s="348"/>
      <c r="H289" s="348"/>
    </row>
    <row r="290" spans="1:8" ht="22.5" customHeight="1">
      <c r="A290" s="77" t="s">
        <v>674</v>
      </c>
      <c r="B290" s="43" t="s">
        <v>107</v>
      </c>
      <c r="C290" s="43" t="s">
        <v>678</v>
      </c>
      <c r="D290" s="43" t="s">
        <v>234</v>
      </c>
      <c r="E290" s="43" t="s">
        <v>675</v>
      </c>
      <c r="F290" s="348">
        <f>F291</f>
        <v>16516.522000000001</v>
      </c>
      <c r="G290" s="348">
        <f>G291</f>
        <v>17288.092000000001</v>
      </c>
      <c r="H290" s="348">
        <f>H291</f>
        <v>23245.319</v>
      </c>
    </row>
    <row r="291" spans="1:8" ht="20.45" customHeight="1">
      <c r="A291" s="77" t="s">
        <v>166</v>
      </c>
      <c r="B291" s="43" t="s">
        <v>107</v>
      </c>
      <c r="C291" s="43" t="s">
        <v>678</v>
      </c>
      <c r="D291" s="43" t="s">
        <v>234</v>
      </c>
      <c r="E291" s="43" t="s">
        <v>692</v>
      </c>
      <c r="F291" s="348">
        <f>'5'!D212</f>
        <v>16516.522000000001</v>
      </c>
      <c r="G291" s="348">
        <f>'5'!E212</f>
        <v>17288.092000000001</v>
      </c>
      <c r="H291" s="348">
        <f>'5'!F212</f>
        <v>23245.319</v>
      </c>
    </row>
    <row r="292" spans="1:8" ht="94.5" hidden="1" customHeight="1">
      <c r="A292" s="77" t="s">
        <v>247</v>
      </c>
      <c r="B292" s="43" t="s">
        <v>107</v>
      </c>
      <c r="C292" s="43" t="s">
        <v>678</v>
      </c>
      <c r="D292" s="43" t="s">
        <v>248</v>
      </c>
      <c r="E292" s="43" t="s">
        <v>692</v>
      </c>
      <c r="F292" s="348"/>
      <c r="G292" s="348"/>
      <c r="H292" s="348"/>
    </row>
    <row r="293" spans="1:8" ht="110.25" hidden="1" customHeight="1">
      <c r="A293" s="77" t="s">
        <v>251</v>
      </c>
      <c r="B293" s="43" t="s">
        <v>107</v>
      </c>
      <c r="C293" s="43" t="s">
        <v>678</v>
      </c>
      <c r="D293" s="43" t="s">
        <v>252</v>
      </c>
      <c r="E293" s="43" t="s">
        <v>692</v>
      </c>
      <c r="F293" s="348"/>
      <c r="G293" s="348"/>
      <c r="H293" s="348"/>
    </row>
    <row r="294" spans="1:8" ht="47.25" hidden="1" customHeight="1">
      <c r="A294" s="76" t="s">
        <v>696</v>
      </c>
      <c r="B294" s="43" t="s">
        <v>107</v>
      </c>
      <c r="C294" s="43" t="s">
        <v>678</v>
      </c>
      <c r="D294" s="43" t="s">
        <v>1139</v>
      </c>
      <c r="E294" s="53" t="s">
        <v>198</v>
      </c>
      <c r="F294" s="41">
        <f>F296+F298</f>
        <v>0</v>
      </c>
      <c r="G294" s="41">
        <f>G296+G298</f>
        <v>0</v>
      </c>
      <c r="H294" s="41">
        <f>H296+H298</f>
        <v>0</v>
      </c>
    </row>
    <row r="295" spans="1:8" ht="31.5" hidden="1" customHeight="1">
      <c r="A295" s="77" t="s">
        <v>611</v>
      </c>
      <c r="B295" s="43" t="s">
        <v>107</v>
      </c>
      <c r="C295" s="43" t="s">
        <v>678</v>
      </c>
      <c r="D295" s="43" t="s">
        <v>1138</v>
      </c>
      <c r="E295" s="43" t="s">
        <v>612</v>
      </c>
      <c r="F295" s="348">
        <f>F296</f>
        <v>0</v>
      </c>
      <c r="G295" s="348">
        <f>G296</f>
        <v>0</v>
      </c>
      <c r="H295" s="348">
        <f>H296</f>
        <v>0</v>
      </c>
    </row>
    <row r="296" spans="1:8" ht="47.25" hidden="1" customHeight="1">
      <c r="A296" s="77" t="s">
        <v>613</v>
      </c>
      <c r="B296" s="43" t="s">
        <v>107</v>
      </c>
      <c r="C296" s="43" t="s">
        <v>678</v>
      </c>
      <c r="D296" s="43" t="s">
        <v>1140</v>
      </c>
      <c r="E296" s="43" t="s">
        <v>614</v>
      </c>
      <c r="F296" s="348">
        <f>'5'!D215</f>
        <v>0</v>
      </c>
      <c r="G296" s="348">
        <f>'5'!E215</f>
        <v>0</v>
      </c>
      <c r="H296" s="348">
        <f>'5'!F215</f>
        <v>0</v>
      </c>
    </row>
    <row r="297" spans="1:8" ht="31.5" hidden="1" customHeight="1">
      <c r="A297" s="77" t="s">
        <v>611</v>
      </c>
      <c r="B297" s="43" t="s">
        <v>107</v>
      </c>
      <c r="C297" s="43" t="s">
        <v>678</v>
      </c>
      <c r="D297" s="43" t="s">
        <v>1141</v>
      </c>
      <c r="E297" s="43" t="s">
        <v>612</v>
      </c>
      <c r="F297" s="348">
        <f>F298</f>
        <v>0</v>
      </c>
      <c r="G297" s="348">
        <f>G298</f>
        <v>0</v>
      </c>
      <c r="H297" s="348">
        <f>H298</f>
        <v>0</v>
      </c>
    </row>
    <row r="298" spans="1:8" ht="47.25" hidden="1" customHeight="1">
      <c r="A298" s="77" t="s">
        <v>613</v>
      </c>
      <c r="B298" s="43" t="s">
        <v>107</v>
      </c>
      <c r="C298" s="43" t="s">
        <v>678</v>
      </c>
      <c r="D298" s="43" t="s">
        <v>1142</v>
      </c>
      <c r="E298" s="43" t="s">
        <v>614</v>
      </c>
      <c r="F298" s="348">
        <f>'5'!D216</f>
        <v>0</v>
      </c>
      <c r="G298" s="348">
        <f>'5'!E216</f>
        <v>0</v>
      </c>
      <c r="H298" s="348">
        <f>'5'!F216</f>
        <v>0</v>
      </c>
    </row>
    <row r="299" spans="1:8" ht="23.25" customHeight="1">
      <c r="A299" s="74" t="s">
        <v>1137</v>
      </c>
      <c r="B299" s="43" t="s">
        <v>107</v>
      </c>
      <c r="C299" s="43" t="s">
        <v>678</v>
      </c>
      <c r="D299" s="43" t="s">
        <v>1138</v>
      </c>
      <c r="E299" s="43" t="s">
        <v>612</v>
      </c>
      <c r="F299" s="348">
        <f>F300</f>
        <v>11000</v>
      </c>
      <c r="G299" s="348">
        <f t="shared" ref="G299:H299" si="77">G300</f>
        <v>0</v>
      </c>
      <c r="H299" s="348">
        <f t="shared" si="77"/>
        <v>0</v>
      </c>
    </row>
    <row r="300" spans="1:8" ht="31.5">
      <c r="A300" s="77" t="s">
        <v>611</v>
      </c>
      <c r="B300" s="43" t="s">
        <v>107</v>
      </c>
      <c r="C300" s="43" t="s">
        <v>678</v>
      </c>
      <c r="D300" s="43" t="s">
        <v>1138</v>
      </c>
      <c r="E300" s="43" t="s">
        <v>614</v>
      </c>
      <c r="F300" s="348">
        <f>'5'!D217</f>
        <v>11000</v>
      </c>
      <c r="G300" s="348">
        <f>'5'!E217</f>
        <v>0</v>
      </c>
      <c r="H300" s="348">
        <f>'5'!F217</f>
        <v>0</v>
      </c>
    </row>
    <row r="301" spans="1:8" ht="34.5" customHeight="1">
      <c r="A301" s="76" t="s">
        <v>604</v>
      </c>
      <c r="B301" s="53" t="s">
        <v>107</v>
      </c>
      <c r="C301" s="53" t="s">
        <v>678</v>
      </c>
      <c r="D301" s="53" t="s">
        <v>1</v>
      </c>
      <c r="E301" s="53" t="s">
        <v>198</v>
      </c>
      <c r="F301" s="41">
        <f>F302</f>
        <v>144.62</v>
      </c>
      <c r="G301" s="41">
        <f t="shared" ref="G301:H302" si="78">G302</f>
        <v>80.319999999999993</v>
      </c>
      <c r="H301" s="41">
        <f t="shared" si="78"/>
        <v>80.319999999999993</v>
      </c>
    </row>
    <row r="302" spans="1:8" ht="48.75" customHeight="1">
      <c r="A302" s="77" t="s">
        <v>104</v>
      </c>
      <c r="B302" s="43" t="s">
        <v>107</v>
      </c>
      <c r="C302" s="43" t="s">
        <v>678</v>
      </c>
      <c r="D302" s="43" t="s">
        <v>2</v>
      </c>
      <c r="E302" s="43" t="s">
        <v>198</v>
      </c>
      <c r="F302" s="348">
        <f>F303</f>
        <v>144.62</v>
      </c>
      <c r="G302" s="348">
        <f t="shared" si="78"/>
        <v>80.319999999999993</v>
      </c>
      <c r="H302" s="348">
        <f t="shared" si="78"/>
        <v>80.319999999999993</v>
      </c>
    </row>
    <row r="303" spans="1:8" ht="20.25" customHeight="1">
      <c r="A303" s="77" t="s">
        <v>287</v>
      </c>
      <c r="B303" s="43" t="s">
        <v>107</v>
      </c>
      <c r="C303" s="43" t="s">
        <v>678</v>
      </c>
      <c r="D303" s="58" t="s">
        <v>288</v>
      </c>
      <c r="E303" s="43" t="s">
        <v>198</v>
      </c>
      <c r="F303" s="348">
        <f>F304+F306</f>
        <v>144.62</v>
      </c>
      <c r="G303" s="348">
        <f t="shared" ref="G303:H303" si="79">G304+G306</f>
        <v>80.319999999999993</v>
      </c>
      <c r="H303" s="348">
        <f t="shared" si="79"/>
        <v>80.319999999999993</v>
      </c>
    </row>
    <row r="304" spans="1:8" ht="34.15" customHeight="1">
      <c r="A304" s="77" t="s">
        <v>611</v>
      </c>
      <c r="B304" s="43" t="s">
        <v>107</v>
      </c>
      <c r="C304" s="43" t="s">
        <v>678</v>
      </c>
      <c r="D304" s="58" t="s">
        <v>288</v>
      </c>
      <c r="E304" s="43" t="s">
        <v>612</v>
      </c>
      <c r="F304" s="348">
        <f>F305</f>
        <v>64.3</v>
      </c>
      <c r="G304" s="348">
        <f>G305</f>
        <v>0</v>
      </c>
      <c r="H304" s="348">
        <f>H305</f>
        <v>0</v>
      </c>
    </row>
    <row r="305" spans="1:15" ht="51" customHeight="1">
      <c r="A305" s="77" t="s">
        <v>613</v>
      </c>
      <c r="B305" s="43" t="s">
        <v>107</v>
      </c>
      <c r="C305" s="43" t="s">
        <v>678</v>
      </c>
      <c r="D305" s="58" t="s">
        <v>288</v>
      </c>
      <c r="E305" s="43" t="s">
        <v>614</v>
      </c>
      <c r="F305" s="348">
        <v>64.3</v>
      </c>
      <c r="G305" s="348">
        <v>0</v>
      </c>
      <c r="H305" s="348">
        <v>0</v>
      </c>
    </row>
    <row r="306" spans="1:15" ht="22.5" customHeight="1">
      <c r="A306" s="77" t="s">
        <v>615</v>
      </c>
      <c r="B306" s="43" t="s">
        <v>107</v>
      </c>
      <c r="C306" s="43" t="s">
        <v>678</v>
      </c>
      <c r="D306" s="58" t="s">
        <v>288</v>
      </c>
      <c r="E306" s="43" t="s">
        <v>616</v>
      </c>
      <c r="F306" s="348">
        <f>F307</f>
        <v>80.319999999999993</v>
      </c>
      <c r="G306" s="348">
        <f>G307</f>
        <v>80.319999999999993</v>
      </c>
      <c r="H306" s="348">
        <f>H307</f>
        <v>80.319999999999993</v>
      </c>
    </row>
    <row r="307" spans="1:15" ht="19.5" customHeight="1">
      <c r="A307" s="77" t="s">
        <v>617</v>
      </c>
      <c r="B307" s="43" t="s">
        <v>107</v>
      </c>
      <c r="C307" s="43" t="s">
        <v>678</v>
      </c>
      <c r="D307" s="58" t="s">
        <v>288</v>
      </c>
      <c r="E307" s="43" t="s">
        <v>618</v>
      </c>
      <c r="F307" s="4">
        <v>80.319999999999993</v>
      </c>
      <c r="G307" s="4">
        <f>'5'!E305</f>
        <v>80.319999999999993</v>
      </c>
      <c r="H307" s="4">
        <f>'5'!F305</f>
        <v>80.319999999999993</v>
      </c>
      <c r="O307" s="36"/>
    </row>
    <row r="308" spans="1:15" s="36" customFormat="1" ht="31.5">
      <c r="A308" s="73" t="s">
        <v>697</v>
      </c>
      <c r="B308" s="34" t="s">
        <v>107</v>
      </c>
      <c r="C308" s="34" t="s">
        <v>698</v>
      </c>
      <c r="D308" s="34" t="s">
        <v>601</v>
      </c>
      <c r="E308" s="34" t="s">
        <v>198</v>
      </c>
      <c r="F308" s="35">
        <f>F312+F317</f>
        <v>200</v>
      </c>
      <c r="G308" s="35">
        <f t="shared" ref="G308:H308" si="80">G312+G317</f>
        <v>200</v>
      </c>
      <c r="H308" s="35">
        <f t="shared" si="80"/>
        <v>200</v>
      </c>
      <c r="O308" s="24"/>
    </row>
    <row r="309" spans="1:15" ht="66" customHeight="1">
      <c r="A309" s="76" t="s">
        <v>699</v>
      </c>
      <c r="B309" s="53" t="s">
        <v>107</v>
      </c>
      <c r="C309" s="53" t="s">
        <v>698</v>
      </c>
      <c r="D309" s="53" t="s">
        <v>226</v>
      </c>
      <c r="E309" s="53" t="s">
        <v>198</v>
      </c>
      <c r="F309" s="41">
        <f>F310</f>
        <v>200</v>
      </c>
      <c r="G309" s="41">
        <f t="shared" ref="G309:H311" si="81">G310</f>
        <v>200</v>
      </c>
      <c r="H309" s="41">
        <f t="shared" si="81"/>
        <v>200</v>
      </c>
    </row>
    <row r="310" spans="1:15" ht="33.6" customHeight="1">
      <c r="A310" s="77" t="s">
        <v>700</v>
      </c>
      <c r="B310" s="43" t="s">
        <v>107</v>
      </c>
      <c r="C310" s="43" t="s">
        <v>698</v>
      </c>
      <c r="D310" s="43" t="s">
        <v>227</v>
      </c>
      <c r="E310" s="43" t="s">
        <v>198</v>
      </c>
      <c r="F310" s="348">
        <f>F311+F316</f>
        <v>200</v>
      </c>
      <c r="G310" s="348">
        <f>G311+G316</f>
        <v>200</v>
      </c>
      <c r="H310" s="348">
        <f>H311+H316</f>
        <v>200</v>
      </c>
    </row>
    <row r="311" spans="1:15" ht="18.75" customHeight="1">
      <c r="A311" s="77" t="s">
        <v>615</v>
      </c>
      <c r="B311" s="43" t="s">
        <v>107</v>
      </c>
      <c r="C311" s="43" t="s">
        <v>698</v>
      </c>
      <c r="D311" s="43" t="s">
        <v>227</v>
      </c>
      <c r="E311" s="43" t="s">
        <v>616</v>
      </c>
      <c r="F311" s="348">
        <f>F312</f>
        <v>197</v>
      </c>
      <c r="G311" s="348">
        <f t="shared" si="81"/>
        <v>197</v>
      </c>
      <c r="H311" s="348">
        <f t="shared" si="81"/>
        <v>197</v>
      </c>
    </row>
    <row r="312" spans="1:15" ht="69" customHeight="1">
      <c r="A312" s="77" t="s">
        <v>701</v>
      </c>
      <c r="B312" s="43" t="s">
        <v>107</v>
      </c>
      <c r="C312" s="43" t="s">
        <v>698</v>
      </c>
      <c r="D312" s="43" t="s">
        <v>227</v>
      </c>
      <c r="E312" s="43" t="s">
        <v>691</v>
      </c>
      <c r="F312" s="348">
        <f>'5'!D207</f>
        <v>197</v>
      </c>
      <c r="G312" s="348">
        <f>'5'!E207</f>
        <v>197</v>
      </c>
      <c r="H312" s="348">
        <f>'5'!F207</f>
        <v>197</v>
      </c>
    </row>
    <row r="313" spans="1:15" ht="15.75" hidden="1" customHeight="1">
      <c r="A313" s="76"/>
      <c r="B313" s="43" t="s">
        <v>107</v>
      </c>
      <c r="C313" s="43" t="s">
        <v>698</v>
      </c>
      <c r="D313" s="43" t="s">
        <v>227</v>
      </c>
      <c r="E313" s="53"/>
      <c r="F313" s="41"/>
      <c r="G313" s="41"/>
      <c r="H313" s="41"/>
    </row>
    <row r="314" spans="1:15" ht="15.75" hidden="1" customHeight="1">
      <c r="A314" s="77"/>
      <c r="B314" s="43" t="s">
        <v>107</v>
      </c>
      <c r="C314" s="43" t="s">
        <v>698</v>
      </c>
      <c r="D314" s="43" t="s">
        <v>227</v>
      </c>
      <c r="E314" s="43"/>
      <c r="F314" s="348"/>
      <c r="G314" s="348"/>
      <c r="H314" s="348"/>
    </row>
    <row r="315" spans="1:15" ht="15.75" hidden="1" customHeight="1">
      <c r="A315" s="77"/>
      <c r="B315" s="43" t="s">
        <v>107</v>
      </c>
      <c r="C315" s="43" t="s">
        <v>698</v>
      </c>
      <c r="D315" s="43" t="s">
        <v>227</v>
      </c>
      <c r="E315" s="43"/>
      <c r="F315" s="348"/>
      <c r="G315" s="348"/>
      <c r="H315" s="348"/>
    </row>
    <row r="316" spans="1:15" ht="33.6" customHeight="1">
      <c r="A316" s="77" t="s">
        <v>611</v>
      </c>
      <c r="B316" s="43" t="s">
        <v>107</v>
      </c>
      <c r="C316" s="43" t="s">
        <v>698</v>
      </c>
      <c r="D316" s="43" t="s">
        <v>227</v>
      </c>
      <c r="E316" s="43" t="s">
        <v>612</v>
      </c>
      <c r="F316" s="348">
        <f>F317</f>
        <v>3</v>
      </c>
      <c r="G316" s="348">
        <f>G317</f>
        <v>3</v>
      </c>
      <c r="H316" s="348">
        <f>H317</f>
        <v>3</v>
      </c>
    </row>
    <row r="317" spans="1:15" ht="55.5" customHeight="1">
      <c r="A317" s="77" t="s">
        <v>613</v>
      </c>
      <c r="B317" s="43" t="s">
        <v>107</v>
      </c>
      <c r="C317" s="43" t="s">
        <v>698</v>
      </c>
      <c r="D317" s="43" t="s">
        <v>227</v>
      </c>
      <c r="E317" s="43" t="s">
        <v>614</v>
      </c>
      <c r="F317" s="348">
        <f>'5'!D208</f>
        <v>3</v>
      </c>
      <c r="G317" s="348">
        <f>'5'!E208</f>
        <v>3</v>
      </c>
      <c r="H317" s="348">
        <f>'5'!F208</f>
        <v>3</v>
      </c>
    </row>
    <row r="318" spans="1:15" ht="51" customHeight="1">
      <c r="A318" s="76" t="s">
        <v>902</v>
      </c>
      <c r="B318" s="53" t="s">
        <v>107</v>
      </c>
      <c r="C318" s="53" t="s">
        <v>698</v>
      </c>
      <c r="D318" s="53" t="s">
        <v>905</v>
      </c>
      <c r="E318" s="53" t="s">
        <v>198</v>
      </c>
      <c r="F318" s="41">
        <f>F333+F336</f>
        <v>1638.3173400000001</v>
      </c>
      <c r="G318" s="41">
        <f t="shared" ref="G318:H318" si="82">G333+G336</f>
        <v>0</v>
      </c>
      <c r="H318" s="41">
        <f t="shared" si="82"/>
        <v>0</v>
      </c>
      <c r="O318" s="40"/>
    </row>
    <row r="319" spans="1:15" s="40" customFormat="1" ht="47.25" hidden="1" customHeight="1">
      <c r="A319" s="76" t="s">
        <v>976</v>
      </c>
      <c r="B319" s="53" t="s">
        <v>107</v>
      </c>
      <c r="C319" s="53" t="s">
        <v>698</v>
      </c>
      <c r="D319" s="53" t="s">
        <v>920</v>
      </c>
      <c r="E319" s="53" t="s">
        <v>198</v>
      </c>
      <c r="F319" s="41"/>
      <c r="G319" s="41"/>
      <c r="H319" s="41"/>
      <c r="O319" s="24"/>
    </row>
    <row r="320" spans="1:15" ht="78.75" hidden="1" customHeight="1">
      <c r="A320" s="77" t="s">
        <v>975</v>
      </c>
      <c r="B320" s="43" t="s">
        <v>107</v>
      </c>
      <c r="C320" s="43" t="s">
        <v>698</v>
      </c>
      <c r="D320" s="43" t="s">
        <v>901</v>
      </c>
      <c r="E320" s="43" t="s">
        <v>198</v>
      </c>
      <c r="F320" s="348"/>
      <c r="G320" s="348"/>
      <c r="H320" s="348"/>
    </row>
    <row r="321" spans="1:15" ht="31.5" hidden="1" customHeight="1">
      <c r="A321" s="77" t="s">
        <v>611</v>
      </c>
      <c r="B321" s="43" t="s">
        <v>107</v>
      </c>
      <c r="C321" s="43" t="s">
        <v>698</v>
      </c>
      <c r="D321" s="43" t="s">
        <v>901</v>
      </c>
      <c r="E321" s="43" t="s">
        <v>612</v>
      </c>
      <c r="F321" s="348"/>
      <c r="G321" s="348"/>
      <c r="H321" s="348"/>
    </row>
    <row r="322" spans="1:15" ht="47.25" hidden="1" customHeight="1">
      <c r="A322" s="77" t="s">
        <v>613</v>
      </c>
      <c r="B322" s="43" t="s">
        <v>107</v>
      </c>
      <c r="C322" s="43" t="s">
        <v>698</v>
      </c>
      <c r="D322" s="43" t="s">
        <v>901</v>
      </c>
      <c r="E322" s="43" t="s">
        <v>614</v>
      </c>
      <c r="F322" s="348"/>
      <c r="G322" s="348"/>
      <c r="H322" s="348"/>
    </row>
    <row r="323" spans="1:15" ht="110.25" hidden="1" customHeight="1">
      <c r="A323" s="77" t="s">
        <v>950</v>
      </c>
      <c r="B323" s="43" t="s">
        <v>107</v>
      </c>
      <c r="C323" s="43" t="s">
        <v>698</v>
      </c>
      <c r="D323" s="43" t="s">
        <v>906</v>
      </c>
      <c r="E323" s="43" t="s">
        <v>198</v>
      </c>
      <c r="F323" s="348"/>
      <c r="G323" s="348"/>
      <c r="H323" s="348"/>
    </row>
    <row r="324" spans="1:15" ht="31.5" hidden="1" customHeight="1">
      <c r="A324" s="77" t="s">
        <v>611</v>
      </c>
      <c r="B324" s="43" t="s">
        <v>107</v>
      </c>
      <c r="C324" s="43" t="s">
        <v>698</v>
      </c>
      <c r="D324" s="43" t="s">
        <v>906</v>
      </c>
      <c r="E324" s="43" t="s">
        <v>612</v>
      </c>
      <c r="F324" s="348"/>
      <c r="G324" s="348"/>
      <c r="H324" s="348"/>
    </row>
    <row r="325" spans="1:15" ht="47.25" hidden="1" customHeight="1">
      <c r="A325" s="77" t="s">
        <v>613</v>
      </c>
      <c r="B325" s="43" t="s">
        <v>107</v>
      </c>
      <c r="C325" s="43" t="s">
        <v>698</v>
      </c>
      <c r="D325" s="43" t="s">
        <v>906</v>
      </c>
      <c r="E325" s="43" t="s">
        <v>614</v>
      </c>
      <c r="F325" s="348"/>
      <c r="G325" s="348"/>
      <c r="H325" s="348"/>
      <c r="O325" s="40"/>
    </row>
    <row r="326" spans="1:15" s="40" customFormat="1" ht="78.75" hidden="1" customHeight="1">
      <c r="A326" s="76" t="s">
        <v>918</v>
      </c>
      <c r="B326" s="53" t="s">
        <v>107</v>
      </c>
      <c r="C326" s="53" t="s">
        <v>698</v>
      </c>
      <c r="D326" s="53" t="s">
        <v>919</v>
      </c>
      <c r="E326" s="53" t="s">
        <v>198</v>
      </c>
      <c r="F326" s="41"/>
      <c r="G326" s="41"/>
      <c r="H326" s="41"/>
      <c r="O326" s="24"/>
    </row>
    <row r="327" spans="1:15" ht="141.75" hidden="1" customHeight="1">
      <c r="A327" s="76" t="s">
        <v>953</v>
      </c>
      <c r="B327" s="43" t="s">
        <v>107</v>
      </c>
      <c r="C327" s="43" t="s">
        <v>698</v>
      </c>
      <c r="D327" s="43" t="s">
        <v>917</v>
      </c>
      <c r="E327" s="43" t="s">
        <v>198</v>
      </c>
      <c r="F327" s="348"/>
      <c r="G327" s="348"/>
      <c r="H327" s="348"/>
    </row>
    <row r="328" spans="1:15" ht="31.5" hidden="1" customHeight="1">
      <c r="A328" s="77" t="s">
        <v>611</v>
      </c>
      <c r="B328" s="43" t="s">
        <v>107</v>
      </c>
      <c r="C328" s="43" t="s">
        <v>698</v>
      </c>
      <c r="D328" s="43" t="s">
        <v>917</v>
      </c>
      <c r="E328" s="43" t="s">
        <v>612</v>
      </c>
      <c r="F328" s="348"/>
      <c r="G328" s="348"/>
      <c r="H328" s="348"/>
    </row>
    <row r="329" spans="1:15" ht="47.25" hidden="1" customHeight="1">
      <c r="A329" s="77" t="s">
        <v>613</v>
      </c>
      <c r="B329" s="43" t="s">
        <v>107</v>
      </c>
      <c r="C329" s="43" t="s">
        <v>698</v>
      </c>
      <c r="D329" s="43" t="s">
        <v>917</v>
      </c>
      <c r="E329" s="43" t="s">
        <v>614</v>
      </c>
      <c r="F329" s="348"/>
      <c r="G329" s="348"/>
      <c r="H329" s="348"/>
    </row>
    <row r="330" spans="1:15" ht="141.75" hidden="1" customHeight="1">
      <c r="A330" s="76" t="s">
        <v>956</v>
      </c>
      <c r="B330" s="43" t="s">
        <v>107</v>
      </c>
      <c r="C330" s="43" t="s">
        <v>698</v>
      </c>
      <c r="D330" s="43" t="s">
        <v>917</v>
      </c>
      <c r="E330" s="43" t="s">
        <v>198</v>
      </c>
      <c r="F330" s="348"/>
      <c r="G330" s="348"/>
      <c r="H330" s="348"/>
    </row>
    <row r="331" spans="1:15" ht="31.5" hidden="1" customHeight="1">
      <c r="A331" s="77" t="s">
        <v>611</v>
      </c>
      <c r="B331" s="43" t="s">
        <v>107</v>
      </c>
      <c r="C331" s="43" t="s">
        <v>698</v>
      </c>
      <c r="D331" s="43" t="s">
        <v>917</v>
      </c>
      <c r="E331" s="43" t="s">
        <v>612</v>
      </c>
      <c r="F331" s="348"/>
      <c r="G331" s="348"/>
      <c r="H331" s="348"/>
    </row>
    <row r="332" spans="1:15" ht="47.25" hidden="1" customHeight="1">
      <c r="A332" s="77" t="s">
        <v>613</v>
      </c>
      <c r="B332" s="43" t="s">
        <v>107</v>
      </c>
      <c r="C332" s="43" t="s">
        <v>698</v>
      </c>
      <c r="D332" s="43" t="s">
        <v>917</v>
      </c>
      <c r="E332" s="43" t="s">
        <v>614</v>
      </c>
      <c r="F332" s="348"/>
      <c r="G332" s="348"/>
      <c r="H332" s="348"/>
      <c r="O332" s="40"/>
    </row>
    <row r="333" spans="1:15" s="40" customFormat="1" ht="68.25" customHeight="1">
      <c r="A333" s="76" t="s">
        <v>957</v>
      </c>
      <c r="B333" s="53" t="s">
        <v>107</v>
      </c>
      <c r="C333" s="53" t="s">
        <v>698</v>
      </c>
      <c r="D333" s="53" t="s">
        <v>1132</v>
      </c>
      <c r="E333" s="53" t="s">
        <v>198</v>
      </c>
      <c r="F333" s="41">
        <f>F334</f>
        <v>1470.9373399999999</v>
      </c>
      <c r="G333" s="41">
        <f t="shared" ref="G333:H333" si="83">G334</f>
        <v>0</v>
      </c>
      <c r="H333" s="41">
        <f t="shared" si="83"/>
        <v>0</v>
      </c>
      <c r="O333" s="24"/>
    </row>
    <row r="334" spans="1:15" ht="32.25" customHeight="1">
      <c r="A334" s="77" t="s">
        <v>611</v>
      </c>
      <c r="B334" s="43" t="s">
        <v>107</v>
      </c>
      <c r="C334" s="43" t="s">
        <v>698</v>
      </c>
      <c r="D334" s="43" t="s">
        <v>1132</v>
      </c>
      <c r="E334" s="43" t="s">
        <v>612</v>
      </c>
      <c r="F334" s="348">
        <f>F335</f>
        <v>1470.9373399999999</v>
      </c>
      <c r="G334" s="348">
        <f t="shared" ref="G334:H334" si="84">G335</f>
        <v>0</v>
      </c>
      <c r="H334" s="348">
        <f t="shared" si="84"/>
        <v>0</v>
      </c>
    </row>
    <row r="335" spans="1:15" ht="48.6" customHeight="1">
      <c r="A335" s="77" t="s">
        <v>613</v>
      </c>
      <c r="B335" s="43" t="s">
        <v>107</v>
      </c>
      <c r="C335" s="43" t="s">
        <v>698</v>
      </c>
      <c r="D335" s="43" t="s">
        <v>1132</v>
      </c>
      <c r="E335" s="43" t="s">
        <v>614</v>
      </c>
      <c r="F335" s="348">
        <f>'5'!D261</f>
        <v>1470.9373399999999</v>
      </c>
      <c r="G335" s="348">
        <f>'5'!E261</f>
        <v>0</v>
      </c>
      <c r="H335" s="348">
        <f>'5'!F261</f>
        <v>0</v>
      </c>
      <c r="O335" s="56"/>
    </row>
    <row r="336" spans="1:15" ht="99" customHeight="1">
      <c r="A336" s="76" t="s">
        <v>1134</v>
      </c>
      <c r="B336" s="43" t="s">
        <v>107</v>
      </c>
      <c r="C336" s="43" t="s">
        <v>698</v>
      </c>
      <c r="D336" s="53" t="s">
        <v>1133</v>
      </c>
      <c r="E336" s="53" t="s">
        <v>198</v>
      </c>
      <c r="F336" s="41">
        <f>F337</f>
        <v>167.38</v>
      </c>
      <c r="G336" s="41">
        <f t="shared" ref="G336:H336" si="85">G337</f>
        <v>0</v>
      </c>
      <c r="H336" s="41">
        <f t="shared" si="85"/>
        <v>0</v>
      </c>
      <c r="O336" s="56"/>
    </row>
    <row r="337" spans="1:15" ht="38.25" customHeight="1">
      <c r="A337" s="77" t="s">
        <v>611</v>
      </c>
      <c r="B337" s="43" t="s">
        <v>107</v>
      </c>
      <c r="C337" s="43" t="s">
        <v>698</v>
      </c>
      <c r="D337" s="43" t="s">
        <v>1133</v>
      </c>
      <c r="E337" s="43" t="s">
        <v>612</v>
      </c>
      <c r="F337" s="348">
        <f>F338</f>
        <v>167.38</v>
      </c>
      <c r="G337" s="348">
        <f t="shared" ref="G337:H337" si="86">G338</f>
        <v>0</v>
      </c>
      <c r="H337" s="348">
        <f t="shared" si="86"/>
        <v>0</v>
      </c>
      <c r="O337" s="56"/>
    </row>
    <row r="338" spans="1:15" ht="48.6" customHeight="1">
      <c r="A338" s="77" t="s">
        <v>613</v>
      </c>
      <c r="B338" s="43" t="s">
        <v>107</v>
      </c>
      <c r="C338" s="43" t="s">
        <v>698</v>
      </c>
      <c r="D338" s="43" t="s">
        <v>1133</v>
      </c>
      <c r="E338" s="43" t="s">
        <v>614</v>
      </c>
      <c r="F338" s="348">
        <f>'5'!D262</f>
        <v>167.38</v>
      </c>
      <c r="G338" s="348">
        <f>'5'!E262</f>
        <v>0</v>
      </c>
      <c r="H338" s="348">
        <f>'5'!F262</f>
        <v>0</v>
      </c>
      <c r="O338" s="56"/>
    </row>
    <row r="339" spans="1:15" s="56" customFormat="1" ht="32.25" customHeight="1">
      <c r="A339" s="80" t="s">
        <v>702</v>
      </c>
      <c r="B339" s="30" t="s">
        <v>620</v>
      </c>
      <c r="C339" s="30" t="s">
        <v>103</v>
      </c>
      <c r="D339" s="30" t="s">
        <v>601</v>
      </c>
      <c r="E339" s="30" t="s">
        <v>198</v>
      </c>
      <c r="F339" s="31">
        <f>F340+F372+F390</f>
        <v>8561.0074100000002</v>
      </c>
      <c r="G339" s="31">
        <f>G340+G372+G390</f>
        <v>227.51564999999999</v>
      </c>
      <c r="H339" s="31">
        <f>H340+H372+H390</f>
        <v>207.61626999999999</v>
      </c>
      <c r="I339" s="336"/>
      <c r="J339" s="336"/>
      <c r="K339" s="336"/>
      <c r="O339" s="57"/>
    </row>
    <row r="340" spans="1:15" s="57" customFormat="1" ht="16.5" customHeight="1">
      <c r="A340" s="73" t="s">
        <v>703</v>
      </c>
      <c r="B340" s="34" t="s">
        <v>620</v>
      </c>
      <c r="C340" s="34" t="s">
        <v>603</v>
      </c>
      <c r="D340" s="34" t="s">
        <v>601</v>
      </c>
      <c r="E340" s="34" t="s">
        <v>198</v>
      </c>
      <c r="F340" s="35">
        <f>F345+F357+F358+F366+F370</f>
        <v>2896.52585</v>
      </c>
      <c r="G340" s="35">
        <f t="shared" ref="G340:H340" si="87">G345+G357+G358+G366+G370</f>
        <v>125</v>
      </c>
      <c r="H340" s="35">
        <f t="shared" si="87"/>
        <v>105</v>
      </c>
      <c r="O340" s="24"/>
    </row>
    <row r="341" spans="1:15" ht="17.25" customHeight="1">
      <c r="A341" s="74" t="s">
        <v>704</v>
      </c>
      <c r="B341" s="37" t="s">
        <v>620</v>
      </c>
      <c r="C341" s="37" t="s">
        <v>603</v>
      </c>
      <c r="D341" s="37" t="s">
        <v>13</v>
      </c>
      <c r="E341" s="37" t="s">
        <v>198</v>
      </c>
      <c r="F341" s="38">
        <f>F342+F345</f>
        <v>1285</v>
      </c>
      <c r="G341" s="38">
        <f>G342+G345</f>
        <v>85</v>
      </c>
      <c r="H341" s="38">
        <f>H342+H345</f>
        <v>85</v>
      </c>
    </row>
    <row r="342" spans="1:15" ht="31.5" hidden="1" customHeight="1">
      <c r="A342" s="74" t="s">
        <v>289</v>
      </c>
      <c r="B342" s="37" t="s">
        <v>620</v>
      </c>
      <c r="C342" s="37" t="s">
        <v>603</v>
      </c>
      <c r="D342" s="37" t="s">
        <v>13</v>
      </c>
      <c r="E342" s="37" t="s">
        <v>198</v>
      </c>
      <c r="F342" s="38">
        <f t="shared" ref="F342:H343" si="88">F343</f>
        <v>0</v>
      </c>
      <c r="G342" s="38">
        <f t="shared" si="88"/>
        <v>0</v>
      </c>
      <c r="H342" s="38">
        <f t="shared" si="88"/>
        <v>0</v>
      </c>
    </row>
    <row r="343" spans="1:15" ht="31.5" hidden="1" customHeight="1">
      <c r="A343" s="74" t="s">
        <v>611</v>
      </c>
      <c r="B343" s="37" t="s">
        <v>620</v>
      </c>
      <c r="C343" s="37" t="s">
        <v>603</v>
      </c>
      <c r="D343" s="37" t="s">
        <v>13</v>
      </c>
      <c r="E343" s="37" t="s">
        <v>612</v>
      </c>
      <c r="F343" s="38">
        <f t="shared" si="88"/>
        <v>0</v>
      </c>
      <c r="G343" s="38">
        <f t="shared" si="88"/>
        <v>0</v>
      </c>
      <c r="H343" s="38">
        <f t="shared" si="88"/>
        <v>0</v>
      </c>
    </row>
    <row r="344" spans="1:15" ht="47.25" hidden="1" customHeight="1">
      <c r="A344" s="74" t="s">
        <v>613</v>
      </c>
      <c r="B344" s="37" t="s">
        <v>620</v>
      </c>
      <c r="C344" s="37" t="s">
        <v>603</v>
      </c>
      <c r="D344" s="37" t="s">
        <v>13</v>
      </c>
      <c r="E344" s="37" t="s">
        <v>614</v>
      </c>
      <c r="F344" s="38">
        <v>0</v>
      </c>
      <c r="G344" s="38">
        <v>0</v>
      </c>
      <c r="H344" s="38">
        <v>0</v>
      </c>
    </row>
    <row r="345" spans="1:15" ht="33" customHeight="1">
      <c r="A345" s="77" t="s">
        <v>232</v>
      </c>
      <c r="B345" s="43" t="s">
        <v>620</v>
      </c>
      <c r="C345" s="43" t="s">
        <v>603</v>
      </c>
      <c r="D345" s="43" t="s">
        <v>70</v>
      </c>
      <c r="E345" s="43" t="s">
        <v>198</v>
      </c>
      <c r="F345" s="348">
        <f t="shared" ref="F345:H346" si="89">F346</f>
        <v>1285</v>
      </c>
      <c r="G345" s="348">
        <f t="shared" si="89"/>
        <v>85</v>
      </c>
      <c r="H345" s="348">
        <f t="shared" si="89"/>
        <v>85</v>
      </c>
    </row>
    <row r="346" spans="1:15" ht="31.5" customHeight="1">
      <c r="A346" s="77" t="s">
        <v>611</v>
      </c>
      <c r="B346" s="43" t="s">
        <v>620</v>
      </c>
      <c r="C346" s="43" t="s">
        <v>603</v>
      </c>
      <c r="D346" s="43" t="s">
        <v>70</v>
      </c>
      <c r="E346" s="43" t="s">
        <v>612</v>
      </c>
      <c r="F346" s="348">
        <f t="shared" si="89"/>
        <v>1285</v>
      </c>
      <c r="G346" s="348">
        <f t="shared" si="89"/>
        <v>85</v>
      </c>
      <c r="H346" s="348">
        <f t="shared" si="89"/>
        <v>85</v>
      </c>
    </row>
    <row r="347" spans="1:15" ht="50.25" customHeight="1">
      <c r="A347" s="77" t="s">
        <v>613</v>
      </c>
      <c r="B347" s="43" t="s">
        <v>620</v>
      </c>
      <c r="C347" s="43" t="s">
        <v>603</v>
      </c>
      <c r="D347" s="43" t="s">
        <v>70</v>
      </c>
      <c r="E347" s="43" t="s">
        <v>614</v>
      </c>
      <c r="F347" s="348">
        <f>'5'!D289</f>
        <v>1285</v>
      </c>
      <c r="G347" s="348">
        <f>'5'!E289</f>
        <v>85</v>
      </c>
      <c r="H347" s="348">
        <f>'5'!F289</f>
        <v>85</v>
      </c>
      <c r="O347" s="40"/>
    </row>
    <row r="348" spans="1:15" s="40" customFormat="1" ht="15.75" hidden="1" customHeight="1">
      <c r="A348" s="76" t="s">
        <v>189</v>
      </c>
      <c r="B348" s="43" t="s">
        <v>620</v>
      </c>
      <c r="C348" s="43" t="s">
        <v>603</v>
      </c>
      <c r="D348" s="43" t="s">
        <v>15</v>
      </c>
      <c r="E348" s="43" t="s">
        <v>198</v>
      </c>
      <c r="F348" s="41">
        <f t="shared" ref="F348:H349" si="90">F349</f>
        <v>0</v>
      </c>
      <c r="G348" s="41">
        <f t="shared" si="90"/>
        <v>0</v>
      </c>
      <c r="H348" s="41">
        <f t="shared" si="90"/>
        <v>0</v>
      </c>
      <c r="O348" s="24"/>
    </row>
    <row r="349" spans="1:15" ht="31.5" hidden="1" customHeight="1">
      <c r="A349" s="77" t="s">
        <v>611</v>
      </c>
      <c r="B349" s="43" t="s">
        <v>620</v>
      </c>
      <c r="C349" s="43" t="s">
        <v>603</v>
      </c>
      <c r="D349" s="43" t="s">
        <v>15</v>
      </c>
      <c r="E349" s="43" t="s">
        <v>612</v>
      </c>
      <c r="F349" s="348">
        <f t="shared" si="90"/>
        <v>0</v>
      </c>
      <c r="G349" s="348">
        <f t="shared" si="90"/>
        <v>0</v>
      </c>
      <c r="H349" s="348">
        <f t="shared" si="90"/>
        <v>0</v>
      </c>
    </row>
    <row r="350" spans="1:15" ht="47.25" hidden="1" customHeight="1">
      <c r="A350" s="77" t="s">
        <v>613</v>
      </c>
      <c r="B350" s="43" t="s">
        <v>620</v>
      </c>
      <c r="C350" s="43" t="s">
        <v>603</v>
      </c>
      <c r="D350" s="43" t="s">
        <v>15</v>
      </c>
      <c r="E350" s="43" t="s">
        <v>614</v>
      </c>
      <c r="F350" s="348">
        <f>266-266</f>
        <v>0</v>
      </c>
      <c r="G350" s="348">
        <v>0</v>
      </c>
      <c r="H350" s="348">
        <v>0</v>
      </c>
    </row>
    <row r="351" spans="1:15" ht="47.25" hidden="1" customHeight="1">
      <c r="A351" s="76" t="s">
        <v>367</v>
      </c>
      <c r="B351" s="53" t="s">
        <v>620</v>
      </c>
      <c r="C351" s="53" t="s">
        <v>603</v>
      </c>
      <c r="D351" s="53" t="s">
        <v>368</v>
      </c>
      <c r="E351" s="53" t="s">
        <v>198</v>
      </c>
      <c r="F351" s="41">
        <f t="shared" ref="F351:H352" si="91">F352</f>
        <v>0</v>
      </c>
      <c r="G351" s="41">
        <f t="shared" si="91"/>
        <v>0</v>
      </c>
      <c r="H351" s="41">
        <f t="shared" si="91"/>
        <v>0</v>
      </c>
    </row>
    <row r="352" spans="1:15" ht="31.5" hidden="1" customHeight="1">
      <c r="A352" s="77" t="s">
        <v>611</v>
      </c>
      <c r="B352" s="43" t="s">
        <v>620</v>
      </c>
      <c r="C352" s="43" t="s">
        <v>603</v>
      </c>
      <c r="D352" s="43" t="s">
        <v>368</v>
      </c>
      <c r="E352" s="43" t="s">
        <v>612</v>
      </c>
      <c r="F352" s="348">
        <f t="shared" si="91"/>
        <v>0</v>
      </c>
      <c r="G352" s="348">
        <f t="shared" si="91"/>
        <v>0</v>
      </c>
      <c r="H352" s="348">
        <f t="shared" si="91"/>
        <v>0</v>
      </c>
    </row>
    <row r="353" spans="1:15" ht="47.25" hidden="1" customHeight="1">
      <c r="A353" s="77" t="s">
        <v>613</v>
      </c>
      <c r="B353" s="43" t="s">
        <v>620</v>
      </c>
      <c r="C353" s="43" t="s">
        <v>603</v>
      </c>
      <c r="D353" s="43" t="s">
        <v>368</v>
      </c>
      <c r="E353" s="43" t="s">
        <v>614</v>
      </c>
      <c r="F353" s="348"/>
      <c r="G353" s="348"/>
      <c r="H353" s="348"/>
    </row>
    <row r="354" spans="1:15" ht="81.75" customHeight="1">
      <c r="A354" s="76" t="s">
        <v>983</v>
      </c>
      <c r="B354" s="53" t="s">
        <v>620</v>
      </c>
      <c r="C354" s="53" t="s">
        <v>603</v>
      </c>
      <c r="D354" s="53" t="s">
        <v>290</v>
      </c>
      <c r="E354" s="53" t="s">
        <v>198</v>
      </c>
      <c r="F354" s="41">
        <f t="shared" ref="F354:H355" si="92">F355</f>
        <v>1471.52585</v>
      </c>
      <c r="G354" s="41">
        <f t="shared" si="92"/>
        <v>0</v>
      </c>
      <c r="H354" s="41">
        <f t="shared" si="92"/>
        <v>0</v>
      </c>
    </row>
    <row r="355" spans="1:15" ht="63" customHeight="1">
      <c r="A355" s="77" t="s">
        <v>706</v>
      </c>
      <c r="B355" s="43" t="s">
        <v>620</v>
      </c>
      <c r="C355" s="43" t="s">
        <v>603</v>
      </c>
      <c r="D355" s="43" t="s">
        <v>290</v>
      </c>
      <c r="E355" s="43" t="s">
        <v>198</v>
      </c>
      <c r="F355" s="348">
        <f t="shared" si="92"/>
        <v>1471.52585</v>
      </c>
      <c r="G355" s="348">
        <f t="shared" si="92"/>
        <v>0</v>
      </c>
      <c r="H355" s="348">
        <f t="shared" si="92"/>
        <v>0</v>
      </c>
    </row>
    <row r="356" spans="1:15" ht="24" customHeight="1">
      <c r="A356" s="77" t="s">
        <v>615</v>
      </c>
      <c r="B356" s="43" t="s">
        <v>620</v>
      </c>
      <c r="C356" s="43" t="s">
        <v>603</v>
      </c>
      <c r="D356" s="43" t="s">
        <v>290</v>
      </c>
      <c r="E356" s="43" t="s">
        <v>616</v>
      </c>
      <c r="F356" s="348">
        <f>F358+F357</f>
        <v>1471.52585</v>
      </c>
      <c r="G356" s="348">
        <f>G358+G357</f>
        <v>0</v>
      </c>
      <c r="H356" s="348">
        <f>H358+H357</f>
        <v>0</v>
      </c>
    </row>
    <row r="357" spans="1:15" ht="69" customHeight="1">
      <c r="A357" s="77" t="s">
        <v>707</v>
      </c>
      <c r="B357" s="43" t="s">
        <v>620</v>
      </c>
      <c r="C357" s="43" t="s">
        <v>603</v>
      </c>
      <c r="D357" s="43" t="s">
        <v>291</v>
      </c>
      <c r="E357" s="43" t="s">
        <v>691</v>
      </c>
      <c r="F357" s="348">
        <f>'5'!D236</f>
        <v>1456.81059</v>
      </c>
      <c r="G357" s="348">
        <f>'5'!E236</f>
        <v>0</v>
      </c>
      <c r="H357" s="348">
        <f>'5'!F236</f>
        <v>0</v>
      </c>
    </row>
    <row r="358" spans="1:15" ht="69.75" customHeight="1">
      <c r="A358" s="77" t="s">
        <v>708</v>
      </c>
      <c r="B358" s="43" t="s">
        <v>620</v>
      </c>
      <c r="C358" s="43" t="s">
        <v>603</v>
      </c>
      <c r="D358" s="43" t="s">
        <v>516</v>
      </c>
      <c r="E358" s="43" t="s">
        <v>691</v>
      </c>
      <c r="F358" s="348">
        <f>'5'!D237</f>
        <v>14.715260000000001</v>
      </c>
      <c r="G358" s="348">
        <f>'5'!E237</f>
        <v>0</v>
      </c>
      <c r="H358" s="348">
        <f>'5'!F237</f>
        <v>0</v>
      </c>
    </row>
    <row r="359" spans="1:15" ht="78.75" hidden="1" customHeight="1">
      <c r="A359" s="76" t="s">
        <v>983</v>
      </c>
      <c r="B359" s="53" t="s">
        <v>620</v>
      </c>
      <c r="C359" s="53" t="s">
        <v>603</v>
      </c>
      <c r="D359" s="53" t="s">
        <v>290</v>
      </c>
      <c r="E359" s="53" t="s">
        <v>198</v>
      </c>
      <c r="F359" s="41">
        <f>F360</f>
        <v>0</v>
      </c>
      <c r="G359" s="41">
        <f>G361</f>
        <v>0</v>
      </c>
      <c r="H359" s="41">
        <f t="shared" ref="H359" si="93">H360</f>
        <v>0</v>
      </c>
    </row>
    <row r="360" spans="1:15" ht="63" hidden="1" customHeight="1">
      <c r="A360" s="77" t="s">
        <v>706</v>
      </c>
      <c r="B360" s="43" t="s">
        <v>620</v>
      </c>
      <c r="C360" s="43" t="s">
        <v>603</v>
      </c>
      <c r="D360" s="43" t="s">
        <v>290</v>
      </c>
      <c r="E360" s="43" t="s">
        <v>198</v>
      </c>
      <c r="F360" s="348">
        <f>F361</f>
        <v>0</v>
      </c>
      <c r="G360" s="348">
        <f>G361</f>
        <v>0</v>
      </c>
      <c r="H360" s="348">
        <f t="shared" ref="H360" si="94">H361</f>
        <v>0</v>
      </c>
    </row>
    <row r="361" spans="1:15" ht="15.75" hidden="1" customHeight="1">
      <c r="A361" s="77" t="s">
        <v>615</v>
      </c>
      <c r="B361" s="43" t="s">
        <v>620</v>
      </c>
      <c r="C361" s="43" t="s">
        <v>603</v>
      </c>
      <c r="D361" s="43" t="s">
        <v>290</v>
      </c>
      <c r="E361" s="43" t="s">
        <v>616</v>
      </c>
      <c r="F361" s="348">
        <f>F362+F363</f>
        <v>0</v>
      </c>
      <c r="G361" s="348">
        <f t="shared" ref="G361:H361" si="95">G362+G363</f>
        <v>0</v>
      </c>
      <c r="H361" s="348">
        <f t="shared" si="95"/>
        <v>0</v>
      </c>
    </row>
    <row r="362" spans="1:15" ht="63" hidden="1" customHeight="1">
      <c r="A362" s="77" t="s">
        <v>707</v>
      </c>
      <c r="B362" s="43" t="s">
        <v>620</v>
      </c>
      <c r="C362" s="43" t="s">
        <v>603</v>
      </c>
      <c r="D362" s="43" t="s">
        <v>291</v>
      </c>
      <c r="E362" s="43" t="s">
        <v>691</v>
      </c>
      <c r="F362" s="348">
        <v>0</v>
      </c>
      <c r="G362" s="348">
        <v>0</v>
      </c>
      <c r="H362" s="348">
        <v>0</v>
      </c>
    </row>
    <row r="363" spans="1:15" ht="63" hidden="1" customHeight="1">
      <c r="A363" s="77" t="s">
        <v>708</v>
      </c>
      <c r="B363" s="43" t="s">
        <v>620</v>
      </c>
      <c r="C363" s="43" t="s">
        <v>603</v>
      </c>
      <c r="D363" s="43" t="s">
        <v>516</v>
      </c>
      <c r="E363" s="43" t="s">
        <v>691</v>
      </c>
      <c r="F363" s="348">
        <v>0</v>
      </c>
      <c r="G363" s="348">
        <v>0</v>
      </c>
      <c r="H363" s="348">
        <v>0</v>
      </c>
    </row>
    <row r="364" spans="1:15" ht="33" customHeight="1">
      <c r="A364" s="76" t="s">
        <v>604</v>
      </c>
      <c r="B364" s="53" t="s">
        <v>620</v>
      </c>
      <c r="C364" s="53" t="s">
        <v>603</v>
      </c>
      <c r="D364" s="53" t="s">
        <v>1</v>
      </c>
      <c r="E364" s="53" t="s">
        <v>198</v>
      </c>
      <c r="F364" s="41">
        <f t="shared" ref="F364:H367" si="96">F365</f>
        <v>120</v>
      </c>
      <c r="G364" s="41">
        <f t="shared" si="96"/>
        <v>20</v>
      </c>
      <c r="H364" s="41">
        <f t="shared" si="96"/>
        <v>20</v>
      </c>
    </row>
    <row r="365" spans="1:15" ht="54" customHeight="1">
      <c r="A365" s="77" t="s">
        <v>104</v>
      </c>
      <c r="B365" s="43" t="s">
        <v>620</v>
      </c>
      <c r="C365" s="43" t="s">
        <v>603</v>
      </c>
      <c r="D365" s="43" t="s">
        <v>2</v>
      </c>
      <c r="E365" s="43" t="s">
        <v>198</v>
      </c>
      <c r="F365" s="348">
        <f>F366</f>
        <v>120</v>
      </c>
      <c r="G365" s="348">
        <f t="shared" si="96"/>
        <v>20</v>
      </c>
      <c r="H365" s="348">
        <f t="shared" si="96"/>
        <v>20</v>
      </c>
    </row>
    <row r="366" spans="1:15" ht="113.25" customHeight="1">
      <c r="A366" s="153" t="s">
        <v>292</v>
      </c>
      <c r="B366" s="150" t="s">
        <v>620</v>
      </c>
      <c r="C366" s="150" t="s">
        <v>603</v>
      </c>
      <c r="D366" s="150" t="s">
        <v>293</v>
      </c>
      <c r="E366" s="150" t="s">
        <v>198</v>
      </c>
      <c r="F366" s="54">
        <f t="shared" si="96"/>
        <v>120</v>
      </c>
      <c r="G366" s="54">
        <f t="shared" si="96"/>
        <v>20</v>
      </c>
      <c r="H366" s="54">
        <f t="shared" si="96"/>
        <v>20</v>
      </c>
    </row>
    <row r="367" spans="1:15" ht="36" customHeight="1">
      <c r="A367" s="77" t="s">
        <v>611</v>
      </c>
      <c r="B367" s="43" t="s">
        <v>620</v>
      </c>
      <c r="C367" s="43" t="s">
        <v>603</v>
      </c>
      <c r="D367" s="43" t="s">
        <v>293</v>
      </c>
      <c r="E367" s="43" t="s">
        <v>612</v>
      </c>
      <c r="F367" s="348">
        <f t="shared" si="96"/>
        <v>120</v>
      </c>
      <c r="G367" s="348">
        <f t="shared" si="96"/>
        <v>20</v>
      </c>
      <c r="H367" s="348">
        <f t="shared" si="96"/>
        <v>20</v>
      </c>
    </row>
    <row r="368" spans="1:15" ht="52.5" customHeight="1">
      <c r="A368" s="77" t="s">
        <v>613</v>
      </c>
      <c r="B368" s="43" t="s">
        <v>620</v>
      </c>
      <c r="C368" s="43" t="s">
        <v>603</v>
      </c>
      <c r="D368" s="43" t="s">
        <v>293</v>
      </c>
      <c r="E368" s="43" t="s">
        <v>614</v>
      </c>
      <c r="F368" s="348">
        <f>'5'!D306</f>
        <v>120</v>
      </c>
      <c r="G368" s="348">
        <f>'5'!E306</f>
        <v>20</v>
      </c>
      <c r="H368" s="348">
        <f>'5'!F306</f>
        <v>20</v>
      </c>
      <c r="O368" s="40"/>
    </row>
    <row r="369" spans="1:15" s="40" customFormat="1" ht="81" customHeight="1">
      <c r="A369" s="76" t="s">
        <v>709</v>
      </c>
      <c r="B369" s="53" t="s">
        <v>620</v>
      </c>
      <c r="C369" s="53" t="s">
        <v>603</v>
      </c>
      <c r="D369" s="53" t="s">
        <v>259</v>
      </c>
      <c r="E369" s="53" t="s">
        <v>198</v>
      </c>
      <c r="F369" s="41">
        <f t="shared" ref="F369:H370" si="97">F370</f>
        <v>20</v>
      </c>
      <c r="G369" s="41">
        <f t="shared" si="97"/>
        <v>20</v>
      </c>
      <c r="H369" s="41">
        <f t="shared" si="97"/>
        <v>0</v>
      </c>
      <c r="O369" s="24"/>
    </row>
    <row r="370" spans="1:15" ht="36.75" customHeight="1">
      <c r="A370" s="77" t="s">
        <v>611</v>
      </c>
      <c r="B370" s="43" t="s">
        <v>620</v>
      </c>
      <c r="C370" s="43" t="s">
        <v>603</v>
      </c>
      <c r="D370" s="43" t="s">
        <v>336</v>
      </c>
      <c r="E370" s="43" t="s">
        <v>612</v>
      </c>
      <c r="F370" s="348">
        <f t="shared" si="97"/>
        <v>20</v>
      </c>
      <c r="G370" s="348">
        <f t="shared" si="97"/>
        <v>20</v>
      </c>
      <c r="H370" s="348">
        <f t="shared" si="97"/>
        <v>0</v>
      </c>
    </row>
    <row r="371" spans="1:15" ht="52.5" customHeight="1">
      <c r="A371" s="77" t="s">
        <v>613</v>
      </c>
      <c r="B371" s="43" t="s">
        <v>620</v>
      </c>
      <c r="C371" s="43" t="s">
        <v>603</v>
      </c>
      <c r="D371" s="43" t="s">
        <v>336</v>
      </c>
      <c r="E371" s="43" t="s">
        <v>614</v>
      </c>
      <c r="F371" s="348">
        <f>'5'!D220</f>
        <v>20</v>
      </c>
      <c r="G371" s="348">
        <f>'5'!E220</f>
        <v>20</v>
      </c>
      <c r="H371" s="348">
        <f>'5'!F220</f>
        <v>0</v>
      </c>
      <c r="O371" s="40"/>
    </row>
    <row r="372" spans="1:15" s="40" customFormat="1" ht="21" customHeight="1">
      <c r="A372" s="73" t="s">
        <v>710</v>
      </c>
      <c r="B372" s="34" t="s">
        <v>620</v>
      </c>
      <c r="C372" s="34" t="s">
        <v>105</v>
      </c>
      <c r="D372" s="34" t="s">
        <v>601</v>
      </c>
      <c r="E372" s="34" t="s">
        <v>198</v>
      </c>
      <c r="F372" s="35">
        <f>F374+F376+F381</f>
        <v>5662.0626599999996</v>
      </c>
      <c r="G372" s="35">
        <f t="shared" ref="G372:H372" si="98">G374+G376+G381</f>
        <v>100</v>
      </c>
      <c r="H372" s="35">
        <f t="shared" si="98"/>
        <v>100</v>
      </c>
      <c r="O372" s="24"/>
    </row>
    <row r="373" spans="1:15" ht="17.25" customHeight="1">
      <c r="A373" s="76" t="s">
        <v>188</v>
      </c>
      <c r="B373" s="53" t="s">
        <v>620</v>
      </c>
      <c r="C373" s="53" t="s">
        <v>105</v>
      </c>
      <c r="D373" s="53" t="s">
        <v>14</v>
      </c>
      <c r="E373" s="53" t="s">
        <v>198</v>
      </c>
      <c r="F373" s="41">
        <f t="shared" ref="F373:H374" si="99">F374</f>
        <v>702.06266000000005</v>
      </c>
      <c r="G373" s="41">
        <f t="shared" si="99"/>
        <v>50</v>
      </c>
      <c r="H373" s="41">
        <f t="shared" si="99"/>
        <v>50</v>
      </c>
    </row>
    <row r="374" spans="1:15" ht="34.5" customHeight="1">
      <c r="A374" s="77" t="s">
        <v>611</v>
      </c>
      <c r="B374" s="43" t="s">
        <v>620</v>
      </c>
      <c r="C374" s="43" t="s">
        <v>105</v>
      </c>
      <c r="D374" s="43" t="s">
        <v>14</v>
      </c>
      <c r="E374" s="43" t="s">
        <v>612</v>
      </c>
      <c r="F374" s="348">
        <f t="shared" si="99"/>
        <v>702.06266000000005</v>
      </c>
      <c r="G374" s="348">
        <f t="shared" si="99"/>
        <v>50</v>
      </c>
      <c r="H374" s="348">
        <f t="shared" si="99"/>
        <v>50</v>
      </c>
    </row>
    <row r="375" spans="1:15" ht="49.5" customHeight="1">
      <c r="A375" s="77" t="s">
        <v>613</v>
      </c>
      <c r="B375" s="43" t="s">
        <v>620</v>
      </c>
      <c r="C375" s="43" t="s">
        <v>105</v>
      </c>
      <c r="D375" s="43" t="s">
        <v>14</v>
      </c>
      <c r="E375" s="43" t="s">
        <v>614</v>
      </c>
      <c r="F375" s="348">
        <f>'5'!D283</f>
        <v>702.06266000000005</v>
      </c>
      <c r="G375" s="348">
        <f>'5'!E283</f>
        <v>50</v>
      </c>
      <c r="H375" s="348">
        <f>'5'!F283</f>
        <v>50</v>
      </c>
    </row>
    <row r="376" spans="1:15" ht="17.25" customHeight="1">
      <c r="A376" s="77" t="s">
        <v>189</v>
      </c>
      <c r="B376" s="43" t="s">
        <v>620</v>
      </c>
      <c r="C376" s="43" t="s">
        <v>105</v>
      </c>
      <c r="D376" s="43" t="s">
        <v>15</v>
      </c>
      <c r="E376" s="43" t="s">
        <v>198</v>
      </c>
      <c r="F376" s="348">
        <f>F377+F379</f>
        <v>350</v>
      </c>
      <c r="G376" s="348">
        <f>G377+G379</f>
        <v>50</v>
      </c>
      <c r="H376" s="348">
        <f>H377+H379</f>
        <v>50</v>
      </c>
    </row>
    <row r="377" spans="1:15" ht="37.5" customHeight="1">
      <c r="A377" s="77" t="s">
        <v>611</v>
      </c>
      <c r="B377" s="43" t="s">
        <v>620</v>
      </c>
      <c r="C377" s="43" t="s">
        <v>105</v>
      </c>
      <c r="D377" s="43" t="s">
        <v>15</v>
      </c>
      <c r="E377" s="43" t="s">
        <v>612</v>
      </c>
      <c r="F377" s="348">
        <f>F378</f>
        <v>350</v>
      </c>
      <c r="G377" s="348">
        <f>G378</f>
        <v>50</v>
      </c>
      <c r="H377" s="348">
        <f>H378</f>
        <v>50</v>
      </c>
    </row>
    <row r="378" spans="1:15" ht="48" customHeight="1">
      <c r="A378" s="77" t="s">
        <v>613</v>
      </c>
      <c r="B378" s="43" t="s">
        <v>620</v>
      </c>
      <c r="C378" s="43" t="s">
        <v>105</v>
      </c>
      <c r="D378" s="43" t="s">
        <v>15</v>
      </c>
      <c r="E378" s="43" t="s">
        <v>614</v>
      </c>
      <c r="F378" s="4">
        <f>'5'!D286</f>
        <v>350</v>
      </c>
      <c r="G378" s="4">
        <f>'5'!E286</f>
        <v>50</v>
      </c>
      <c r="H378" s="4">
        <f>'5'!F286</f>
        <v>50</v>
      </c>
    </row>
    <row r="379" spans="1:15" ht="47.25" hidden="1" customHeight="1">
      <c r="A379" s="74" t="s">
        <v>661</v>
      </c>
      <c r="B379" s="43" t="s">
        <v>620</v>
      </c>
      <c r="C379" s="43" t="s">
        <v>105</v>
      </c>
      <c r="D379" s="43" t="s">
        <v>15</v>
      </c>
      <c r="E379" s="37" t="s">
        <v>662</v>
      </c>
      <c r="F379" s="38">
        <f>F380</f>
        <v>0</v>
      </c>
      <c r="G379" s="38">
        <f>G380</f>
        <v>0</v>
      </c>
      <c r="H379" s="38">
        <f>H380</f>
        <v>0</v>
      </c>
    </row>
    <row r="380" spans="1:15" ht="15.75" hidden="1" customHeight="1">
      <c r="A380" s="74" t="s">
        <v>663</v>
      </c>
      <c r="B380" s="43" t="s">
        <v>620</v>
      </c>
      <c r="C380" s="43" t="s">
        <v>105</v>
      </c>
      <c r="D380" s="43" t="s">
        <v>15</v>
      </c>
      <c r="E380" s="37" t="s">
        <v>664</v>
      </c>
      <c r="F380" s="38"/>
      <c r="G380" s="38"/>
      <c r="H380" s="38"/>
    </row>
    <row r="381" spans="1:15" ht="66" customHeight="1">
      <c r="A381" s="74" t="s">
        <v>1124</v>
      </c>
      <c r="B381" s="43" t="s">
        <v>620</v>
      </c>
      <c r="C381" s="43" t="s">
        <v>105</v>
      </c>
      <c r="D381" s="43" t="s">
        <v>1123</v>
      </c>
      <c r="E381" s="37" t="s">
        <v>198</v>
      </c>
      <c r="F381" s="38">
        <f>F382</f>
        <v>4610</v>
      </c>
      <c r="G381" s="38">
        <f t="shared" ref="G381:H381" si="100">G382</f>
        <v>0</v>
      </c>
      <c r="H381" s="38">
        <f t="shared" si="100"/>
        <v>0</v>
      </c>
    </row>
    <row r="382" spans="1:15" ht="36.75" customHeight="1">
      <c r="A382" s="77" t="s">
        <v>611</v>
      </c>
      <c r="B382" s="43" t="s">
        <v>620</v>
      </c>
      <c r="C382" s="43" t="s">
        <v>105</v>
      </c>
      <c r="D382" s="43" t="s">
        <v>1123</v>
      </c>
      <c r="E382" s="37" t="s">
        <v>612</v>
      </c>
      <c r="F382" s="38">
        <f>F383</f>
        <v>4610</v>
      </c>
      <c r="G382" s="38">
        <f t="shared" ref="G382:H382" si="101">G383</f>
        <v>0</v>
      </c>
      <c r="H382" s="38">
        <f t="shared" si="101"/>
        <v>0</v>
      </c>
    </row>
    <row r="383" spans="1:15" ht="51.75" customHeight="1">
      <c r="A383" s="77" t="s">
        <v>613</v>
      </c>
      <c r="B383" s="43" t="s">
        <v>620</v>
      </c>
      <c r="C383" s="43" t="s">
        <v>105</v>
      </c>
      <c r="D383" s="43" t="s">
        <v>1123</v>
      </c>
      <c r="E383" s="37" t="s">
        <v>614</v>
      </c>
      <c r="F383" s="38">
        <f>'5'!D310</f>
        <v>4610</v>
      </c>
      <c r="G383" s="38">
        <f>'5'!E310</f>
        <v>0</v>
      </c>
      <c r="H383" s="38">
        <f>'5'!F310</f>
        <v>0</v>
      </c>
    </row>
    <row r="384" spans="1:15" ht="110.25" hidden="1" customHeight="1">
      <c r="A384" s="76" t="s">
        <v>585</v>
      </c>
      <c r="B384" s="53" t="s">
        <v>620</v>
      </c>
      <c r="C384" s="53" t="s">
        <v>105</v>
      </c>
      <c r="D384" s="53" t="s">
        <v>595</v>
      </c>
      <c r="E384" s="53" t="s">
        <v>198</v>
      </c>
      <c r="F384" s="41">
        <f>F385</f>
        <v>0</v>
      </c>
      <c r="G384" s="41">
        <f t="shared" ref="G384:H385" si="102">G385</f>
        <v>0</v>
      </c>
      <c r="H384" s="41">
        <f t="shared" si="102"/>
        <v>0</v>
      </c>
    </row>
    <row r="385" spans="1:15" ht="31.5" hidden="1" customHeight="1">
      <c r="A385" s="74" t="s">
        <v>611</v>
      </c>
      <c r="B385" s="37" t="s">
        <v>620</v>
      </c>
      <c r="C385" s="37" t="s">
        <v>105</v>
      </c>
      <c r="D385" s="37" t="s">
        <v>595</v>
      </c>
      <c r="E385" s="37" t="s">
        <v>612</v>
      </c>
      <c r="F385" s="348">
        <f>F386</f>
        <v>0</v>
      </c>
      <c r="G385" s="38">
        <f t="shared" si="102"/>
        <v>0</v>
      </c>
      <c r="H385" s="38">
        <f t="shared" si="102"/>
        <v>0</v>
      </c>
    </row>
    <row r="386" spans="1:15" ht="47.25" hidden="1" customHeight="1">
      <c r="A386" s="74" t="s">
        <v>613</v>
      </c>
      <c r="B386" s="37" t="s">
        <v>620</v>
      </c>
      <c r="C386" s="37" t="s">
        <v>105</v>
      </c>
      <c r="D386" s="37" t="s">
        <v>595</v>
      </c>
      <c r="E386" s="37" t="s">
        <v>614</v>
      </c>
      <c r="F386" s="348">
        <f>'5'!D284</f>
        <v>0</v>
      </c>
      <c r="G386" s="38">
        <f>'5'!E284</f>
        <v>0</v>
      </c>
      <c r="H386" s="38">
        <f>'5'!F284</f>
        <v>0</v>
      </c>
    </row>
    <row r="387" spans="1:15" ht="110.25" hidden="1" customHeight="1">
      <c r="A387" s="76" t="s">
        <v>891</v>
      </c>
      <c r="B387" s="2" t="s">
        <v>620</v>
      </c>
      <c r="C387" s="2" t="s">
        <v>105</v>
      </c>
      <c r="D387" s="61" t="s">
        <v>596</v>
      </c>
      <c r="E387" s="53" t="s">
        <v>198</v>
      </c>
      <c r="F387" s="41">
        <f>F388</f>
        <v>0</v>
      </c>
      <c r="G387" s="39">
        <f t="shared" ref="G387:H388" si="103">G388</f>
        <v>0</v>
      </c>
      <c r="H387" s="39">
        <f t="shared" si="103"/>
        <v>0</v>
      </c>
    </row>
    <row r="388" spans="1:15" ht="31.5" hidden="1" customHeight="1">
      <c r="A388" s="74" t="s">
        <v>611</v>
      </c>
      <c r="B388" s="37" t="s">
        <v>620</v>
      </c>
      <c r="C388" s="37" t="s">
        <v>105</v>
      </c>
      <c r="D388" s="47" t="s">
        <v>596</v>
      </c>
      <c r="E388" s="37" t="s">
        <v>612</v>
      </c>
      <c r="F388" s="348">
        <f>F389</f>
        <v>0</v>
      </c>
      <c r="G388" s="38">
        <f t="shared" si="103"/>
        <v>0</v>
      </c>
      <c r="H388" s="38">
        <f t="shared" si="103"/>
        <v>0</v>
      </c>
    </row>
    <row r="389" spans="1:15" ht="47.25" hidden="1" customHeight="1">
      <c r="A389" s="74" t="s">
        <v>613</v>
      </c>
      <c r="B389" s="37" t="s">
        <v>620</v>
      </c>
      <c r="C389" s="37" t="s">
        <v>105</v>
      </c>
      <c r="D389" s="47" t="s">
        <v>596</v>
      </c>
      <c r="E389" s="37" t="s">
        <v>614</v>
      </c>
      <c r="F389" s="348">
        <f>'5'!D285</f>
        <v>0</v>
      </c>
      <c r="G389" s="38">
        <f>'5'!E285</f>
        <v>0</v>
      </c>
      <c r="H389" s="38">
        <f>'5'!F285</f>
        <v>0</v>
      </c>
    </row>
    <row r="390" spans="1:15" ht="34.5" customHeight="1">
      <c r="A390" s="73" t="s">
        <v>711</v>
      </c>
      <c r="B390" s="34" t="s">
        <v>620</v>
      </c>
      <c r="C390" s="34" t="s">
        <v>620</v>
      </c>
      <c r="D390" s="34" t="s">
        <v>601</v>
      </c>
      <c r="E390" s="34" t="s">
        <v>198</v>
      </c>
      <c r="F390" s="35">
        <f>F398</f>
        <v>2.4188999999999998</v>
      </c>
      <c r="G390" s="35">
        <f t="shared" ref="G390:H390" si="104">G398</f>
        <v>2.5156499999999999</v>
      </c>
      <c r="H390" s="35">
        <f t="shared" si="104"/>
        <v>2.6162699999999997</v>
      </c>
    </row>
    <row r="391" spans="1:15" ht="33.75" customHeight="1">
      <c r="A391" s="77" t="s">
        <v>604</v>
      </c>
      <c r="B391" s="43" t="s">
        <v>620</v>
      </c>
      <c r="C391" s="43" t="s">
        <v>620</v>
      </c>
      <c r="D391" s="43" t="s">
        <v>2</v>
      </c>
      <c r="E391" s="43" t="s">
        <v>198</v>
      </c>
      <c r="F391" s="348">
        <f>F398</f>
        <v>2.4188999999999998</v>
      </c>
      <c r="G391" s="348">
        <f>G398</f>
        <v>2.5156499999999999</v>
      </c>
      <c r="H391" s="348">
        <f>H398</f>
        <v>2.6162699999999997</v>
      </c>
      <c r="O391" s="40"/>
    </row>
    <row r="392" spans="1:15" s="40" customFormat="1" ht="47.25" hidden="1" customHeight="1">
      <c r="A392" s="76" t="s">
        <v>104</v>
      </c>
      <c r="B392" s="53" t="s">
        <v>620</v>
      </c>
      <c r="C392" s="53" t="s">
        <v>620</v>
      </c>
      <c r="D392" s="53" t="s">
        <v>5</v>
      </c>
      <c r="E392" s="53" t="s">
        <v>198</v>
      </c>
      <c r="F392" s="41">
        <f>F393</f>
        <v>0</v>
      </c>
      <c r="G392" s="41">
        <f>G393</f>
        <v>0</v>
      </c>
      <c r="H392" s="41">
        <f>H393</f>
        <v>0</v>
      </c>
      <c r="O392" s="24"/>
    </row>
    <row r="393" spans="1:15" ht="47.25" hidden="1" customHeight="1">
      <c r="A393" s="77" t="s">
        <v>712</v>
      </c>
      <c r="B393" s="43" t="s">
        <v>620</v>
      </c>
      <c r="C393" s="43" t="s">
        <v>620</v>
      </c>
      <c r="D393" s="43" t="s">
        <v>5</v>
      </c>
      <c r="E393" s="43" t="s">
        <v>198</v>
      </c>
      <c r="F393" s="348">
        <f>F394+F396</f>
        <v>0</v>
      </c>
      <c r="G393" s="348">
        <f>G394+G396</f>
        <v>0</v>
      </c>
      <c r="H393" s="348">
        <f>H394+H396</f>
        <v>0</v>
      </c>
    </row>
    <row r="394" spans="1:15" ht="94.5" hidden="1" customHeight="1">
      <c r="A394" s="77" t="s">
        <v>605</v>
      </c>
      <c r="B394" s="43" t="s">
        <v>620</v>
      </c>
      <c r="C394" s="43" t="s">
        <v>620</v>
      </c>
      <c r="D394" s="43" t="s">
        <v>5</v>
      </c>
      <c r="E394" s="43" t="s">
        <v>606</v>
      </c>
      <c r="F394" s="348">
        <f>F395</f>
        <v>0</v>
      </c>
      <c r="G394" s="348">
        <f>G395</f>
        <v>0</v>
      </c>
      <c r="H394" s="348">
        <f>H395</f>
        <v>0</v>
      </c>
    </row>
    <row r="395" spans="1:15" ht="31.5" hidden="1" customHeight="1">
      <c r="A395" s="77" t="s">
        <v>607</v>
      </c>
      <c r="B395" s="43" t="s">
        <v>620</v>
      </c>
      <c r="C395" s="43" t="s">
        <v>620</v>
      </c>
      <c r="D395" s="43" t="s">
        <v>5</v>
      </c>
      <c r="E395" s="43" t="s">
        <v>608</v>
      </c>
      <c r="F395" s="348">
        <v>0</v>
      </c>
      <c r="G395" s="348">
        <v>0</v>
      </c>
      <c r="H395" s="348">
        <v>0</v>
      </c>
    </row>
    <row r="396" spans="1:15" ht="31.5" hidden="1" customHeight="1">
      <c r="A396" s="77" t="s">
        <v>611</v>
      </c>
      <c r="B396" s="43" t="s">
        <v>620</v>
      </c>
      <c r="C396" s="43" t="s">
        <v>620</v>
      </c>
      <c r="D396" s="43" t="s">
        <v>5</v>
      </c>
      <c r="E396" s="43" t="s">
        <v>612</v>
      </c>
      <c r="F396" s="348">
        <f>F397</f>
        <v>0</v>
      </c>
      <c r="G396" s="348">
        <f>G397</f>
        <v>0</v>
      </c>
      <c r="H396" s="348">
        <f>H397</f>
        <v>0</v>
      </c>
    </row>
    <row r="397" spans="1:15" ht="47.25" hidden="1" customHeight="1">
      <c r="A397" s="77" t="s">
        <v>613</v>
      </c>
      <c r="B397" s="43" t="s">
        <v>620</v>
      </c>
      <c r="C397" s="43" t="s">
        <v>620</v>
      </c>
      <c r="D397" s="43" t="s">
        <v>5</v>
      </c>
      <c r="E397" s="43" t="s">
        <v>614</v>
      </c>
      <c r="F397" s="348">
        <v>0</v>
      </c>
      <c r="G397" s="348">
        <v>0</v>
      </c>
      <c r="H397" s="348">
        <v>0</v>
      </c>
      <c r="O397" s="40"/>
    </row>
    <row r="398" spans="1:15" s="40" customFormat="1" ht="84" customHeight="1">
      <c r="A398" s="76" t="s">
        <v>713</v>
      </c>
      <c r="B398" s="53" t="s">
        <v>620</v>
      </c>
      <c r="C398" s="53" t="s">
        <v>620</v>
      </c>
      <c r="D398" s="53" t="s">
        <v>16</v>
      </c>
      <c r="E398" s="53" t="s">
        <v>198</v>
      </c>
      <c r="F398" s="41">
        <f>F399+F401</f>
        <v>2.4188999999999998</v>
      </c>
      <c r="G398" s="41">
        <f>G399+G401</f>
        <v>2.5156499999999999</v>
      </c>
      <c r="H398" s="41">
        <f>H399+H401</f>
        <v>2.6162699999999997</v>
      </c>
      <c r="O398" s="24"/>
    </row>
    <row r="399" spans="1:15" ht="95.25" customHeight="1">
      <c r="A399" s="77" t="s">
        <v>714</v>
      </c>
      <c r="B399" s="43" t="s">
        <v>620</v>
      </c>
      <c r="C399" s="43" t="s">
        <v>620</v>
      </c>
      <c r="D399" s="43" t="s">
        <v>16</v>
      </c>
      <c r="E399" s="43" t="s">
        <v>606</v>
      </c>
      <c r="F399" s="348">
        <f>F400</f>
        <v>2.4188999999999998</v>
      </c>
      <c r="G399" s="348">
        <f>G400</f>
        <v>2.5156499999999999</v>
      </c>
      <c r="H399" s="348">
        <f>H400</f>
        <v>2.6162699999999997</v>
      </c>
    </row>
    <row r="400" spans="1:15" ht="34.5" customHeight="1">
      <c r="A400" s="74" t="s">
        <v>607</v>
      </c>
      <c r="B400" s="37" t="s">
        <v>620</v>
      </c>
      <c r="C400" s="37" t="s">
        <v>620</v>
      </c>
      <c r="D400" s="37" t="s">
        <v>16</v>
      </c>
      <c r="E400" s="37" t="s">
        <v>608</v>
      </c>
      <c r="F400" s="348">
        <f>'5'!D324</f>
        <v>2.4188999999999998</v>
      </c>
      <c r="G400" s="348">
        <f>'5'!E324</f>
        <v>2.5156499999999999</v>
      </c>
      <c r="H400" s="348">
        <f>'5'!F324</f>
        <v>2.6162699999999997</v>
      </c>
    </row>
    <row r="401" spans="1:15" ht="31.5" hidden="1" customHeight="1">
      <c r="A401" s="74" t="s">
        <v>611</v>
      </c>
      <c r="B401" s="37" t="s">
        <v>620</v>
      </c>
      <c r="C401" s="37" t="s">
        <v>620</v>
      </c>
      <c r="D401" s="37" t="s">
        <v>16</v>
      </c>
      <c r="E401" s="37" t="s">
        <v>612</v>
      </c>
      <c r="F401" s="38">
        <f>F402</f>
        <v>0</v>
      </c>
      <c r="G401" s="38">
        <f>G402</f>
        <v>0</v>
      </c>
      <c r="H401" s="38">
        <f>H402</f>
        <v>0</v>
      </c>
    </row>
    <row r="402" spans="1:15" ht="47.25" hidden="1" customHeight="1">
      <c r="A402" s="74" t="s">
        <v>613</v>
      </c>
      <c r="B402" s="37" t="s">
        <v>620</v>
      </c>
      <c r="C402" s="37" t="s">
        <v>620</v>
      </c>
      <c r="D402" s="37" t="s">
        <v>16</v>
      </c>
      <c r="E402" s="37" t="s">
        <v>614</v>
      </c>
      <c r="F402" s="38"/>
      <c r="G402" s="38"/>
      <c r="H402" s="38"/>
    </row>
    <row r="403" spans="1:15" ht="25.15" customHeight="1">
      <c r="A403" s="80" t="s">
        <v>715</v>
      </c>
      <c r="B403" s="30" t="s">
        <v>622</v>
      </c>
      <c r="C403" s="30" t="s">
        <v>103</v>
      </c>
      <c r="D403" s="30" t="s">
        <v>601</v>
      </c>
      <c r="E403" s="30" t="s">
        <v>198</v>
      </c>
      <c r="F403" s="31">
        <f>F404</f>
        <v>830</v>
      </c>
      <c r="G403" s="31">
        <f t="shared" ref="G403:H403" si="105">G404</f>
        <v>830</v>
      </c>
      <c r="H403" s="31">
        <f t="shared" si="105"/>
        <v>830</v>
      </c>
      <c r="I403" s="42"/>
      <c r="J403" s="42"/>
      <c r="K403" s="42"/>
    </row>
    <row r="404" spans="1:15" ht="35.25" customHeight="1">
      <c r="A404" s="73" t="s">
        <v>716</v>
      </c>
      <c r="B404" s="34" t="s">
        <v>622</v>
      </c>
      <c r="C404" s="34" t="s">
        <v>620</v>
      </c>
      <c r="D404" s="34" t="s">
        <v>601</v>
      </c>
      <c r="E404" s="34" t="s">
        <v>198</v>
      </c>
      <c r="F404" s="35">
        <f>F407</f>
        <v>830</v>
      </c>
      <c r="G404" s="35">
        <f t="shared" ref="G404:H404" si="106">G407</f>
        <v>830</v>
      </c>
      <c r="H404" s="35">
        <f t="shared" si="106"/>
        <v>830</v>
      </c>
    </row>
    <row r="405" spans="1:15" ht="36.6" customHeight="1">
      <c r="A405" s="77" t="s">
        <v>604</v>
      </c>
      <c r="B405" s="43" t="s">
        <v>622</v>
      </c>
      <c r="C405" s="43" t="s">
        <v>620</v>
      </c>
      <c r="D405" s="43" t="s">
        <v>1</v>
      </c>
      <c r="E405" s="43" t="s">
        <v>198</v>
      </c>
      <c r="F405" s="348">
        <f t="shared" ref="F405:H408" si="107">F406</f>
        <v>830</v>
      </c>
      <c r="G405" s="348">
        <f t="shared" si="107"/>
        <v>830</v>
      </c>
      <c r="H405" s="348">
        <f t="shared" si="107"/>
        <v>830</v>
      </c>
    </row>
    <row r="406" spans="1:15" ht="50.45" customHeight="1">
      <c r="A406" s="77" t="s">
        <v>104</v>
      </c>
      <c r="B406" s="43" t="s">
        <v>622</v>
      </c>
      <c r="C406" s="43" t="s">
        <v>620</v>
      </c>
      <c r="D406" s="43" t="s">
        <v>2</v>
      </c>
      <c r="E406" s="43" t="s">
        <v>198</v>
      </c>
      <c r="F406" s="348">
        <f>F409+F412</f>
        <v>830</v>
      </c>
      <c r="G406" s="348">
        <f t="shared" si="107"/>
        <v>830</v>
      </c>
      <c r="H406" s="348">
        <f t="shared" si="107"/>
        <v>830</v>
      </c>
    </row>
    <row r="407" spans="1:15" ht="35.450000000000003" customHeight="1">
      <c r="A407" s="77" t="s">
        <v>717</v>
      </c>
      <c r="B407" s="43" t="s">
        <v>622</v>
      </c>
      <c r="C407" s="43" t="s">
        <v>620</v>
      </c>
      <c r="D407" s="43" t="s">
        <v>539</v>
      </c>
      <c r="E407" s="43" t="s">
        <v>198</v>
      </c>
      <c r="F407" s="348">
        <f t="shared" si="107"/>
        <v>830</v>
      </c>
      <c r="G407" s="348">
        <f t="shared" si="107"/>
        <v>830</v>
      </c>
      <c r="H407" s="348">
        <f t="shared" si="107"/>
        <v>830</v>
      </c>
    </row>
    <row r="408" spans="1:15" ht="33" customHeight="1">
      <c r="A408" s="77" t="s">
        <v>611</v>
      </c>
      <c r="B408" s="43" t="s">
        <v>622</v>
      </c>
      <c r="C408" s="43" t="s">
        <v>620</v>
      </c>
      <c r="D408" s="43" t="s">
        <v>539</v>
      </c>
      <c r="E408" s="43" t="s">
        <v>612</v>
      </c>
      <c r="F408" s="348">
        <f t="shared" si="107"/>
        <v>830</v>
      </c>
      <c r="G408" s="348">
        <f t="shared" si="107"/>
        <v>830</v>
      </c>
      <c r="H408" s="348">
        <f t="shared" si="107"/>
        <v>830</v>
      </c>
    </row>
    <row r="409" spans="1:15" ht="48.6" customHeight="1">
      <c r="A409" s="77" t="s">
        <v>613</v>
      </c>
      <c r="B409" s="43" t="s">
        <v>622</v>
      </c>
      <c r="C409" s="43" t="s">
        <v>620</v>
      </c>
      <c r="D409" s="43" t="s">
        <v>539</v>
      </c>
      <c r="E409" s="43" t="s">
        <v>614</v>
      </c>
      <c r="F409" s="348">
        <f>'5'!D312</f>
        <v>830</v>
      </c>
      <c r="G409" s="348">
        <f>'5'!E312</f>
        <v>830</v>
      </c>
      <c r="H409" s="348">
        <f>'5'!F312</f>
        <v>830</v>
      </c>
    </row>
    <row r="410" spans="1:15" ht="32.25" hidden="1" customHeight="1">
      <c r="A410" s="125" t="s">
        <v>717</v>
      </c>
      <c r="B410" s="126" t="s">
        <v>622</v>
      </c>
      <c r="C410" s="126" t="s">
        <v>620</v>
      </c>
      <c r="D410" s="126" t="s">
        <v>990</v>
      </c>
      <c r="E410" s="126" t="s">
        <v>198</v>
      </c>
      <c r="F410" s="127">
        <f>F411</f>
        <v>0</v>
      </c>
      <c r="G410" s="127">
        <v>0</v>
      </c>
      <c r="H410" s="127">
        <v>0</v>
      </c>
    </row>
    <row r="411" spans="1:15" ht="18.75" hidden="1" customHeight="1">
      <c r="A411" s="125" t="s">
        <v>674</v>
      </c>
      <c r="B411" s="126" t="s">
        <v>622</v>
      </c>
      <c r="C411" s="126" t="s">
        <v>620</v>
      </c>
      <c r="D411" s="126" t="s">
        <v>990</v>
      </c>
      <c r="E411" s="126" t="s">
        <v>675</v>
      </c>
      <c r="F411" s="127">
        <f>F412</f>
        <v>0</v>
      </c>
      <c r="G411" s="127">
        <v>0</v>
      </c>
      <c r="H411" s="127">
        <v>0</v>
      </c>
    </row>
    <row r="412" spans="1:15" ht="18.75" hidden="1" customHeight="1">
      <c r="A412" s="125" t="s">
        <v>166</v>
      </c>
      <c r="B412" s="126" t="s">
        <v>622</v>
      </c>
      <c r="C412" s="126" t="s">
        <v>620</v>
      </c>
      <c r="D412" s="126" t="s">
        <v>990</v>
      </c>
      <c r="E412" s="126" t="s">
        <v>692</v>
      </c>
      <c r="F412" s="127">
        <v>0</v>
      </c>
      <c r="G412" s="127">
        <v>0</v>
      </c>
      <c r="H412" s="127">
        <v>0</v>
      </c>
      <c r="O412" s="49"/>
    </row>
    <row r="413" spans="1:15" s="49" customFormat="1" ht="20.25" customHeight="1">
      <c r="A413" s="80" t="s">
        <v>718</v>
      </c>
      <c r="B413" s="30" t="s">
        <v>187</v>
      </c>
      <c r="C413" s="30" t="s">
        <v>103</v>
      </c>
      <c r="D413" s="30" t="s">
        <v>601</v>
      </c>
      <c r="E413" s="30" t="s">
        <v>198</v>
      </c>
      <c r="F413" s="31">
        <f>F414+F443+F528+F580+F615</f>
        <v>799823.39401515154</v>
      </c>
      <c r="G413" s="31">
        <f>G414+G443+G528+G580+G615</f>
        <v>707644.12391010101</v>
      </c>
      <c r="H413" s="31">
        <f>H414+H443+H528+H580+H615</f>
        <v>747060.76157166681</v>
      </c>
      <c r="I413" s="331"/>
      <c r="J413" s="331"/>
      <c r="K413" s="331"/>
      <c r="O413" s="24"/>
    </row>
    <row r="414" spans="1:15" ht="18.75" customHeight="1">
      <c r="A414" s="73" t="s">
        <v>719</v>
      </c>
      <c r="B414" s="34" t="s">
        <v>187</v>
      </c>
      <c r="C414" s="34" t="s">
        <v>102</v>
      </c>
      <c r="D414" s="34" t="s">
        <v>601</v>
      </c>
      <c r="E414" s="34" t="s">
        <v>198</v>
      </c>
      <c r="F414" s="35">
        <f>F417+F419+F422+F430+F434</f>
        <v>111107.01920000001</v>
      </c>
      <c r="G414" s="35">
        <f t="shared" ref="G414:H414" si="108">G417+G419+G422+G430+G434</f>
        <v>100376.014</v>
      </c>
      <c r="H414" s="35">
        <f t="shared" si="108"/>
        <v>107158.054</v>
      </c>
      <c r="I414" s="42"/>
      <c r="J414" s="42"/>
      <c r="K414" s="42"/>
      <c r="O414" s="40"/>
    </row>
    <row r="415" spans="1:15" s="40" customFormat="1" ht="49.5" customHeight="1">
      <c r="A415" s="75" t="s">
        <v>658</v>
      </c>
      <c r="B415" s="2" t="s">
        <v>187</v>
      </c>
      <c r="C415" s="2" t="s">
        <v>102</v>
      </c>
      <c r="D415" s="2" t="s">
        <v>18</v>
      </c>
      <c r="E415" s="2" t="s">
        <v>198</v>
      </c>
      <c r="F415" s="39">
        <f>F416</f>
        <v>55365.353199999998</v>
      </c>
      <c r="G415" s="39">
        <f t="shared" ref="G415:H415" si="109">G416</f>
        <v>42129</v>
      </c>
      <c r="H415" s="39">
        <f t="shared" si="109"/>
        <v>44629</v>
      </c>
      <c r="O415" s="24"/>
    </row>
    <row r="416" spans="1:15" ht="48" customHeight="1">
      <c r="A416" s="86" t="s">
        <v>720</v>
      </c>
      <c r="B416" s="43" t="s">
        <v>187</v>
      </c>
      <c r="C416" s="43" t="s">
        <v>102</v>
      </c>
      <c r="D416" s="43" t="s">
        <v>27</v>
      </c>
      <c r="E416" s="43" t="s">
        <v>198</v>
      </c>
      <c r="F416" s="348">
        <f>F417+F419+F422</f>
        <v>55365.353199999998</v>
      </c>
      <c r="G416" s="348">
        <f t="shared" ref="G416:H416" si="110">G417+G419+G422</f>
        <v>42129</v>
      </c>
      <c r="H416" s="348">
        <f t="shared" si="110"/>
        <v>44629</v>
      </c>
    </row>
    <row r="417" spans="1:15" ht="50.25" customHeight="1">
      <c r="A417" s="77" t="s">
        <v>649</v>
      </c>
      <c r="B417" s="43" t="s">
        <v>187</v>
      </c>
      <c r="C417" s="43" t="s">
        <v>102</v>
      </c>
      <c r="D417" s="43" t="s">
        <v>721</v>
      </c>
      <c r="E417" s="43" t="s">
        <v>648</v>
      </c>
      <c r="F417" s="348">
        <f>F418</f>
        <v>250</v>
      </c>
      <c r="G417" s="348">
        <f>G418</f>
        <v>200</v>
      </c>
      <c r="H417" s="348">
        <f>H418</f>
        <v>200</v>
      </c>
    </row>
    <row r="418" spans="1:15" ht="19.5" customHeight="1">
      <c r="A418" s="77" t="s">
        <v>117</v>
      </c>
      <c r="B418" s="43" t="s">
        <v>187</v>
      </c>
      <c r="C418" s="43" t="s">
        <v>102</v>
      </c>
      <c r="D418" s="43" t="s">
        <v>28</v>
      </c>
      <c r="E418" s="43" t="s">
        <v>156</v>
      </c>
      <c r="F418" s="348">
        <f>'5'!D58</f>
        <v>250</v>
      </c>
      <c r="G418" s="348">
        <f>'5'!E58</f>
        <v>200</v>
      </c>
      <c r="H418" s="348">
        <f>'5'!F58</f>
        <v>200</v>
      </c>
    </row>
    <row r="419" spans="1:15" ht="111" customHeight="1">
      <c r="A419" s="77" t="s">
        <v>722</v>
      </c>
      <c r="B419" s="43" t="s">
        <v>187</v>
      </c>
      <c r="C419" s="43" t="s">
        <v>102</v>
      </c>
      <c r="D419" s="43" t="s">
        <v>721</v>
      </c>
      <c r="E419" s="43" t="s">
        <v>198</v>
      </c>
      <c r="F419" s="348">
        <f t="shared" ref="F419:H420" si="111">F420</f>
        <v>54877.353199999998</v>
      </c>
      <c r="G419" s="348">
        <f t="shared" si="111"/>
        <v>41929</v>
      </c>
      <c r="H419" s="348">
        <f t="shared" si="111"/>
        <v>44429</v>
      </c>
    </row>
    <row r="420" spans="1:15" ht="48" customHeight="1">
      <c r="A420" s="77" t="s">
        <v>649</v>
      </c>
      <c r="B420" s="43" t="s">
        <v>187</v>
      </c>
      <c r="C420" s="43" t="s">
        <v>102</v>
      </c>
      <c r="D420" s="43" t="s">
        <v>29</v>
      </c>
      <c r="E420" s="43" t="s">
        <v>648</v>
      </c>
      <c r="F420" s="348">
        <f t="shared" si="111"/>
        <v>54877.353199999998</v>
      </c>
      <c r="G420" s="348">
        <f t="shared" si="111"/>
        <v>41929</v>
      </c>
      <c r="H420" s="348">
        <f t="shared" si="111"/>
        <v>44429</v>
      </c>
    </row>
    <row r="421" spans="1:15" ht="15.75" customHeight="1">
      <c r="A421" s="77" t="s">
        <v>117</v>
      </c>
      <c r="B421" s="43" t="s">
        <v>187</v>
      </c>
      <c r="C421" s="43" t="s">
        <v>102</v>
      </c>
      <c r="D421" s="43" t="s">
        <v>29</v>
      </c>
      <c r="E421" s="43" t="s">
        <v>156</v>
      </c>
      <c r="F421" s="348">
        <f>'5'!D66+'5'!D67</f>
        <v>54877.353199999998</v>
      </c>
      <c r="G421" s="348">
        <f>'5'!E66+'5'!E67</f>
        <v>41929</v>
      </c>
      <c r="H421" s="348">
        <f>'5'!F66+'5'!F67</f>
        <v>44429</v>
      </c>
    </row>
    <row r="422" spans="1:15" ht="49.9" customHeight="1">
      <c r="A422" s="77" t="s">
        <v>723</v>
      </c>
      <c r="B422" s="43" t="s">
        <v>187</v>
      </c>
      <c r="C422" s="43" t="s">
        <v>102</v>
      </c>
      <c r="D422" s="43" t="s">
        <v>400</v>
      </c>
      <c r="E422" s="43" t="s">
        <v>198</v>
      </c>
      <c r="F422" s="348">
        <f t="shared" ref="F422:H423" si="112">F423</f>
        <v>238</v>
      </c>
      <c r="G422" s="348">
        <f t="shared" si="112"/>
        <v>0</v>
      </c>
      <c r="H422" s="348">
        <f t="shared" si="112"/>
        <v>0</v>
      </c>
    </row>
    <row r="423" spans="1:15" ht="52.9" customHeight="1">
      <c r="A423" s="77" t="s">
        <v>649</v>
      </c>
      <c r="B423" s="43" t="s">
        <v>187</v>
      </c>
      <c r="C423" s="43" t="s">
        <v>102</v>
      </c>
      <c r="D423" s="43" t="s">
        <v>400</v>
      </c>
      <c r="E423" s="43" t="s">
        <v>648</v>
      </c>
      <c r="F423" s="348">
        <f t="shared" si="112"/>
        <v>238</v>
      </c>
      <c r="G423" s="348">
        <f t="shared" si="112"/>
        <v>0</v>
      </c>
      <c r="H423" s="348">
        <f t="shared" si="112"/>
        <v>0</v>
      </c>
    </row>
    <row r="424" spans="1:15" ht="24.6" customHeight="1">
      <c r="A424" s="77" t="s">
        <v>110</v>
      </c>
      <c r="B424" s="43" t="s">
        <v>187</v>
      </c>
      <c r="C424" s="43" t="s">
        <v>102</v>
      </c>
      <c r="D424" s="43" t="s">
        <v>400</v>
      </c>
      <c r="E424" s="43" t="s">
        <v>156</v>
      </c>
      <c r="F424" s="348">
        <f>'5'!D60</f>
        <v>238</v>
      </c>
      <c r="G424" s="348">
        <f>'5'!E60</f>
        <v>0</v>
      </c>
      <c r="H424" s="348">
        <f>'5'!F60</f>
        <v>0</v>
      </c>
    </row>
    <row r="425" spans="1:15" ht="31.5" hidden="1" customHeight="1">
      <c r="A425" s="153" t="s">
        <v>724</v>
      </c>
      <c r="B425" s="150" t="s">
        <v>187</v>
      </c>
      <c r="C425" s="150" t="s">
        <v>102</v>
      </c>
      <c r="D425" s="150" t="s">
        <v>601</v>
      </c>
      <c r="E425" s="150" t="s">
        <v>198</v>
      </c>
      <c r="F425" s="54">
        <f>F426</f>
        <v>0</v>
      </c>
      <c r="G425" s="54">
        <f t="shared" ref="F425:H427" si="113">G426</f>
        <v>0</v>
      </c>
      <c r="H425" s="54">
        <f t="shared" si="113"/>
        <v>0</v>
      </c>
    </row>
    <row r="426" spans="1:15" ht="31.5" hidden="1" customHeight="1">
      <c r="A426" s="77" t="s">
        <v>725</v>
      </c>
      <c r="B426" s="43" t="s">
        <v>187</v>
      </c>
      <c r="C426" s="43" t="s">
        <v>102</v>
      </c>
      <c r="D426" s="43" t="s">
        <v>294</v>
      </c>
      <c r="E426" s="43" t="s">
        <v>198</v>
      </c>
      <c r="F426" s="348">
        <f t="shared" si="113"/>
        <v>0</v>
      </c>
      <c r="G426" s="348">
        <f t="shared" si="113"/>
        <v>0</v>
      </c>
      <c r="H426" s="348">
        <f t="shared" si="113"/>
        <v>0</v>
      </c>
    </row>
    <row r="427" spans="1:15" ht="47.25" hidden="1" customHeight="1">
      <c r="A427" s="77" t="s">
        <v>649</v>
      </c>
      <c r="B427" s="43" t="s">
        <v>187</v>
      </c>
      <c r="C427" s="43" t="s">
        <v>102</v>
      </c>
      <c r="D427" s="43" t="s">
        <v>294</v>
      </c>
      <c r="E427" s="43" t="s">
        <v>648</v>
      </c>
      <c r="F427" s="348">
        <f t="shared" si="113"/>
        <v>0</v>
      </c>
      <c r="G427" s="348">
        <f t="shared" si="113"/>
        <v>0</v>
      </c>
      <c r="H427" s="348">
        <f t="shared" si="113"/>
        <v>0</v>
      </c>
    </row>
    <row r="428" spans="1:15" ht="15.75" hidden="1" customHeight="1">
      <c r="A428" s="77" t="s">
        <v>117</v>
      </c>
      <c r="B428" s="43" t="s">
        <v>187</v>
      </c>
      <c r="C428" s="43" t="s">
        <v>102</v>
      </c>
      <c r="D428" s="43" t="s">
        <v>294</v>
      </c>
      <c r="E428" s="43" t="s">
        <v>156</v>
      </c>
      <c r="F428" s="348"/>
      <c r="G428" s="348"/>
      <c r="H428" s="348"/>
    </row>
    <row r="429" spans="1:15" ht="46.5" customHeight="1">
      <c r="A429" s="76" t="s">
        <v>658</v>
      </c>
      <c r="B429" s="53" t="s">
        <v>187</v>
      </c>
      <c r="C429" s="53" t="s">
        <v>102</v>
      </c>
      <c r="D429" s="53" t="s">
        <v>18</v>
      </c>
      <c r="E429" s="53" t="s">
        <v>198</v>
      </c>
      <c r="F429" s="41">
        <f>F430</f>
        <v>52741.666000000005</v>
      </c>
      <c r="G429" s="41">
        <f t="shared" ref="G429:H429" si="114">G430</f>
        <v>58247.013999999996</v>
      </c>
      <c r="H429" s="41">
        <f t="shared" si="114"/>
        <v>62529.054000000004</v>
      </c>
    </row>
    <row r="430" spans="1:15" ht="54.75" customHeight="1">
      <c r="A430" s="86" t="s">
        <v>720</v>
      </c>
      <c r="B430" s="43" t="s">
        <v>187</v>
      </c>
      <c r="C430" s="43" t="s">
        <v>102</v>
      </c>
      <c r="D430" s="43" t="s">
        <v>27</v>
      </c>
      <c r="E430" s="43" t="s">
        <v>198</v>
      </c>
      <c r="F430" s="348">
        <f>F431</f>
        <v>52741.666000000005</v>
      </c>
      <c r="G430" s="348">
        <f t="shared" ref="G430:H432" si="115">G431</f>
        <v>58247.013999999996</v>
      </c>
      <c r="H430" s="348">
        <f t="shared" si="115"/>
        <v>62529.054000000004</v>
      </c>
      <c r="O430" s="40"/>
    </row>
    <row r="431" spans="1:15" s="40" customFormat="1" ht="87.75" customHeight="1">
      <c r="A431" s="76" t="s">
        <v>726</v>
      </c>
      <c r="B431" s="53" t="s">
        <v>187</v>
      </c>
      <c r="C431" s="61" t="s">
        <v>102</v>
      </c>
      <c r="D431" s="53" t="s">
        <v>30</v>
      </c>
      <c r="E431" s="53" t="s">
        <v>198</v>
      </c>
      <c r="F431" s="41">
        <f>F432</f>
        <v>52741.666000000005</v>
      </c>
      <c r="G431" s="41">
        <f t="shared" si="115"/>
        <v>58247.013999999996</v>
      </c>
      <c r="H431" s="41">
        <f t="shared" si="115"/>
        <v>62529.054000000004</v>
      </c>
      <c r="O431" s="24"/>
    </row>
    <row r="432" spans="1:15" ht="51" customHeight="1">
      <c r="A432" s="77" t="s">
        <v>649</v>
      </c>
      <c r="B432" s="43" t="s">
        <v>187</v>
      </c>
      <c r="C432" s="43" t="s">
        <v>102</v>
      </c>
      <c r="D432" s="43" t="s">
        <v>30</v>
      </c>
      <c r="E432" s="43" t="s">
        <v>648</v>
      </c>
      <c r="F432" s="348">
        <f>F433</f>
        <v>52741.666000000005</v>
      </c>
      <c r="G432" s="348">
        <f t="shared" si="115"/>
        <v>58247.013999999996</v>
      </c>
      <c r="H432" s="348">
        <f t="shared" si="115"/>
        <v>62529.054000000004</v>
      </c>
    </row>
    <row r="433" spans="1:15" ht="18.75" customHeight="1">
      <c r="A433" s="74" t="s">
        <v>117</v>
      </c>
      <c r="B433" s="37" t="s">
        <v>187</v>
      </c>
      <c r="C433" s="37" t="s">
        <v>102</v>
      </c>
      <c r="D433" s="37" t="s">
        <v>30</v>
      </c>
      <c r="E433" s="37" t="s">
        <v>156</v>
      </c>
      <c r="F433" s="348">
        <f>'5'!D68</f>
        <v>52741.666000000005</v>
      </c>
      <c r="G433" s="348">
        <f>'5'!E68</f>
        <v>58247.013999999996</v>
      </c>
      <c r="H433" s="348">
        <f>'5'!F68</f>
        <v>62529.054000000004</v>
      </c>
    </row>
    <row r="434" spans="1:15" ht="47.25" customHeight="1">
      <c r="A434" s="81" t="s">
        <v>490</v>
      </c>
      <c r="B434" s="59" t="s">
        <v>187</v>
      </c>
      <c r="C434" s="59" t="s">
        <v>603</v>
      </c>
      <c r="D434" s="60" t="s">
        <v>27</v>
      </c>
      <c r="E434" s="59" t="s">
        <v>198</v>
      </c>
      <c r="F434" s="96">
        <f>F435+F438</f>
        <v>3000</v>
      </c>
      <c r="G434" s="96">
        <f>G435+G438</f>
        <v>0</v>
      </c>
      <c r="H434" s="96">
        <f>H435+H438</f>
        <v>0</v>
      </c>
    </row>
    <row r="435" spans="1:15" ht="83.25" customHeight="1">
      <c r="A435" s="77" t="s">
        <v>1100</v>
      </c>
      <c r="B435" s="43" t="s">
        <v>187</v>
      </c>
      <c r="C435" s="43" t="s">
        <v>603</v>
      </c>
      <c r="D435" s="58" t="s">
        <v>1147</v>
      </c>
      <c r="E435" s="43" t="s">
        <v>198</v>
      </c>
      <c r="F435" s="348">
        <f t="shared" ref="F435:H436" si="116">F436</f>
        <v>3000</v>
      </c>
      <c r="G435" s="348">
        <f t="shared" si="116"/>
        <v>0</v>
      </c>
      <c r="H435" s="348">
        <f t="shared" si="116"/>
        <v>0</v>
      </c>
    </row>
    <row r="436" spans="1:15" ht="47.25" customHeight="1">
      <c r="A436" s="77" t="s">
        <v>649</v>
      </c>
      <c r="B436" s="43" t="s">
        <v>187</v>
      </c>
      <c r="C436" s="43" t="s">
        <v>603</v>
      </c>
      <c r="D436" s="58" t="s">
        <v>1147</v>
      </c>
      <c r="E436" s="43" t="s">
        <v>648</v>
      </c>
      <c r="F436" s="348">
        <f t="shared" si="116"/>
        <v>3000</v>
      </c>
      <c r="G436" s="348">
        <f t="shared" si="116"/>
        <v>0</v>
      </c>
      <c r="H436" s="348">
        <f t="shared" si="116"/>
        <v>0</v>
      </c>
    </row>
    <row r="437" spans="1:15" ht="18" customHeight="1">
      <c r="A437" s="77" t="s">
        <v>117</v>
      </c>
      <c r="B437" s="43" t="s">
        <v>187</v>
      </c>
      <c r="C437" s="43" t="s">
        <v>603</v>
      </c>
      <c r="D437" s="58" t="s">
        <v>1147</v>
      </c>
      <c r="E437" s="43" t="s">
        <v>156</v>
      </c>
      <c r="F437" s="348">
        <f>'5'!D62</f>
        <v>3000</v>
      </c>
      <c r="G437" s="348">
        <f>'5'!E62</f>
        <v>0</v>
      </c>
      <c r="H437" s="348">
        <f>'5'!F62</f>
        <v>0</v>
      </c>
    </row>
    <row r="438" spans="1:15" ht="31.5" hidden="1" customHeight="1">
      <c r="A438" s="74" t="s">
        <v>604</v>
      </c>
      <c r="B438" s="37" t="s">
        <v>187</v>
      </c>
      <c r="C438" s="37" t="s">
        <v>102</v>
      </c>
      <c r="D438" s="37" t="s">
        <v>1</v>
      </c>
      <c r="E438" s="37" t="s">
        <v>198</v>
      </c>
      <c r="F438" s="38">
        <f t="shared" ref="F438:H441" si="117">F439</f>
        <v>0</v>
      </c>
      <c r="G438" s="38">
        <f t="shared" si="117"/>
        <v>0</v>
      </c>
      <c r="H438" s="38">
        <f t="shared" si="117"/>
        <v>0</v>
      </c>
    </row>
    <row r="439" spans="1:15" ht="47.25" hidden="1" customHeight="1">
      <c r="A439" s="74" t="s">
        <v>104</v>
      </c>
      <c r="B439" s="37" t="s">
        <v>187</v>
      </c>
      <c r="C439" s="37" t="s">
        <v>102</v>
      </c>
      <c r="D439" s="37" t="s">
        <v>2</v>
      </c>
      <c r="E439" s="37" t="s">
        <v>198</v>
      </c>
      <c r="F439" s="38">
        <f t="shared" si="117"/>
        <v>0</v>
      </c>
      <c r="G439" s="38">
        <f t="shared" si="117"/>
        <v>0</v>
      </c>
      <c r="H439" s="38">
        <f t="shared" si="117"/>
        <v>0</v>
      </c>
    </row>
    <row r="440" spans="1:15" ht="31.5" hidden="1" customHeight="1">
      <c r="A440" s="79" t="s">
        <v>320</v>
      </c>
      <c r="B440" s="37" t="s">
        <v>187</v>
      </c>
      <c r="C440" s="37" t="s">
        <v>102</v>
      </c>
      <c r="D440" s="37" t="s">
        <v>294</v>
      </c>
      <c r="E440" s="37" t="s">
        <v>198</v>
      </c>
      <c r="F440" s="38">
        <f t="shared" si="117"/>
        <v>0</v>
      </c>
      <c r="G440" s="38">
        <f t="shared" si="117"/>
        <v>0</v>
      </c>
      <c r="H440" s="38">
        <f t="shared" si="117"/>
        <v>0</v>
      </c>
    </row>
    <row r="441" spans="1:15" ht="47.25" hidden="1" customHeight="1">
      <c r="A441" s="74" t="s">
        <v>649</v>
      </c>
      <c r="B441" s="37" t="s">
        <v>187</v>
      </c>
      <c r="C441" s="37" t="s">
        <v>102</v>
      </c>
      <c r="D441" s="37" t="s">
        <v>294</v>
      </c>
      <c r="E441" s="37" t="s">
        <v>648</v>
      </c>
      <c r="F441" s="38">
        <f t="shared" si="117"/>
        <v>0</v>
      </c>
      <c r="G441" s="38">
        <f t="shared" si="117"/>
        <v>0</v>
      </c>
      <c r="H441" s="38">
        <f t="shared" si="117"/>
        <v>0</v>
      </c>
    </row>
    <row r="442" spans="1:15" ht="15.75" hidden="1" customHeight="1">
      <c r="A442" s="74" t="s">
        <v>117</v>
      </c>
      <c r="B442" s="37" t="s">
        <v>187</v>
      </c>
      <c r="C442" s="37" t="s">
        <v>102</v>
      </c>
      <c r="D442" s="37" t="s">
        <v>294</v>
      </c>
      <c r="E442" s="37" t="s">
        <v>156</v>
      </c>
      <c r="F442" s="38"/>
      <c r="G442" s="38"/>
      <c r="H442" s="38"/>
      <c r="O442" s="48"/>
    </row>
    <row r="443" spans="1:15" s="48" customFormat="1" ht="17.25" customHeight="1">
      <c r="A443" s="73" t="s">
        <v>727</v>
      </c>
      <c r="B443" s="34" t="s">
        <v>187</v>
      </c>
      <c r="C443" s="34" t="s">
        <v>603</v>
      </c>
      <c r="D443" s="34" t="s">
        <v>601</v>
      </c>
      <c r="E443" s="34" t="s">
        <v>198</v>
      </c>
      <c r="F443" s="35">
        <f>F446+F449+F455+F483+F486+F505+F508+F511+F517+F514+F464+F471</f>
        <v>499641.93082515144</v>
      </c>
      <c r="G443" s="35">
        <f t="shared" ref="G443:H443" si="118">G446+G449+G455+G483+G486+G505+G508+G511+G517+G514</f>
        <v>465121.95900000003</v>
      </c>
      <c r="H443" s="35">
        <f t="shared" si="118"/>
        <v>491635.57853000006</v>
      </c>
      <c r="O443" s="40"/>
    </row>
    <row r="444" spans="1:15" s="40" customFormat="1" ht="54.75" customHeight="1">
      <c r="A444" s="75" t="s">
        <v>658</v>
      </c>
      <c r="B444" s="2" t="s">
        <v>187</v>
      </c>
      <c r="C444" s="2" t="s">
        <v>603</v>
      </c>
      <c r="D444" s="2" t="s">
        <v>18</v>
      </c>
      <c r="E444" s="2" t="s">
        <v>198</v>
      </c>
      <c r="F444" s="39">
        <f>F445+F482+F517</f>
        <v>189045.70151515151</v>
      </c>
      <c r="G444" s="39">
        <f>G445+G482+G517</f>
        <v>125260.1</v>
      </c>
      <c r="H444" s="39">
        <f>H445+H482+H517</f>
        <v>128841.75</v>
      </c>
      <c r="O444" s="24"/>
    </row>
    <row r="445" spans="1:15" ht="54" customHeight="1">
      <c r="A445" s="86" t="s">
        <v>728</v>
      </c>
      <c r="B445" s="43" t="s">
        <v>187</v>
      </c>
      <c r="C445" s="43" t="s">
        <v>603</v>
      </c>
      <c r="D445" s="43" t="s">
        <v>31</v>
      </c>
      <c r="E445" s="43" t="s">
        <v>198</v>
      </c>
      <c r="F445" s="348">
        <f>F446+F449+F461+F452+F455+F458+F464+F471</f>
        <v>155101.45151515151</v>
      </c>
      <c r="G445" s="348">
        <f t="shared" ref="G445:H445" si="119">G446+G449+G461+G452+G455+G458+G464+G471</f>
        <v>96895</v>
      </c>
      <c r="H445" s="348">
        <f t="shared" si="119"/>
        <v>100945</v>
      </c>
    </row>
    <row r="446" spans="1:15" ht="37.5" customHeight="1">
      <c r="A446" s="77" t="s">
        <v>132</v>
      </c>
      <c r="B446" s="43" t="s">
        <v>187</v>
      </c>
      <c r="C446" s="43" t="s">
        <v>603</v>
      </c>
      <c r="D446" s="43" t="s">
        <v>32</v>
      </c>
      <c r="E446" s="43" t="s">
        <v>198</v>
      </c>
      <c r="F446" s="348">
        <f t="shared" ref="F446:H447" si="120">F447</f>
        <v>9445.7999999999993</v>
      </c>
      <c r="G446" s="348">
        <f t="shared" si="120"/>
        <v>500</v>
      </c>
      <c r="H446" s="348">
        <f t="shared" si="120"/>
        <v>500</v>
      </c>
    </row>
    <row r="447" spans="1:15" ht="50.25" customHeight="1">
      <c r="A447" s="77" t="s">
        <v>649</v>
      </c>
      <c r="B447" s="43" t="s">
        <v>187</v>
      </c>
      <c r="C447" s="43" t="s">
        <v>603</v>
      </c>
      <c r="D447" s="43" t="s">
        <v>33</v>
      </c>
      <c r="E447" s="43" t="s">
        <v>648</v>
      </c>
      <c r="F447" s="348">
        <f t="shared" si="120"/>
        <v>9445.7999999999993</v>
      </c>
      <c r="G447" s="348">
        <f t="shared" si="120"/>
        <v>500</v>
      </c>
      <c r="H447" s="348">
        <f t="shared" si="120"/>
        <v>500</v>
      </c>
    </row>
    <row r="448" spans="1:15" ht="19.899999999999999" customHeight="1">
      <c r="A448" s="77" t="s">
        <v>117</v>
      </c>
      <c r="B448" s="43" t="s">
        <v>187</v>
      </c>
      <c r="C448" s="43" t="s">
        <v>603</v>
      </c>
      <c r="D448" s="43" t="s">
        <v>33</v>
      </c>
      <c r="E448" s="43" t="s">
        <v>156</v>
      </c>
      <c r="F448" s="348">
        <f>'5'!D15</f>
        <v>9445.7999999999993</v>
      </c>
      <c r="G448" s="348">
        <f>'5'!E15</f>
        <v>500</v>
      </c>
      <c r="H448" s="348">
        <f>'5'!F15</f>
        <v>500</v>
      </c>
    </row>
    <row r="449" spans="1:8" ht="99" customHeight="1">
      <c r="A449" s="77" t="s">
        <v>729</v>
      </c>
      <c r="B449" s="43" t="s">
        <v>187</v>
      </c>
      <c r="C449" s="43" t="s">
        <v>603</v>
      </c>
      <c r="D449" s="43" t="s">
        <v>32</v>
      </c>
      <c r="E449" s="43" t="s">
        <v>198</v>
      </c>
      <c r="F449" s="348">
        <f t="shared" ref="F449:H450" si="121">F450</f>
        <v>143018.5</v>
      </c>
      <c r="G449" s="348">
        <f t="shared" si="121"/>
        <v>96395</v>
      </c>
      <c r="H449" s="348">
        <f t="shared" si="121"/>
        <v>100445</v>
      </c>
    </row>
    <row r="450" spans="1:8" ht="53.25" customHeight="1">
      <c r="A450" s="77" t="s">
        <v>649</v>
      </c>
      <c r="B450" s="43" t="s">
        <v>187</v>
      </c>
      <c r="C450" s="43" t="s">
        <v>603</v>
      </c>
      <c r="D450" s="43" t="s">
        <v>34</v>
      </c>
      <c r="E450" s="43" t="s">
        <v>648</v>
      </c>
      <c r="F450" s="348">
        <f t="shared" si="121"/>
        <v>143018.5</v>
      </c>
      <c r="G450" s="348">
        <f t="shared" si="121"/>
        <v>96395</v>
      </c>
      <c r="H450" s="348">
        <f t="shared" si="121"/>
        <v>100445</v>
      </c>
    </row>
    <row r="451" spans="1:8" ht="19.5" customHeight="1">
      <c r="A451" s="77" t="s">
        <v>117</v>
      </c>
      <c r="B451" s="43" t="s">
        <v>187</v>
      </c>
      <c r="C451" s="43" t="s">
        <v>603</v>
      </c>
      <c r="D451" s="43" t="s">
        <v>34</v>
      </c>
      <c r="E451" s="43" t="s">
        <v>156</v>
      </c>
      <c r="F451" s="348">
        <f>'5'!D47+'5'!D48</f>
        <v>143018.5</v>
      </c>
      <c r="G451" s="348">
        <f>'5'!E47</f>
        <v>96395</v>
      </c>
      <c r="H451" s="348">
        <f>'5'!F47</f>
        <v>100445</v>
      </c>
    </row>
    <row r="452" spans="1:8" ht="94.5" hidden="1" customHeight="1">
      <c r="A452" s="77" t="s">
        <v>352</v>
      </c>
      <c r="B452" s="43" t="s">
        <v>187</v>
      </c>
      <c r="C452" s="43" t="s">
        <v>603</v>
      </c>
      <c r="D452" s="43" t="s">
        <v>347</v>
      </c>
      <c r="E452" s="43" t="s">
        <v>198</v>
      </c>
      <c r="F452" s="348">
        <f t="shared" ref="F452:H453" si="122">F453</f>
        <v>0</v>
      </c>
      <c r="G452" s="348">
        <f t="shared" si="122"/>
        <v>0</v>
      </c>
      <c r="H452" s="348">
        <f t="shared" si="122"/>
        <v>0</v>
      </c>
    </row>
    <row r="453" spans="1:8" ht="47.25" hidden="1" customHeight="1">
      <c r="A453" s="77" t="s">
        <v>649</v>
      </c>
      <c r="B453" s="43" t="s">
        <v>187</v>
      </c>
      <c r="C453" s="43" t="s">
        <v>603</v>
      </c>
      <c r="D453" s="43" t="s">
        <v>347</v>
      </c>
      <c r="E453" s="43" t="s">
        <v>648</v>
      </c>
      <c r="F453" s="348">
        <f t="shared" si="122"/>
        <v>0</v>
      </c>
      <c r="G453" s="348">
        <f t="shared" si="122"/>
        <v>0</v>
      </c>
      <c r="H453" s="348">
        <f t="shared" si="122"/>
        <v>0</v>
      </c>
    </row>
    <row r="454" spans="1:8" ht="15.75" hidden="1" customHeight="1">
      <c r="A454" s="77" t="s">
        <v>117</v>
      </c>
      <c r="B454" s="43" t="s">
        <v>187</v>
      </c>
      <c r="C454" s="43" t="s">
        <v>603</v>
      </c>
      <c r="D454" s="43" t="s">
        <v>347</v>
      </c>
      <c r="E454" s="43" t="s">
        <v>156</v>
      </c>
      <c r="F454" s="348"/>
      <c r="G454" s="348"/>
      <c r="H454" s="348"/>
    </row>
    <row r="455" spans="1:8" ht="50.25" customHeight="1">
      <c r="A455" s="77" t="s">
        <v>730</v>
      </c>
      <c r="B455" s="43" t="s">
        <v>187</v>
      </c>
      <c r="C455" s="43" t="s">
        <v>603</v>
      </c>
      <c r="D455" s="43" t="s">
        <v>399</v>
      </c>
      <c r="E455" s="43" t="s">
        <v>198</v>
      </c>
      <c r="F455" s="348">
        <f t="shared" ref="F455:H456" si="123">F456</f>
        <v>1122</v>
      </c>
      <c r="G455" s="348">
        <f t="shared" si="123"/>
        <v>0</v>
      </c>
      <c r="H455" s="348">
        <f t="shared" si="123"/>
        <v>0</v>
      </c>
    </row>
    <row r="456" spans="1:8" ht="49.15" customHeight="1">
      <c r="A456" s="77" t="s">
        <v>649</v>
      </c>
      <c r="B456" s="43" t="s">
        <v>187</v>
      </c>
      <c r="C456" s="43" t="s">
        <v>603</v>
      </c>
      <c r="D456" s="43" t="s">
        <v>399</v>
      </c>
      <c r="E456" s="43" t="s">
        <v>648</v>
      </c>
      <c r="F456" s="348">
        <f t="shared" si="123"/>
        <v>1122</v>
      </c>
      <c r="G456" s="348">
        <f t="shared" si="123"/>
        <v>0</v>
      </c>
      <c r="H456" s="348">
        <f t="shared" si="123"/>
        <v>0</v>
      </c>
    </row>
    <row r="457" spans="1:8" ht="19.5" customHeight="1">
      <c r="A457" s="77" t="s">
        <v>117</v>
      </c>
      <c r="B457" s="43" t="s">
        <v>187</v>
      </c>
      <c r="C457" s="43" t="s">
        <v>603</v>
      </c>
      <c r="D457" s="43" t="s">
        <v>399</v>
      </c>
      <c r="E457" s="43" t="s">
        <v>156</v>
      </c>
      <c r="F457" s="348">
        <f>'5'!D20</f>
        <v>1122</v>
      </c>
      <c r="G457" s="348">
        <f>'5'!E20</f>
        <v>0</v>
      </c>
      <c r="H457" s="348">
        <f>'5'!F20</f>
        <v>0</v>
      </c>
    </row>
    <row r="458" spans="1:8" ht="47.25" hidden="1" customHeight="1">
      <c r="A458" s="76" t="s">
        <v>438</v>
      </c>
      <c r="B458" s="43" t="s">
        <v>187</v>
      </c>
      <c r="C458" s="43" t="s">
        <v>603</v>
      </c>
      <c r="D458" s="43" t="s">
        <v>439</v>
      </c>
      <c r="E458" s="43" t="s">
        <v>198</v>
      </c>
      <c r="F458" s="41">
        <f t="shared" ref="F458:H459" si="124">F459</f>
        <v>0</v>
      </c>
      <c r="G458" s="41">
        <f t="shared" si="124"/>
        <v>0</v>
      </c>
      <c r="H458" s="41">
        <f t="shared" si="124"/>
        <v>0</v>
      </c>
    </row>
    <row r="459" spans="1:8" ht="47.25" hidden="1" customHeight="1">
      <c r="A459" s="77" t="s">
        <v>649</v>
      </c>
      <c r="B459" s="43" t="s">
        <v>187</v>
      </c>
      <c r="C459" s="43" t="s">
        <v>603</v>
      </c>
      <c r="D459" s="43" t="s">
        <v>439</v>
      </c>
      <c r="E459" s="43" t="s">
        <v>648</v>
      </c>
      <c r="F459" s="348">
        <f t="shared" si="124"/>
        <v>0</v>
      </c>
      <c r="G459" s="348">
        <f t="shared" si="124"/>
        <v>0</v>
      </c>
      <c r="H459" s="348">
        <f t="shared" si="124"/>
        <v>0</v>
      </c>
    </row>
    <row r="460" spans="1:8" ht="15.75" hidden="1" customHeight="1">
      <c r="A460" s="77" t="s">
        <v>117</v>
      </c>
      <c r="B460" s="43" t="s">
        <v>187</v>
      </c>
      <c r="C460" s="43" t="s">
        <v>603</v>
      </c>
      <c r="D460" s="43" t="s">
        <v>439</v>
      </c>
      <c r="E460" s="43" t="s">
        <v>156</v>
      </c>
      <c r="F460" s="348"/>
      <c r="G460" s="348"/>
      <c r="H460" s="348"/>
    </row>
    <row r="461" spans="1:8" ht="78.75" hidden="1" customHeight="1">
      <c r="A461" s="77" t="s">
        <v>388</v>
      </c>
      <c r="B461" s="43" t="s">
        <v>187</v>
      </c>
      <c r="C461" s="43" t="s">
        <v>603</v>
      </c>
      <c r="D461" s="58" t="s">
        <v>530</v>
      </c>
      <c r="E461" s="43" t="s">
        <v>198</v>
      </c>
      <c r="F461" s="348">
        <f t="shared" ref="F461:H462" si="125">F462</f>
        <v>0</v>
      </c>
      <c r="G461" s="348">
        <f t="shared" si="125"/>
        <v>0</v>
      </c>
      <c r="H461" s="348">
        <f t="shared" si="125"/>
        <v>0</v>
      </c>
    </row>
    <row r="462" spans="1:8" ht="47.25" hidden="1" customHeight="1">
      <c r="A462" s="77" t="s">
        <v>649</v>
      </c>
      <c r="B462" s="43" t="s">
        <v>187</v>
      </c>
      <c r="C462" s="43" t="s">
        <v>603</v>
      </c>
      <c r="D462" s="58" t="s">
        <v>530</v>
      </c>
      <c r="E462" s="43" t="s">
        <v>648</v>
      </c>
      <c r="F462" s="348">
        <f t="shared" si="125"/>
        <v>0</v>
      </c>
      <c r="G462" s="348">
        <f t="shared" si="125"/>
        <v>0</v>
      </c>
      <c r="H462" s="348">
        <f t="shared" si="125"/>
        <v>0</v>
      </c>
    </row>
    <row r="463" spans="1:8" ht="15.75" hidden="1" customHeight="1">
      <c r="A463" s="77" t="s">
        <v>117</v>
      </c>
      <c r="B463" s="43" t="s">
        <v>187</v>
      </c>
      <c r="C463" s="43" t="s">
        <v>603</v>
      </c>
      <c r="D463" s="58" t="s">
        <v>530</v>
      </c>
      <c r="E463" s="43" t="s">
        <v>156</v>
      </c>
      <c r="F463" s="348">
        <f>'5'!D27</f>
        <v>0</v>
      </c>
      <c r="G463" s="348">
        <f>'5'!E27</f>
        <v>0</v>
      </c>
      <c r="H463" s="348">
        <f>'5'!F27</f>
        <v>0</v>
      </c>
    </row>
    <row r="464" spans="1:8" ht="47.25" hidden="1" customHeight="1">
      <c r="A464" s="81" t="s">
        <v>490</v>
      </c>
      <c r="B464" s="59" t="s">
        <v>187</v>
      </c>
      <c r="C464" s="59" t="s">
        <v>603</v>
      </c>
      <c r="D464" s="60" t="s">
        <v>31</v>
      </c>
      <c r="E464" s="59" t="s">
        <v>198</v>
      </c>
      <c r="F464" s="96">
        <f>F465+F468</f>
        <v>0</v>
      </c>
      <c r="G464" s="96">
        <f>G465+G468</f>
        <v>0</v>
      </c>
      <c r="H464" s="96">
        <f>H465+H468</f>
        <v>0</v>
      </c>
    </row>
    <row r="465" spans="1:15" ht="78.75" hidden="1" customHeight="1">
      <c r="A465" s="77" t="s">
        <v>1100</v>
      </c>
      <c r="B465" s="43" t="s">
        <v>187</v>
      </c>
      <c r="C465" s="43" t="s">
        <v>603</v>
      </c>
      <c r="D465" s="58" t="s">
        <v>1106</v>
      </c>
      <c r="E465" s="43" t="s">
        <v>198</v>
      </c>
      <c r="F465" s="348">
        <f t="shared" ref="F465:H466" si="126">F466</f>
        <v>0</v>
      </c>
      <c r="G465" s="348">
        <f t="shared" si="126"/>
        <v>0</v>
      </c>
      <c r="H465" s="348">
        <f t="shared" si="126"/>
        <v>0</v>
      </c>
    </row>
    <row r="466" spans="1:15" ht="47.25" hidden="1" customHeight="1">
      <c r="A466" s="77" t="s">
        <v>649</v>
      </c>
      <c r="B466" s="43" t="s">
        <v>187</v>
      </c>
      <c r="C466" s="43" t="s">
        <v>603</v>
      </c>
      <c r="D466" s="58" t="s">
        <v>1106</v>
      </c>
      <c r="E466" s="43" t="s">
        <v>648</v>
      </c>
      <c r="F466" s="348">
        <f t="shared" si="126"/>
        <v>0</v>
      </c>
      <c r="G466" s="348">
        <f t="shared" si="126"/>
        <v>0</v>
      </c>
      <c r="H466" s="348">
        <f t="shared" si="126"/>
        <v>0</v>
      </c>
    </row>
    <row r="467" spans="1:15" ht="15.75" hidden="1" customHeight="1">
      <c r="A467" s="77" t="s">
        <v>117</v>
      </c>
      <c r="B467" s="43" t="s">
        <v>187</v>
      </c>
      <c r="C467" s="43" t="s">
        <v>603</v>
      </c>
      <c r="D467" s="58" t="s">
        <v>1106</v>
      </c>
      <c r="E467" s="43" t="s">
        <v>156</v>
      </c>
      <c r="F467" s="348">
        <f>'5'!D31</f>
        <v>0</v>
      </c>
      <c r="G467" s="348">
        <f>'5'!E29</f>
        <v>0</v>
      </c>
      <c r="H467" s="348">
        <f>'5'!F29</f>
        <v>0</v>
      </c>
    </row>
    <row r="468" spans="1:15" ht="63" hidden="1" customHeight="1">
      <c r="A468" s="77" t="s">
        <v>942</v>
      </c>
      <c r="B468" s="43" t="s">
        <v>187</v>
      </c>
      <c r="C468" s="43" t="s">
        <v>603</v>
      </c>
      <c r="D468" s="58" t="s">
        <v>939</v>
      </c>
      <c r="E468" s="43" t="s">
        <v>198</v>
      </c>
      <c r="F468" s="348">
        <f t="shared" ref="F468:H469" si="127">F469</f>
        <v>0</v>
      </c>
      <c r="G468" s="348">
        <f t="shared" si="127"/>
        <v>0</v>
      </c>
      <c r="H468" s="348">
        <f t="shared" si="127"/>
        <v>0</v>
      </c>
    </row>
    <row r="469" spans="1:15" ht="47.25" hidden="1" customHeight="1">
      <c r="A469" s="77" t="s">
        <v>649</v>
      </c>
      <c r="B469" s="43" t="s">
        <v>187</v>
      </c>
      <c r="C469" s="43" t="s">
        <v>603</v>
      </c>
      <c r="D469" s="58" t="s">
        <v>939</v>
      </c>
      <c r="E469" s="43" t="s">
        <v>648</v>
      </c>
      <c r="F469" s="348">
        <f t="shared" si="127"/>
        <v>0</v>
      </c>
      <c r="G469" s="348">
        <f t="shared" si="127"/>
        <v>0</v>
      </c>
      <c r="H469" s="348">
        <f t="shared" si="127"/>
        <v>0</v>
      </c>
    </row>
    <row r="470" spans="1:15" ht="15.75" hidden="1" customHeight="1">
      <c r="A470" s="77" t="s">
        <v>117</v>
      </c>
      <c r="B470" s="43" t="s">
        <v>187</v>
      </c>
      <c r="C470" s="43" t="s">
        <v>603</v>
      </c>
      <c r="D470" s="58" t="s">
        <v>939</v>
      </c>
      <c r="E470" s="43" t="s">
        <v>156</v>
      </c>
      <c r="F470" s="348">
        <f>'5'!D34</f>
        <v>0</v>
      </c>
      <c r="G470" s="348">
        <f>'5'!E30</f>
        <v>0</v>
      </c>
      <c r="H470" s="348">
        <f>'5'!F30</f>
        <v>0</v>
      </c>
      <c r="O470" s="49"/>
    </row>
    <row r="471" spans="1:15" s="49" customFormat="1" ht="47.25" customHeight="1">
      <c r="A471" s="81" t="s">
        <v>929</v>
      </c>
      <c r="B471" s="59" t="s">
        <v>187</v>
      </c>
      <c r="C471" s="59" t="s">
        <v>603</v>
      </c>
      <c r="D471" s="60" t="s">
        <v>31</v>
      </c>
      <c r="E471" s="59" t="s">
        <v>198</v>
      </c>
      <c r="F471" s="96">
        <f>F472+F475</f>
        <v>1515.1515151515152</v>
      </c>
      <c r="G471" s="96">
        <f t="shared" ref="G471:H471" si="128">G472+G475</f>
        <v>0</v>
      </c>
      <c r="H471" s="96">
        <f t="shared" si="128"/>
        <v>0</v>
      </c>
      <c r="O471" s="24"/>
    </row>
    <row r="472" spans="1:15" ht="78.75" customHeight="1">
      <c r="A472" s="77" t="s">
        <v>1104</v>
      </c>
      <c r="B472" s="43" t="s">
        <v>187</v>
      </c>
      <c r="C472" s="43" t="s">
        <v>603</v>
      </c>
      <c r="D472" s="371" t="s">
        <v>1105</v>
      </c>
      <c r="E472" s="43" t="s">
        <v>198</v>
      </c>
      <c r="F472" s="348">
        <f>F473</f>
        <v>1515.1515151515152</v>
      </c>
      <c r="G472" s="348">
        <f t="shared" ref="G472:H472" si="129">G473</f>
        <v>0</v>
      </c>
      <c r="H472" s="348">
        <f t="shared" si="129"/>
        <v>0</v>
      </c>
    </row>
    <row r="473" spans="1:15" ht="47.25" customHeight="1">
      <c r="A473" s="77" t="s">
        <v>649</v>
      </c>
      <c r="B473" s="43" t="s">
        <v>187</v>
      </c>
      <c r="C473" s="43" t="s">
        <v>603</v>
      </c>
      <c r="D473" s="371" t="s">
        <v>1105</v>
      </c>
      <c r="E473" s="43" t="s">
        <v>648</v>
      </c>
      <c r="F473" s="348">
        <f>F474</f>
        <v>1515.1515151515152</v>
      </c>
      <c r="G473" s="348">
        <f>G478</f>
        <v>0</v>
      </c>
      <c r="H473" s="348">
        <f>H478</f>
        <v>0</v>
      </c>
    </row>
    <row r="474" spans="1:15" ht="15.75" customHeight="1">
      <c r="A474" s="77" t="s">
        <v>117</v>
      </c>
      <c r="B474" s="43" t="s">
        <v>187</v>
      </c>
      <c r="C474" s="43" t="s">
        <v>603</v>
      </c>
      <c r="D474" s="371" t="s">
        <v>1105</v>
      </c>
      <c r="E474" s="43" t="s">
        <v>156</v>
      </c>
      <c r="F474" s="348">
        <f>'5'!D40</f>
        <v>1515.1515151515152</v>
      </c>
      <c r="G474" s="348">
        <v>0</v>
      </c>
      <c r="H474" s="348">
        <v>0</v>
      </c>
    </row>
    <row r="475" spans="1:15" ht="78.75" hidden="1" customHeight="1">
      <c r="A475" s="77" t="s">
        <v>941</v>
      </c>
      <c r="B475" s="43" t="s">
        <v>187</v>
      </c>
      <c r="C475" s="43" t="s">
        <v>603</v>
      </c>
      <c r="D475" s="371" t="s">
        <v>940</v>
      </c>
      <c r="E475" s="43" t="s">
        <v>198</v>
      </c>
      <c r="F475" s="348">
        <f>F476</f>
        <v>0</v>
      </c>
      <c r="G475" s="348">
        <f t="shared" ref="G475:H476" si="130">G476</f>
        <v>0</v>
      </c>
      <c r="H475" s="348">
        <f t="shared" si="130"/>
        <v>0</v>
      </c>
    </row>
    <row r="476" spans="1:15" ht="47.25" hidden="1" customHeight="1">
      <c r="A476" s="77" t="s">
        <v>649</v>
      </c>
      <c r="B476" s="43" t="s">
        <v>187</v>
      </c>
      <c r="C476" s="43" t="s">
        <v>603</v>
      </c>
      <c r="D476" s="371" t="s">
        <v>940</v>
      </c>
      <c r="E476" s="43" t="s">
        <v>648</v>
      </c>
      <c r="F476" s="348">
        <f>F477</f>
        <v>0</v>
      </c>
      <c r="G476" s="348">
        <f t="shared" si="130"/>
        <v>0</v>
      </c>
      <c r="H476" s="348">
        <f t="shared" si="130"/>
        <v>0</v>
      </c>
    </row>
    <row r="477" spans="1:15" ht="15.75" hidden="1" customHeight="1">
      <c r="A477" s="77" t="s">
        <v>117</v>
      </c>
      <c r="B477" s="43" t="s">
        <v>187</v>
      </c>
      <c r="C477" s="43" t="s">
        <v>603</v>
      </c>
      <c r="D477" s="371" t="s">
        <v>940</v>
      </c>
      <c r="E477" s="43" t="s">
        <v>156</v>
      </c>
      <c r="F477" s="348">
        <f>'5'!D43</f>
        <v>0</v>
      </c>
      <c r="G477" s="348">
        <v>0</v>
      </c>
      <c r="H477" s="348">
        <v>0</v>
      </c>
    </row>
    <row r="478" spans="1:15" ht="15.75" hidden="1" customHeight="1">
      <c r="A478" s="77"/>
      <c r="B478" s="43"/>
      <c r="C478" s="43"/>
      <c r="D478" s="58"/>
      <c r="E478" s="43"/>
      <c r="F478" s="348"/>
      <c r="G478" s="348"/>
      <c r="H478" s="348"/>
    </row>
    <row r="479" spans="1:15" ht="15.75" hidden="1" customHeight="1">
      <c r="A479" s="77"/>
      <c r="B479" s="43"/>
      <c r="C479" s="43"/>
      <c r="D479" s="371"/>
      <c r="E479" s="43"/>
      <c r="F479" s="348"/>
      <c r="G479" s="348"/>
      <c r="H479" s="348"/>
    </row>
    <row r="480" spans="1:15" ht="15.75" hidden="1" customHeight="1">
      <c r="A480" s="77"/>
      <c r="B480" s="43"/>
      <c r="C480" s="43"/>
      <c r="D480" s="371"/>
      <c r="E480" s="43"/>
      <c r="F480" s="348"/>
      <c r="G480" s="348"/>
      <c r="H480" s="348"/>
    </row>
    <row r="481" spans="1:8" ht="15.75" hidden="1" customHeight="1">
      <c r="A481" s="77"/>
      <c r="B481" s="43"/>
      <c r="C481" s="43"/>
      <c r="D481" s="371"/>
      <c r="E481" s="43"/>
      <c r="F481" s="348"/>
      <c r="G481" s="348"/>
      <c r="H481" s="348"/>
    </row>
    <row r="482" spans="1:8" ht="36.6" customHeight="1">
      <c r="A482" s="86" t="s">
        <v>731</v>
      </c>
      <c r="B482" s="43" t="s">
        <v>187</v>
      </c>
      <c r="C482" s="43" t="s">
        <v>603</v>
      </c>
      <c r="D482" s="43" t="s">
        <v>35</v>
      </c>
      <c r="E482" s="43" t="s">
        <v>198</v>
      </c>
      <c r="F482" s="348">
        <f>F483+F486</f>
        <v>6071</v>
      </c>
      <c r="G482" s="348">
        <f>G483+G486</f>
        <v>1800</v>
      </c>
      <c r="H482" s="348">
        <f>H483+H486</f>
        <v>1800</v>
      </c>
    </row>
    <row r="483" spans="1:8" ht="35.25" customHeight="1">
      <c r="A483" s="76" t="s">
        <v>134</v>
      </c>
      <c r="B483" s="43" t="s">
        <v>187</v>
      </c>
      <c r="C483" s="43" t="s">
        <v>603</v>
      </c>
      <c r="D483" s="43" t="s">
        <v>732</v>
      </c>
      <c r="E483" s="43" t="s">
        <v>198</v>
      </c>
      <c r="F483" s="348">
        <f t="shared" ref="F483:H484" si="131">F484</f>
        <v>250</v>
      </c>
      <c r="G483" s="348">
        <f t="shared" si="131"/>
        <v>300</v>
      </c>
      <c r="H483" s="348">
        <f t="shared" si="131"/>
        <v>300</v>
      </c>
    </row>
    <row r="484" spans="1:8" ht="54.75" customHeight="1">
      <c r="A484" s="77" t="s">
        <v>649</v>
      </c>
      <c r="B484" s="43" t="s">
        <v>187</v>
      </c>
      <c r="C484" s="43" t="s">
        <v>603</v>
      </c>
      <c r="D484" s="43" t="s">
        <v>36</v>
      </c>
      <c r="E484" s="43" t="s">
        <v>648</v>
      </c>
      <c r="F484" s="348">
        <f t="shared" si="131"/>
        <v>250</v>
      </c>
      <c r="G484" s="348">
        <f t="shared" si="131"/>
        <v>300</v>
      </c>
      <c r="H484" s="348">
        <f t="shared" si="131"/>
        <v>300</v>
      </c>
    </row>
    <row r="485" spans="1:8" ht="15.75" customHeight="1">
      <c r="A485" s="77" t="s">
        <v>117</v>
      </c>
      <c r="B485" s="43" t="s">
        <v>187</v>
      </c>
      <c r="C485" s="43" t="s">
        <v>603</v>
      </c>
      <c r="D485" s="43" t="s">
        <v>36</v>
      </c>
      <c r="E485" s="43" t="s">
        <v>156</v>
      </c>
      <c r="F485" s="348">
        <f>'5'!D71</f>
        <v>250</v>
      </c>
      <c r="G485" s="348">
        <f>'5'!E71</f>
        <v>300</v>
      </c>
      <c r="H485" s="348">
        <f>'5'!F71</f>
        <v>300</v>
      </c>
    </row>
    <row r="486" spans="1:8" ht="33.75" customHeight="1">
      <c r="A486" s="76" t="s">
        <v>133</v>
      </c>
      <c r="B486" s="43" t="s">
        <v>187</v>
      </c>
      <c r="C486" s="43" t="s">
        <v>603</v>
      </c>
      <c r="D486" s="43" t="s">
        <v>732</v>
      </c>
      <c r="E486" s="43" t="s">
        <v>198</v>
      </c>
      <c r="F486" s="348">
        <f t="shared" ref="F486:H487" si="132">F487</f>
        <v>5821</v>
      </c>
      <c r="G486" s="348">
        <f t="shared" si="132"/>
        <v>1500</v>
      </c>
      <c r="H486" s="348">
        <f t="shared" si="132"/>
        <v>1500</v>
      </c>
    </row>
    <row r="487" spans="1:8" ht="50.25" customHeight="1">
      <c r="A487" s="77" t="s">
        <v>649</v>
      </c>
      <c r="B487" s="43" t="s">
        <v>187</v>
      </c>
      <c r="C487" s="43" t="s">
        <v>603</v>
      </c>
      <c r="D487" s="43" t="s">
        <v>37</v>
      </c>
      <c r="E487" s="43" t="s">
        <v>648</v>
      </c>
      <c r="F487" s="348">
        <f t="shared" si="132"/>
        <v>5821</v>
      </c>
      <c r="G487" s="348">
        <f t="shared" si="132"/>
        <v>1500</v>
      </c>
      <c r="H487" s="348">
        <f t="shared" si="132"/>
        <v>1500</v>
      </c>
    </row>
    <row r="488" spans="1:8" ht="21.75" customHeight="1">
      <c r="A488" s="77" t="s">
        <v>117</v>
      </c>
      <c r="B488" s="43" t="s">
        <v>187</v>
      </c>
      <c r="C488" s="43" t="s">
        <v>603</v>
      </c>
      <c r="D488" s="43" t="s">
        <v>37</v>
      </c>
      <c r="E488" s="43" t="s">
        <v>156</v>
      </c>
      <c r="F488" s="348">
        <f>'5'!D72</f>
        <v>5821</v>
      </c>
      <c r="G488" s="348">
        <f>'5'!E72</f>
        <v>1500</v>
      </c>
      <c r="H488" s="348">
        <f>'5'!F72</f>
        <v>1500</v>
      </c>
    </row>
    <row r="489" spans="1:8" ht="31.5" hidden="1" customHeight="1">
      <c r="A489" s="86" t="s">
        <v>733</v>
      </c>
      <c r="B489" s="43" t="s">
        <v>187</v>
      </c>
      <c r="C489" s="43" t="s">
        <v>603</v>
      </c>
      <c r="D489" s="43" t="s">
        <v>38</v>
      </c>
      <c r="E489" s="43" t="s">
        <v>198</v>
      </c>
      <c r="F489" s="348">
        <f t="shared" ref="F489:H490" si="133">F490</f>
        <v>0</v>
      </c>
      <c r="G489" s="348">
        <f t="shared" si="133"/>
        <v>0</v>
      </c>
      <c r="H489" s="348">
        <f t="shared" si="133"/>
        <v>0</v>
      </c>
    </row>
    <row r="490" spans="1:8" ht="31.5" hidden="1" customHeight="1">
      <c r="A490" s="77" t="s">
        <v>734</v>
      </c>
      <c r="B490" s="43" t="s">
        <v>187</v>
      </c>
      <c r="C490" s="43" t="s">
        <v>603</v>
      </c>
      <c r="D490" s="43" t="s">
        <v>735</v>
      </c>
      <c r="E490" s="43" t="s">
        <v>198</v>
      </c>
      <c r="F490" s="348">
        <f t="shared" si="133"/>
        <v>0</v>
      </c>
      <c r="G490" s="348">
        <f t="shared" si="133"/>
        <v>0</v>
      </c>
      <c r="H490" s="348">
        <f t="shared" si="133"/>
        <v>0</v>
      </c>
    </row>
    <row r="491" spans="1:8" ht="47.25" hidden="1" customHeight="1">
      <c r="A491" s="77" t="s">
        <v>649</v>
      </c>
      <c r="B491" s="43" t="s">
        <v>187</v>
      </c>
      <c r="C491" s="43" t="s">
        <v>603</v>
      </c>
      <c r="D491" s="43" t="s">
        <v>735</v>
      </c>
      <c r="E491" s="43" t="s">
        <v>648</v>
      </c>
      <c r="F491" s="348">
        <f>F492+F493+F494+F495</f>
        <v>0</v>
      </c>
      <c r="G491" s="348">
        <f>G492+G493+G494+G495</f>
        <v>0</v>
      </c>
      <c r="H491" s="348">
        <f>H492+H493+H494+H495</f>
        <v>0</v>
      </c>
    </row>
    <row r="492" spans="1:8" ht="31.5" hidden="1" customHeight="1">
      <c r="A492" s="77" t="s">
        <v>736</v>
      </c>
      <c r="B492" s="43" t="s">
        <v>187</v>
      </c>
      <c r="C492" s="43" t="s">
        <v>603</v>
      </c>
      <c r="D492" s="43" t="s">
        <v>39</v>
      </c>
      <c r="E492" s="43" t="s">
        <v>156</v>
      </c>
      <c r="F492" s="348"/>
      <c r="G492" s="348"/>
      <c r="H492" s="348"/>
    </row>
    <row r="493" spans="1:8" ht="31.5" hidden="1">
      <c r="A493" s="77" t="s">
        <v>737</v>
      </c>
      <c r="B493" s="43" t="s">
        <v>187</v>
      </c>
      <c r="C493" s="43" t="s">
        <v>603</v>
      </c>
      <c r="D493" s="43" t="s">
        <v>40</v>
      </c>
      <c r="E493" s="43" t="s">
        <v>156</v>
      </c>
      <c r="F493" s="348"/>
      <c r="G493" s="348"/>
      <c r="H493" s="348"/>
    </row>
    <row r="494" spans="1:8" ht="31.5" hidden="1" customHeight="1">
      <c r="A494" s="77" t="s">
        <v>738</v>
      </c>
      <c r="B494" s="43" t="s">
        <v>187</v>
      </c>
      <c r="C494" s="43" t="s">
        <v>603</v>
      </c>
      <c r="D494" s="43" t="s">
        <v>41</v>
      </c>
      <c r="E494" s="43" t="s">
        <v>156</v>
      </c>
      <c r="F494" s="348"/>
      <c r="G494" s="348"/>
      <c r="H494" s="348"/>
    </row>
    <row r="495" spans="1:8" ht="31.5" hidden="1" customHeight="1">
      <c r="A495" s="77" t="s">
        <v>739</v>
      </c>
      <c r="B495" s="43" t="s">
        <v>187</v>
      </c>
      <c r="C495" s="43" t="s">
        <v>603</v>
      </c>
      <c r="D495" s="43" t="s">
        <v>42</v>
      </c>
      <c r="E495" s="43" t="s">
        <v>156</v>
      </c>
      <c r="F495" s="348"/>
      <c r="G495" s="348"/>
      <c r="H495" s="348"/>
    </row>
    <row r="496" spans="1:8" ht="51.75" customHeight="1">
      <c r="A496" s="76" t="s">
        <v>740</v>
      </c>
      <c r="B496" s="53" t="s">
        <v>187</v>
      </c>
      <c r="C496" s="53" t="s">
        <v>603</v>
      </c>
      <c r="D496" s="53" t="s">
        <v>18</v>
      </c>
      <c r="E496" s="53" t="s">
        <v>198</v>
      </c>
      <c r="F496" s="348">
        <f>F497</f>
        <v>273458.663</v>
      </c>
      <c r="G496" s="348">
        <f t="shared" ref="G496:H497" si="134">G497</f>
        <v>302704.51300000004</v>
      </c>
      <c r="H496" s="348">
        <f t="shared" si="134"/>
        <v>325378.54400000005</v>
      </c>
    </row>
    <row r="497" spans="1:15" ht="57" customHeight="1">
      <c r="A497" s="86" t="s">
        <v>728</v>
      </c>
      <c r="B497" s="43" t="s">
        <v>187</v>
      </c>
      <c r="C497" s="43" t="s">
        <v>603</v>
      </c>
      <c r="D497" s="43" t="s">
        <v>31</v>
      </c>
      <c r="E497" s="43" t="s">
        <v>198</v>
      </c>
      <c r="F497" s="348">
        <f>F498</f>
        <v>273458.663</v>
      </c>
      <c r="G497" s="348">
        <f t="shared" si="134"/>
        <v>302704.51300000004</v>
      </c>
      <c r="H497" s="348">
        <f t="shared" si="134"/>
        <v>325378.54400000005</v>
      </c>
      <c r="O497" s="40"/>
    </row>
    <row r="498" spans="1:15" s="40" customFormat="1" ht="16.5" customHeight="1">
      <c r="A498" s="76" t="s">
        <v>639</v>
      </c>
      <c r="B498" s="53" t="s">
        <v>187</v>
      </c>
      <c r="C498" s="53" t="s">
        <v>603</v>
      </c>
      <c r="D498" s="53" t="s">
        <v>18</v>
      </c>
      <c r="E498" s="53" t="s">
        <v>198</v>
      </c>
      <c r="F498" s="41">
        <f>F499+F502+F505</f>
        <v>273458.663</v>
      </c>
      <c r="G498" s="41">
        <f t="shared" ref="G498:H498" si="135">G499+G502+G505</f>
        <v>302704.51300000004</v>
      </c>
      <c r="H498" s="41">
        <f t="shared" si="135"/>
        <v>325378.54400000005</v>
      </c>
    </row>
    <row r="499" spans="1:15" s="40" customFormat="1" ht="69" hidden="1" customHeight="1">
      <c r="A499" s="76" t="s">
        <v>741</v>
      </c>
      <c r="B499" s="53" t="s">
        <v>187</v>
      </c>
      <c r="C499" s="53" t="s">
        <v>603</v>
      </c>
      <c r="D499" s="53" t="s">
        <v>31</v>
      </c>
      <c r="E499" s="53" t="s">
        <v>198</v>
      </c>
      <c r="F499" s="41">
        <f t="shared" ref="F499:H500" si="136">F500</f>
        <v>0</v>
      </c>
      <c r="G499" s="41">
        <f t="shared" si="136"/>
        <v>0</v>
      </c>
      <c r="H499" s="41">
        <f t="shared" si="136"/>
        <v>0</v>
      </c>
      <c r="O499" s="24"/>
    </row>
    <row r="500" spans="1:15" ht="49.5" hidden="1" customHeight="1">
      <c r="A500" s="77" t="s">
        <v>649</v>
      </c>
      <c r="B500" s="43" t="s">
        <v>187</v>
      </c>
      <c r="C500" s="43" t="s">
        <v>603</v>
      </c>
      <c r="D500" s="43" t="s">
        <v>298</v>
      </c>
      <c r="E500" s="43" t="s">
        <v>648</v>
      </c>
      <c r="F500" s="348">
        <f t="shared" si="136"/>
        <v>0</v>
      </c>
      <c r="G500" s="348">
        <f t="shared" si="136"/>
        <v>0</v>
      </c>
      <c r="H500" s="348">
        <f t="shared" si="136"/>
        <v>0</v>
      </c>
    </row>
    <row r="501" spans="1:15" ht="18" hidden="1" customHeight="1">
      <c r="A501" s="77" t="s">
        <v>117</v>
      </c>
      <c r="B501" s="43" t="s">
        <v>187</v>
      </c>
      <c r="C501" s="43" t="s">
        <v>603</v>
      </c>
      <c r="D501" s="43" t="s">
        <v>298</v>
      </c>
      <c r="E501" s="43" t="s">
        <v>156</v>
      </c>
      <c r="F501" s="348"/>
      <c r="G501" s="348"/>
      <c r="H501" s="348"/>
    </row>
    <row r="502" spans="1:15" ht="84" hidden="1" customHeight="1">
      <c r="A502" s="76" t="s">
        <v>380</v>
      </c>
      <c r="B502" s="53" t="s">
        <v>187</v>
      </c>
      <c r="C502" s="53" t="s">
        <v>603</v>
      </c>
      <c r="D502" s="53" t="s">
        <v>488</v>
      </c>
      <c r="E502" s="53" t="s">
        <v>198</v>
      </c>
      <c r="F502" s="41">
        <f t="shared" ref="F502:H503" si="137">F503</f>
        <v>0</v>
      </c>
      <c r="G502" s="41">
        <f t="shared" si="137"/>
        <v>0</v>
      </c>
      <c r="H502" s="41">
        <f t="shared" si="137"/>
        <v>0</v>
      </c>
    </row>
    <row r="503" spans="1:15" ht="52.5" hidden="1" customHeight="1">
      <c r="A503" s="77" t="s">
        <v>649</v>
      </c>
      <c r="B503" s="43" t="s">
        <v>187</v>
      </c>
      <c r="C503" s="43" t="s">
        <v>603</v>
      </c>
      <c r="D503" s="43" t="s">
        <v>488</v>
      </c>
      <c r="E503" s="43" t="s">
        <v>648</v>
      </c>
      <c r="F503" s="348">
        <f t="shared" si="137"/>
        <v>0</v>
      </c>
      <c r="G503" s="348">
        <f t="shared" si="137"/>
        <v>0</v>
      </c>
      <c r="H503" s="348">
        <f t="shared" si="137"/>
        <v>0</v>
      </c>
    </row>
    <row r="504" spans="1:15" ht="20.25" hidden="1" customHeight="1">
      <c r="A504" s="77" t="s">
        <v>117</v>
      </c>
      <c r="B504" s="43" t="s">
        <v>187</v>
      </c>
      <c r="C504" s="43" t="s">
        <v>603</v>
      </c>
      <c r="D504" s="43" t="s">
        <v>488</v>
      </c>
      <c r="E504" s="43" t="s">
        <v>156</v>
      </c>
      <c r="F504" s="348">
        <f>'5'!D52</f>
        <v>0</v>
      </c>
      <c r="G504" s="348">
        <f>'5'!E52</f>
        <v>0</v>
      </c>
      <c r="H504" s="348">
        <f>'5'!F52</f>
        <v>0</v>
      </c>
      <c r="O504" s="40"/>
    </row>
    <row r="505" spans="1:15" s="40" customFormat="1" ht="87" customHeight="1">
      <c r="A505" s="76" t="s">
        <v>742</v>
      </c>
      <c r="B505" s="53" t="s">
        <v>187</v>
      </c>
      <c r="C505" s="53" t="s">
        <v>603</v>
      </c>
      <c r="D505" s="53" t="s">
        <v>31</v>
      </c>
      <c r="E505" s="53" t="s">
        <v>198</v>
      </c>
      <c r="F505" s="41">
        <f t="shared" ref="F505:H506" si="138">F506</f>
        <v>273458.663</v>
      </c>
      <c r="G505" s="41">
        <f t="shared" si="138"/>
        <v>302704.51300000004</v>
      </c>
      <c r="H505" s="41">
        <f t="shared" si="138"/>
        <v>325378.54400000005</v>
      </c>
      <c r="O505" s="24"/>
    </row>
    <row r="506" spans="1:15" ht="55.5" customHeight="1">
      <c r="A506" s="77" t="s">
        <v>649</v>
      </c>
      <c r="B506" s="43" t="s">
        <v>187</v>
      </c>
      <c r="C506" s="43" t="s">
        <v>603</v>
      </c>
      <c r="D506" s="43" t="s">
        <v>43</v>
      </c>
      <c r="E506" s="43" t="s">
        <v>648</v>
      </c>
      <c r="F506" s="348">
        <f t="shared" si="138"/>
        <v>273458.663</v>
      </c>
      <c r="G506" s="348">
        <f t="shared" si="138"/>
        <v>302704.51300000004</v>
      </c>
      <c r="H506" s="348">
        <f t="shared" si="138"/>
        <v>325378.54400000005</v>
      </c>
    </row>
    <row r="507" spans="1:15" ht="21.75" customHeight="1">
      <c r="A507" s="77" t="s">
        <v>117</v>
      </c>
      <c r="B507" s="43" t="s">
        <v>187</v>
      </c>
      <c r="C507" s="43" t="s">
        <v>603</v>
      </c>
      <c r="D507" s="43" t="s">
        <v>43</v>
      </c>
      <c r="E507" s="43" t="s">
        <v>156</v>
      </c>
      <c r="F507" s="348">
        <f>'5'!D49</f>
        <v>273458.663</v>
      </c>
      <c r="G507" s="348">
        <f>'5'!E49</f>
        <v>302704.51300000004</v>
      </c>
      <c r="H507" s="348">
        <f>'5'!F49</f>
        <v>325378.54400000005</v>
      </c>
    </row>
    <row r="508" spans="1:15" ht="107.25" customHeight="1">
      <c r="A508" s="76" t="s">
        <v>377</v>
      </c>
      <c r="B508" s="53" t="s">
        <v>187</v>
      </c>
      <c r="C508" s="53" t="s">
        <v>603</v>
      </c>
      <c r="D508" s="61" t="s">
        <v>1087</v>
      </c>
      <c r="E508" s="53" t="s">
        <v>198</v>
      </c>
      <c r="F508" s="41">
        <f t="shared" ref="F508:H509" si="139">F509</f>
        <v>35334</v>
      </c>
      <c r="G508" s="41">
        <f t="shared" si="139"/>
        <v>35334</v>
      </c>
      <c r="H508" s="41">
        <f t="shared" si="139"/>
        <v>35568</v>
      </c>
    </row>
    <row r="509" spans="1:15" ht="50.25" customHeight="1">
      <c r="A509" s="77" t="s">
        <v>649</v>
      </c>
      <c r="B509" s="43" t="s">
        <v>187</v>
      </c>
      <c r="C509" s="43" t="s">
        <v>603</v>
      </c>
      <c r="D509" s="61" t="s">
        <v>1087</v>
      </c>
      <c r="E509" s="43" t="s">
        <v>648</v>
      </c>
      <c r="F509" s="348">
        <f t="shared" si="139"/>
        <v>35334</v>
      </c>
      <c r="G509" s="348">
        <f t="shared" si="139"/>
        <v>35334</v>
      </c>
      <c r="H509" s="348">
        <f t="shared" si="139"/>
        <v>35568</v>
      </c>
    </row>
    <row r="510" spans="1:15" ht="21.75" customHeight="1">
      <c r="A510" s="77" t="s">
        <v>117</v>
      </c>
      <c r="B510" s="43" t="s">
        <v>187</v>
      </c>
      <c r="C510" s="43" t="s">
        <v>603</v>
      </c>
      <c r="D510" s="61" t="s">
        <v>1087</v>
      </c>
      <c r="E510" s="43" t="s">
        <v>156</v>
      </c>
      <c r="F510" s="348">
        <f>'5'!D53</f>
        <v>35334</v>
      </c>
      <c r="G510" s="348">
        <f>'5'!E53</f>
        <v>35334</v>
      </c>
      <c r="H510" s="348">
        <f>'5'!F53</f>
        <v>35568</v>
      </c>
    </row>
    <row r="511" spans="1:15" ht="117.75" customHeight="1">
      <c r="A511" s="76" t="s">
        <v>546</v>
      </c>
      <c r="B511" s="53" t="s">
        <v>187</v>
      </c>
      <c r="C511" s="53" t="s">
        <v>603</v>
      </c>
      <c r="D511" s="61" t="s">
        <v>1088</v>
      </c>
      <c r="E511" s="53" t="s">
        <v>198</v>
      </c>
      <c r="F511" s="41">
        <f t="shared" ref="F511:H512" si="140">F512</f>
        <v>1303.5983099999999</v>
      </c>
      <c r="G511" s="41">
        <f t="shared" si="140"/>
        <v>1323.3780000000006</v>
      </c>
      <c r="H511" s="41">
        <f t="shared" si="140"/>
        <v>1347.3165300000005</v>
      </c>
    </row>
    <row r="512" spans="1:15" ht="54" customHeight="1">
      <c r="A512" s="77" t="s">
        <v>649</v>
      </c>
      <c r="B512" s="43" t="s">
        <v>187</v>
      </c>
      <c r="C512" s="43" t="s">
        <v>603</v>
      </c>
      <c r="D512" s="58" t="s">
        <v>1088</v>
      </c>
      <c r="E512" s="43" t="s">
        <v>648</v>
      </c>
      <c r="F512" s="348">
        <f t="shared" si="140"/>
        <v>1303.5983099999999</v>
      </c>
      <c r="G512" s="348">
        <f t="shared" si="140"/>
        <v>1323.3780000000006</v>
      </c>
      <c r="H512" s="348">
        <f t="shared" si="140"/>
        <v>1347.3165300000005</v>
      </c>
    </row>
    <row r="513" spans="1:15" ht="21.75" customHeight="1">
      <c r="A513" s="77" t="s">
        <v>117</v>
      </c>
      <c r="B513" s="43" t="s">
        <v>187</v>
      </c>
      <c r="C513" s="43" t="s">
        <v>603</v>
      </c>
      <c r="D513" s="58" t="s">
        <v>1088</v>
      </c>
      <c r="E513" s="43" t="s">
        <v>156</v>
      </c>
      <c r="F513" s="348">
        <f>'5'!D54</f>
        <v>1303.5983099999999</v>
      </c>
      <c r="G513" s="348">
        <f>'5'!E54</f>
        <v>1323.3780000000006</v>
      </c>
      <c r="H513" s="348">
        <f>'5'!F54</f>
        <v>1347.3165300000005</v>
      </c>
    </row>
    <row r="514" spans="1:15" ht="197.25" customHeight="1">
      <c r="A514" s="76" t="s">
        <v>1057</v>
      </c>
      <c r="B514" s="53" t="s">
        <v>187</v>
      </c>
      <c r="C514" s="53" t="s">
        <v>603</v>
      </c>
      <c r="D514" s="61" t="s">
        <v>1089</v>
      </c>
      <c r="E514" s="53" t="s">
        <v>198</v>
      </c>
      <c r="F514" s="41">
        <f>F515</f>
        <v>499.96800000000002</v>
      </c>
      <c r="G514" s="41">
        <f t="shared" ref="G514:H514" si="141">G515</f>
        <v>499.96800000000002</v>
      </c>
      <c r="H514" s="41">
        <f t="shared" si="141"/>
        <v>499.96800000000002</v>
      </c>
    </row>
    <row r="515" spans="1:15" ht="53.25" customHeight="1">
      <c r="A515" s="77" t="s">
        <v>649</v>
      </c>
      <c r="B515" s="43" t="s">
        <v>187</v>
      </c>
      <c r="C515" s="43" t="s">
        <v>603</v>
      </c>
      <c r="D515" s="58" t="s">
        <v>1090</v>
      </c>
      <c r="E515" s="43" t="s">
        <v>648</v>
      </c>
      <c r="F515" s="348">
        <f>F516</f>
        <v>499.96800000000002</v>
      </c>
      <c r="G515" s="348">
        <f t="shared" ref="G515:H515" si="142">G516</f>
        <v>499.96800000000002</v>
      </c>
      <c r="H515" s="348">
        <f t="shared" si="142"/>
        <v>499.96800000000002</v>
      </c>
    </row>
    <row r="516" spans="1:15" ht="21.75" customHeight="1">
      <c r="A516" s="77" t="s">
        <v>117</v>
      </c>
      <c r="B516" s="43" t="s">
        <v>187</v>
      </c>
      <c r="C516" s="43" t="s">
        <v>603</v>
      </c>
      <c r="D516" s="58" t="s">
        <v>1091</v>
      </c>
      <c r="E516" s="43" t="s">
        <v>156</v>
      </c>
      <c r="F516" s="348">
        <f>'5'!D55</f>
        <v>499.96800000000002</v>
      </c>
      <c r="G516" s="348">
        <f>'5'!E55</f>
        <v>499.96800000000002</v>
      </c>
      <c r="H516" s="348">
        <f>'5'!F55</f>
        <v>499.96800000000002</v>
      </c>
    </row>
    <row r="517" spans="1:15" ht="42.75" customHeight="1">
      <c r="A517" s="82" t="s">
        <v>947</v>
      </c>
      <c r="B517" s="71" t="s">
        <v>187</v>
      </c>
      <c r="C517" s="71" t="s">
        <v>603</v>
      </c>
      <c r="D517" s="71" t="s">
        <v>50</v>
      </c>
      <c r="E517" s="71" t="s">
        <v>198</v>
      </c>
      <c r="F517" s="72">
        <f>F520+F523+F526</f>
        <v>27873.25</v>
      </c>
      <c r="G517" s="72">
        <f>G518</f>
        <v>26565.1</v>
      </c>
      <c r="H517" s="72">
        <f>H518</f>
        <v>26096.75</v>
      </c>
    </row>
    <row r="518" spans="1:15" ht="25.9" customHeight="1">
      <c r="A518" s="76" t="s">
        <v>639</v>
      </c>
      <c r="B518" s="53" t="s">
        <v>187</v>
      </c>
      <c r="C518" s="53" t="s">
        <v>603</v>
      </c>
      <c r="D518" s="53" t="s">
        <v>50</v>
      </c>
      <c r="E518" s="53" t="s">
        <v>198</v>
      </c>
      <c r="F518" s="41">
        <f>F519+F522+F525</f>
        <v>27873.25</v>
      </c>
      <c r="G518" s="41">
        <f>G519+G522+G525</f>
        <v>26565.1</v>
      </c>
      <c r="H518" s="41">
        <f>H519+H522+H525</f>
        <v>26096.75</v>
      </c>
      <c r="O518" s="49"/>
    </row>
    <row r="519" spans="1:15" s="49" customFormat="1" ht="71.25" customHeight="1">
      <c r="A519" s="153" t="s">
        <v>741</v>
      </c>
      <c r="B519" s="150" t="s">
        <v>187</v>
      </c>
      <c r="C519" s="150" t="s">
        <v>603</v>
      </c>
      <c r="D519" s="150" t="s">
        <v>18</v>
      </c>
      <c r="E519" s="150" t="s">
        <v>198</v>
      </c>
      <c r="F519" s="54">
        <f t="shared" ref="F519:H520" si="143">F520</f>
        <v>12256.2</v>
      </c>
      <c r="G519" s="54">
        <f t="shared" si="143"/>
        <v>12256.2</v>
      </c>
      <c r="H519" s="54">
        <f t="shared" si="143"/>
        <v>12256.2</v>
      </c>
      <c r="O519" s="24"/>
    </row>
    <row r="520" spans="1:15" ht="52.5" customHeight="1">
      <c r="A520" s="77" t="s">
        <v>649</v>
      </c>
      <c r="B520" s="43" t="s">
        <v>187</v>
      </c>
      <c r="C520" s="43" t="s">
        <v>603</v>
      </c>
      <c r="D520" s="43" t="s">
        <v>958</v>
      </c>
      <c r="E520" s="43" t="s">
        <v>648</v>
      </c>
      <c r="F520" s="348">
        <f t="shared" si="143"/>
        <v>12256.2</v>
      </c>
      <c r="G520" s="348">
        <f t="shared" si="143"/>
        <v>12256.2</v>
      </c>
      <c r="H520" s="348">
        <f t="shared" si="143"/>
        <v>12256.2</v>
      </c>
    </row>
    <row r="521" spans="1:15" ht="25.9" customHeight="1">
      <c r="A521" s="77" t="s">
        <v>117</v>
      </c>
      <c r="B521" s="43" t="s">
        <v>187</v>
      </c>
      <c r="C521" s="43" t="s">
        <v>603</v>
      </c>
      <c r="D521" s="43" t="s">
        <v>958</v>
      </c>
      <c r="E521" s="43" t="s">
        <v>156</v>
      </c>
      <c r="F521" s="348">
        <f>'5'!D106</f>
        <v>12256.2</v>
      </c>
      <c r="G521" s="348">
        <f>'5'!E106</f>
        <v>12256.2</v>
      </c>
      <c r="H521" s="348">
        <f>'5'!F106</f>
        <v>12256.2</v>
      </c>
      <c r="O521" s="49"/>
    </row>
    <row r="522" spans="1:15" s="49" customFormat="1" ht="87" customHeight="1">
      <c r="A522" s="153" t="s">
        <v>380</v>
      </c>
      <c r="B522" s="150" t="s">
        <v>187</v>
      </c>
      <c r="C522" s="150" t="s">
        <v>603</v>
      </c>
      <c r="D522" s="184" t="s">
        <v>968</v>
      </c>
      <c r="E522" s="150" t="s">
        <v>198</v>
      </c>
      <c r="F522" s="54">
        <f t="shared" ref="F522:H523" si="144">F523</f>
        <v>15617.050000000001</v>
      </c>
      <c r="G522" s="54">
        <f t="shared" si="144"/>
        <v>14308.9</v>
      </c>
      <c r="H522" s="54">
        <f t="shared" si="144"/>
        <v>13840.550000000001</v>
      </c>
      <c r="O522" s="24"/>
    </row>
    <row r="523" spans="1:15" ht="56.25" customHeight="1">
      <c r="A523" s="77" t="s">
        <v>649</v>
      </c>
      <c r="B523" s="43" t="s">
        <v>187</v>
      </c>
      <c r="C523" s="43" t="s">
        <v>603</v>
      </c>
      <c r="D523" s="160" t="s">
        <v>968</v>
      </c>
      <c r="E523" s="43" t="s">
        <v>648</v>
      </c>
      <c r="F523" s="348">
        <f t="shared" si="144"/>
        <v>15617.050000000001</v>
      </c>
      <c r="G523" s="348">
        <f t="shared" si="144"/>
        <v>14308.9</v>
      </c>
      <c r="H523" s="348">
        <f t="shared" si="144"/>
        <v>13840.550000000001</v>
      </c>
    </row>
    <row r="524" spans="1:15" ht="23.25" customHeight="1">
      <c r="A524" s="77" t="s">
        <v>117</v>
      </c>
      <c r="B524" s="43" t="s">
        <v>187</v>
      </c>
      <c r="C524" s="43" t="s">
        <v>603</v>
      </c>
      <c r="D524" s="160" t="s">
        <v>968</v>
      </c>
      <c r="E524" s="43" t="s">
        <v>156</v>
      </c>
      <c r="F524" s="348">
        <f>'5'!D107</f>
        <v>15617.050000000001</v>
      </c>
      <c r="G524" s="348">
        <f>'5'!E107</f>
        <v>14308.9</v>
      </c>
      <c r="H524" s="348">
        <f>'5'!F107</f>
        <v>13840.550000000001</v>
      </c>
      <c r="O524" s="48"/>
    </row>
    <row r="525" spans="1:15" s="48" customFormat="1" ht="54" hidden="1" customHeight="1">
      <c r="A525" s="153"/>
      <c r="B525" s="150"/>
      <c r="C525" s="150"/>
      <c r="D525" s="198"/>
      <c r="E525" s="150"/>
      <c r="F525" s="54"/>
      <c r="G525" s="54"/>
      <c r="H525" s="54"/>
      <c r="O525" s="24"/>
    </row>
    <row r="526" spans="1:15" ht="52.5" hidden="1" customHeight="1">
      <c r="A526" s="77"/>
      <c r="B526" s="43"/>
      <c r="C526" s="43"/>
      <c r="D526" s="58"/>
      <c r="E526" s="43"/>
      <c r="F526" s="348"/>
      <c r="G526" s="348"/>
      <c r="H526" s="348"/>
    </row>
    <row r="527" spans="1:15" ht="22.5" hidden="1" customHeight="1">
      <c r="A527" s="77"/>
      <c r="B527" s="43"/>
      <c r="C527" s="43"/>
      <c r="D527" s="58"/>
      <c r="E527" s="43"/>
      <c r="F527" s="348"/>
      <c r="G527" s="348"/>
      <c r="H527" s="348"/>
    </row>
    <row r="528" spans="1:15" ht="20.25" customHeight="1">
      <c r="A528" s="73" t="s">
        <v>743</v>
      </c>
      <c r="B528" s="34" t="s">
        <v>187</v>
      </c>
      <c r="C528" s="34" t="s">
        <v>105</v>
      </c>
      <c r="D528" s="34" t="s">
        <v>601</v>
      </c>
      <c r="E528" s="34" t="s">
        <v>198</v>
      </c>
      <c r="F528" s="35">
        <f>F533+F534+F535+F539+F540+F541+F545+F547+F550+F556+F557+F562+F565+F567+F570</f>
        <v>104637.93862</v>
      </c>
      <c r="G528" s="35">
        <f t="shared" ref="G528:H528" si="145">G533+G534+G535+G539+G540+G541+G545+G547+G550+G556+G557+G562+G565+G567+G570</f>
        <v>68327.059180101016</v>
      </c>
      <c r="H528" s="35">
        <f t="shared" si="145"/>
        <v>72646.365601666679</v>
      </c>
      <c r="O528" s="40"/>
    </row>
    <row r="529" spans="1:15" s="40" customFormat="1" ht="48.75" customHeight="1">
      <c r="A529" s="75" t="s">
        <v>740</v>
      </c>
      <c r="B529" s="2" t="s">
        <v>187</v>
      </c>
      <c r="C529" s="2" t="s">
        <v>105</v>
      </c>
      <c r="D529" s="2" t="s">
        <v>18</v>
      </c>
      <c r="E529" s="2" t="s">
        <v>198</v>
      </c>
      <c r="F529" s="39">
        <f>F530</f>
        <v>75361.849000000002</v>
      </c>
      <c r="G529" s="39">
        <f t="shared" ref="G529:H529" si="146">G530</f>
        <v>41187.385170000009</v>
      </c>
      <c r="H529" s="39">
        <f t="shared" si="146"/>
        <v>39531.399935000009</v>
      </c>
      <c r="O529" s="24"/>
    </row>
    <row r="530" spans="1:15" ht="33.75" customHeight="1">
      <c r="A530" s="79" t="s">
        <v>733</v>
      </c>
      <c r="B530" s="37" t="s">
        <v>187</v>
      </c>
      <c r="C530" s="37" t="s">
        <v>105</v>
      </c>
      <c r="D530" s="37" t="s">
        <v>38</v>
      </c>
      <c r="E530" s="37" t="s">
        <v>198</v>
      </c>
      <c r="F530" s="38">
        <f>F531+F539+F535+F541+F546</f>
        <v>75361.849000000002</v>
      </c>
      <c r="G530" s="38">
        <f>G531+G539+G535+G541</f>
        <v>41187.385170000009</v>
      </c>
      <c r="H530" s="38">
        <f t="shared" ref="H530" si="147">H531+H539+H535+H541</f>
        <v>39531.399935000009</v>
      </c>
    </row>
    <row r="531" spans="1:15" ht="30" customHeight="1">
      <c r="A531" s="77" t="s">
        <v>734</v>
      </c>
      <c r="B531" s="43" t="s">
        <v>187</v>
      </c>
      <c r="C531" s="43" t="s">
        <v>105</v>
      </c>
      <c r="D531" s="43" t="s">
        <v>735</v>
      </c>
      <c r="E531" s="43" t="s">
        <v>198</v>
      </c>
      <c r="F531" s="348">
        <f>F532</f>
        <v>39658.381000000001</v>
      </c>
      <c r="G531" s="348">
        <f t="shared" ref="G531:H531" si="148">G532</f>
        <v>39149.517170000006</v>
      </c>
      <c r="H531" s="348">
        <f t="shared" si="148"/>
        <v>37493.531935000006</v>
      </c>
    </row>
    <row r="532" spans="1:15" ht="52.5" customHeight="1">
      <c r="A532" s="77" t="s">
        <v>649</v>
      </c>
      <c r="B532" s="43" t="s">
        <v>187</v>
      </c>
      <c r="C532" s="43" t="s">
        <v>105</v>
      </c>
      <c r="D532" s="43" t="s">
        <v>735</v>
      </c>
      <c r="E532" s="43" t="s">
        <v>648</v>
      </c>
      <c r="F532" s="348">
        <f>F533+F534+F540+F545</f>
        <v>39658.381000000001</v>
      </c>
      <c r="G532" s="348">
        <f t="shared" ref="G532:H532" si="149">G533+G534+G540+G545</f>
        <v>39149.517170000006</v>
      </c>
      <c r="H532" s="348">
        <f t="shared" si="149"/>
        <v>37493.531935000006</v>
      </c>
    </row>
    <row r="533" spans="1:15" ht="36" customHeight="1">
      <c r="A533" s="77" t="s">
        <v>411</v>
      </c>
      <c r="B533" s="43" t="s">
        <v>187</v>
      </c>
      <c r="C533" s="43" t="s">
        <v>105</v>
      </c>
      <c r="D533" s="43" t="s">
        <v>412</v>
      </c>
      <c r="E533" s="43" t="s">
        <v>156</v>
      </c>
      <c r="F533" s="348">
        <f>'5'!D76</f>
        <v>35</v>
      </c>
      <c r="G533" s="348">
        <f>'5'!E76</f>
        <v>0</v>
      </c>
      <c r="H533" s="348">
        <f>'5'!F76</f>
        <v>0</v>
      </c>
    </row>
    <row r="534" spans="1:15" ht="35.1" customHeight="1">
      <c r="A534" s="77" t="s">
        <v>478</v>
      </c>
      <c r="B534" s="43" t="s">
        <v>187</v>
      </c>
      <c r="C534" s="43" t="s">
        <v>105</v>
      </c>
      <c r="D534" s="43" t="s">
        <v>39</v>
      </c>
      <c r="E534" s="43" t="s">
        <v>156</v>
      </c>
      <c r="F534" s="348">
        <f>'5'!D79</f>
        <v>15921</v>
      </c>
      <c r="G534" s="348">
        <f>'5'!E79</f>
        <v>14443.21413</v>
      </c>
      <c r="H534" s="348">
        <f>'5'!F79</f>
        <v>14891.176935000001</v>
      </c>
    </row>
    <row r="535" spans="1:15" ht="54.6" customHeight="1">
      <c r="A535" s="77" t="s">
        <v>744</v>
      </c>
      <c r="B535" s="43" t="s">
        <v>187</v>
      </c>
      <c r="C535" s="43" t="s">
        <v>105</v>
      </c>
      <c r="D535" s="43" t="s">
        <v>489</v>
      </c>
      <c r="E535" s="43" t="s">
        <v>198</v>
      </c>
      <c r="F535" s="348">
        <f>F536</f>
        <v>860.76700000000005</v>
      </c>
      <c r="G535" s="348">
        <f t="shared" ref="G535:H535" si="150">G536</f>
        <v>860.76700000000005</v>
      </c>
      <c r="H535" s="348">
        <f t="shared" si="150"/>
        <v>860.76700000000005</v>
      </c>
    </row>
    <row r="536" spans="1:15" ht="51" customHeight="1">
      <c r="A536" s="77" t="s">
        <v>649</v>
      </c>
      <c r="B536" s="43" t="s">
        <v>187</v>
      </c>
      <c r="C536" s="43" t="s">
        <v>105</v>
      </c>
      <c r="D536" s="43" t="s">
        <v>489</v>
      </c>
      <c r="E536" s="43" t="s">
        <v>648</v>
      </c>
      <c r="F536" s="348">
        <f>F537+F538</f>
        <v>860.76700000000005</v>
      </c>
      <c r="G536" s="348">
        <f t="shared" ref="G536:H536" si="151">G537+G538</f>
        <v>860.76700000000005</v>
      </c>
      <c r="H536" s="348">
        <f t="shared" si="151"/>
        <v>860.76700000000005</v>
      </c>
    </row>
    <row r="537" spans="1:15" ht="15.75" hidden="1" customHeight="1">
      <c r="A537" s="77" t="s">
        <v>117</v>
      </c>
      <c r="B537" s="43" t="s">
        <v>187</v>
      </c>
      <c r="C537" s="43" t="s">
        <v>105</v>
      </c>
      <c r="D537" s="43" t="s">
        <v>489</v>
      </c>
      <c r="E537" s="43" t="s">
        <v>156</v>
      </c>
      <c r="F537" s="348"/>
      <c r="G537" s="348"/>
      <c r="H537" s="348"/>
    </row>
    <row r="538" spans="1:15" ht="113.25" customHeight="1">
      <c r="A538" s="77" t="s">
        <v>577</v>
      </c>
      <c r="B538" s="43" t="s">
        <v>187</v>
      </c>
      <c r="C538" s="43" t="s">
        <v>105</v>
      </c>
      <c r="D538" s="43" t="s">
        <v>489</v>
      </c>
      <c r="E538" s="43" t="s">
        <v>156</v>
      </c>
      <c r="F538" s="348">
        <v>860.76700000000005</v>
      </c>
      <c r="G538" s="348">
        <v>860.76700000000005</v>
      </c>
      <c r="H538" s="348">
        <v>860.76700000000005</v>
      </c>
      <c r="I538" s="42"/>
    </row>
    <row r="539" spans="1:15" ht="54" customHeight="1">
      <c r="A539" s="77" t="s">
        <v>470</v>
      </c>
      <c r="B539" s="43" t="s">
        <v>187</v>
      </c>
      <c r="C539" s="43" t="s">
        <v>105</v>
      </c>
      <c r="D539" s="43" t="s">
        <v>401</v>
      </c>
      <c r="E539" s="43" t="s">
        <v>156</v>
      </c>
      <c r="F539" s="348">
        <f>'5'!D78</f>
        <v>160</v>
      </c>
      <c r="G539" s="348">
        <f>'5'!E78</f>
        <v>0</v>
      </c>
      <c r="H539" s="348">
        <f>'5'!F78</f>
        <v>0</v>
      </c>
    </row>
    <row r="540" spans="1:15" ht="35.25" customHeight="1">
      <c r="A540" s="77" t="s">
        <v>420</v>
      </c>
      <c r="B540" s="43" t="s">
        <v>187</v>
      </c>
      <c r="C540" s="43" t="s">
        <v>105</v>
      </c>
      <c r="D540" s="43" t="s">
        <v>40</v>
      </c>
      <c r="E540" s="43" t="s">
        <v>156</v>
      </c>
      <c r="F540" s="348">
        <f>'5'!D80</f>
        <v>22692.381000000001</v>
      </c>
      <c r="G540" s="348">
        <f>'5'!E80</f>
        <v>23412.503040000003</v>
      </c>
      <c r="H540" s="348">
        <f>'5'!F80</f>
        <v>21108.555</v>
      </c>
    </row>
    <row r="541" spans="1:15" ht="63.6" customHeight="1">
      <c r="A541" s="77" t="s">
        <v>745</v>
      </c>
      <c r="B541" s="43" t="s">
        <v>187</v>
      </c>
      <c r="C541" s="43" t="s">
        <v>105</v>
      </c>
      <c r="D541" s="43" t="s">
        <v>489</v>
      </c>
      <c r="E541" s="43" t="s">
        <v>198</v>
      </c>
      <c r="F541" s="348">
        <f>F542</f>
        <v>1177.1010000000001</v>
      </c>
      <c r="G541" s="348">
        <f>G542</f>
        <v>1177.1010000000001</v>
      </c>
      <c r="H541" s="348">
        <f>H542</f>
        <v>1177.1010000000001</v>
      </c>
    </row>
    <row r="542" spans="1:15" ht="51.6" customHeight="1">
      <c r="A542" s="77" t="s">
        <v>649</v>
      </c>
      <c r="B542" s="43" t="s">
        <v>187</v>
      </c>
      <c r="C542" s="43" t="s">
        <v>105</v>
      </c>
      <c r="D542" s="43" t="s">
        <v>489</v>
      </c>
      <c r="E542" s="43" t="s">
        <v>648</v>
      </c>
      <c r="F542" s="348">
        <f>F543+F544</f>
        <v>1177.1010000000001</v>
      </c>
      <c r="G542" s="348">
        <f t="shared" ref="G542:H542" si="152">G543+G544</f>
        <v>1177.1010000000001</v>
      </c>
      <c r="H542" s="348">
        <f t="shared" si="152"/>
        <v>1177.1010000000001</v>
      </c>
    </row>
    <row r="543" spans="1:15" ht="15.75" hidden="1" customHeight="1">
      <c r="A543" s="77" t="s">
        <v>117</v>
      </c>
      <c r="B543" s="43" t="s">
        <v>187</v>
      </c>
      <c r="C543" s="43" t="s">
        <v>105</v>
      </c>
      <c r="D543" s="43" t="s">
        <v>489</v>
      </c>
      <c r="E543" s="43" t="s">
        <v>156</v>
      </c>
      <c r="F543" s="348"/>
      <c r="G543" s="348"/>
      <c r="H543" s="348"/>
    </row>
    <row r="544" spans="1:15" ht="116.25" customHeight="1">
      <c r="A544" s="77" t="s">
        <v>577</v>
      </c>
      <c r="B544" s="43" t="s">
        <v>187</v>
      </c>
      <c r="C544" s="43" t="s">
        <v>105</v>
      </c>
      <c r="D544" s="43" t="s">
        <v>489</v>
      </c>
      <c r="E544" s="43" t="s">
        <v>156</v>
      </c>
      <c r="F544" s="348">
        <v>1177.1010000000001</v>
      </c>
      <c r="G544" s="348">
        <v>1177.1010000000001</v>
      </c>
      <c r="H544" s="348">
        <v>1177.1010000000001</v>
      </c>
    </row>
    <row r="545" spans="1:15" ht="84.75" customHeight="1">
      <c r="A545" s="77" t="s">
        <v>555</v>
      </c>
      <c r="B545" s="43" t="s">
        <v>187</v>
      </c>
      <c r="C545" s="43" t="s">
        <v>105</v>
      </c>
      <c r="D545" s="43" t="s">
        <v>421</v>
      </c>
      <c r="E545" s="43" t="s">
        <v>156</v>
      </c>
      <c r="F545" s="348">
        <f>'5'!D88</f>
        <v>1010</v>
      </c>
      <c r="G545" s="348">
        <f>'5'!E88</f>
        <v>1293.8</v>
      </c>
      <c r="H545" s="348">
        <f>'5'!F88</f>
        <v>1493.8</v>
      </c>
    </row>
    <row r="546" spans="1:15" ht="70.5" customHeight="1">
      <c r="A546" s="153" t="s">
        <v>340</v>
      </c>
      <c r="B546" s="43" t="s">
        <v>187</v>
      </c>
      <c r="C546" s="43" t="s">
        <v>105</v>
      </c>
      <c r="D546" s="43" t="s">
        <v>601</v>
      </c>
      <c r="E546" s="43" t="s">
        <v>198</v>
      </c>
      <c r="F546" s="54">
        <f>F547+F550</f>
        <v>33505.599999999999</v>
      </c>
      <c r="G546" s="54">
        <f t="shared" ref="G546:H546" si="153">G547+G550</f>
        <v>0</v>
      </c>
      <c r="H546" s="54">
        <f t="shared" si="153"/>
        <v>0</v>
      </c>
    </row>
    <row r="547" spans="1:15" ht="84" customHeight="1">
      <c r="A547" s="77" t="s">
        <v>760</v>
      </c>
      <c r="B547" s="43" t="s">
        <v>187</v>
      </c>
      <c r="C547" s="43" t="s">
        <v>105</v>
      </c>
      <c r="D547" s="43" t="s">
        <v>761</v>
      </c>
      <c r="E547" s="43" t="s">
        <v>198</v>
      </c>
      <c r="F547" s="348">
        <f>F548</f>
        <v>33170.544000000002</v>
      </c>
      <c r="G547" s="348">
        <f t="shared" ref="G547:H548" si="154">G548</f>
        <v>0</v>
      </c>
      <c r="H547" s="348">
        <f t="shared" si="154"/>
        <v>0</v>
      </c>
    </row>
    <row r="548" spans="1:15" ht="53.25" customHeight="1">
      <c r="A548" s="77" t="s">
        <v>649</v>
      </c>
      <c r="B548" s="43" t="s">
        <v>187</v>
      </c>
      <c r="C548" s="43" t="s">
        <v>105</v>
      </c>
      <c r="D548" s="43" t="s">
        <v>761</v>
      </c>
      <c r="E548" s="43" t="s">
        <v>648</v>
      </c>
      <c r="F548" s="348">
        <f>F549</f>
        <v>33170.544000000002</v>
      </c>
      <c r="G548" s="348">
        <f t="shared" si="154"/>
        <v>0</v>
      </c>
      <c r="H548" s="348">
        <f t="shared" si="154"/>
        <v>0</v>
      </c>
    </row>
    <row r="549" spans="1:15" ht="21.75" customHeight="1">
      <c r="A549" s="77" t="s">
        <v>117</v>
      </c>
      <c r="B549" s="43" t="s">
        <v>187</v>
      </c>
      <c r="C549" s="43" t="s">
        <v>105</v>
      </c>
      <c r="D549" s="43" t="s">
        <v>761</v>
      </c>
      <c r="E549" s="43" t="s">
        <v>156</v>
      </c>
      <c r="F549" s="348">
        <f>'5'!D84</f>
        <v>33170.544000000002</v>
      </c>
      <c r="G549" s="348">
        <f>'5'!E84</f>
        <v>0</v>
      </c>
      <c r="H549" s="348">
        <f>'5'!F84</f>
        <v>0</v>
      </c>
    </row>
    <row r="550" spans="1:15" ht="117" customHeight="1">
      <c r="A550" s="76" t="s">
        <v>1040</v>
      </c>
      <c r="B550" s="53" t="s">
        <v>187</v>
      </c>
      <c r="C550" s="53" t="s">
        <v>105</v>
      </c>
      <c r="D550" s="53" t="s">
        <v>909</v>
      </c>
      <c r="E550" s="53" t="s">
        <v>198</v>
      </c>
      <c r="F550" s="41">
        <f>F551</f>
        <v>335.05599999999998</v>
      </c>
      <c r="G550" s="41">
        <f t="shared" ref="G550:H551" si="155">G551</f>
        <v>0</v>
      </c>
      <c r="H550" s="41">
        <f t="shared" si="155"/>
        <v>0</v>
      </c>
    </row>
    <row r="551" spans="1:15" ht="56.25" customHeight="1">
      <c r="A551" s="77" t="s">
        <v>649</v>
      </c>
      <c r="B551" s="43" t="s">
        <v>187</v>
      </c>
      <c r="C551" s="43" t="s">
        <v>105</v>
      </c>
      <c r="D551" s="43" t="s">
        <v>909</v>
      </c>
      <c r="E551" s="43" t="s">
        <v>648</v>
      </c>
      <c r="F551" s="348">
        <f>F552</f>
        <v>335.05599999999998</v>
      </c>
      <c r="G551" s="348">
        <f t="shared" si="155"/>
        <v>0</v>
      </c>
      <c r="H551" s="348">
        <f t="shared" si="155"/>
        <v>0</v>
      </c>
    </row>
    <row r="552" spans="1:15" ht="20.45" customHeight="1">
      <c r="A552" s="77" t="s">
        <v>117</v>
      </c>
      <c r="B552" s="43" t="s">
        <v>187</v>
      </c>
      <c r="C552" s="43" t="s">
        <v>105</v>
      </c>
      <c r="D552" s="43" t="s">
        <v>909</v>
      </c>
      <c r="E552" s="43" t="s">
        <v>156</v>
      </c>
      <c r="F552" s="348">
        <f>'5'!D85</f>
        <v>335.05599999999998</v>
      </c>
      <c r="G552" s="348">
        <f>'5'!E85</f>
        <v>0</v>
      </c>
      <c r="H552" s="348">
        <f>'5'!F85</f>
        <v>0</v>
      </c>
      <c r="O552" s="40"/>
    </row>
    <row r="553" spans="1:15" s="40" customFormat="1" ht="55.15" customHeight="1">
      <c r="A553" s="76" t="s">
        <v>509</v>
      </c>
      <c r="B553" s="53" t="s">
        <v>187</v>
      </c>
      <c r="C553" s="53" t="s">
        <v>105</v>
      </c>
      <c r="D553" s="53" t="s">
        <v>54</v>
      </c>
      <c r="E553" s="53" t="s">
        <v>198</v>
      </c>
      <c r="F553" s="41">
        <f>F555+F561+F566</f>
        <v>29276.089619999999</v>
      </c>
      <c r="G553" s="41">
        <f t="shared" ref="G553:H553" si="156">G555+G561+G566</f>
        <v>27139.674010101011</v>
      </c>
      <c r="H553" s="41">
        <f t="shared" si="156"/>
        <v>33114.965666666663</v>
      </c>
    </row>
    <row r="554" spans="1:15" s="40" customFormat="1" ht="52.9" customHeight="1">
      <c r="A554" s="76" t="s">
        <v>447</v>
      </c>
      <c r="B554" s="53" t="s">
        <v>187</v>
      </c>
      <c r="C554" s="53" t="s">
        <v>105</v>
      </c>
      <c r="D554" s="53" t="s">
        <v>54</v>
      </c>
      <c r="E554" s="53" t="s">
        <v>198</v>
      </c>
      <c r="F554" s="41">
        <f>F555</f>
        <v>25210</v>
      </c>
      <c r="G554" s="41">
        <f>G555</f>
        <v>26129.573</v>
      </c>
      <c r="H554" s="41">
        <f>H555</f>
        <v>25924.976999999999</v>
      </c>
      <c r="O554" s="24"/>
    </row>
    <row r="555" spans="1:15" ht="25.15" customHeight="1">
      <c r="A555" s="77" t="s">
        <v>110</v>
      </c>
      <c r="B555" s="43" t="s">
        <v>187</v>
      </c>
      <c r="C555" s="43" t="s">
        <v>105</v>
      </c>
      <c r="D555" s="43" t="s">
        <v>54</v>
      </c>
      <c r="E555" s="43" t="s">
        <v>648</v>
      </c>
      <c r="F555" s="348">
        <f>F556+F557</f>
        <v>25210</v>
      </c>
      <c r="G555" s="348">
        <f>G556+G557</f>
        <v>26129.573</v>
      </c>
      <c r="H555" s="348">
        <f>H556+H557</f>
        <v>25924.976999999999</v>
      </c>
    </row>
    <row r="556" spans="1:15" ht="51" customHeight="1">
      <c r="A556" s="153" t="s">
        <v>462</v>
      </c>
      <c r="B556" s="150" t="s">
        <v>187</v>
      </c>
      <c r="C556" s="150" t="s">
        <v>105</v>
      </c>
      <c r="D556" s="150" t="s">
        <v>448</v>
      </c>
      <c r="E556" s="150" t="s">
        <v>156</v>
      </c>
      <c r="F556" s="54">
        <f>'5'!D192</f>
        <v>17820</v>
      </c>
      <c r="G556" s="54">
        <f>'5'!E192</f>
        <v>17917.303</v>
      </c>
      <c r="H556" s="54">
        <f>'5'!F192</f>
        <v>17141.844000000001</v>
      </c>
    </row>
    <row r="557" spans="1:15" ht="54" customHeight="1">
      <c r="A557" s="153" t="s">
        <v>746</v>
      </c>
      <c r="B557" s="150" t="s">
        <v>187</v>
      </c>
      <c r="C557" s="150" t="s">
        <v>105</v>
      </c>
      <c r="D557" s="150" t="s">
        <v>449</v>
      </c>
      <c r="E557" s="150" t="s">
        <v>156</v>
      </c>
      <c r="F557" s="54">
        <f>'5'!D194</f>
        <v>7390</v>
      </c>
      <c r="G557" s="54">
        <f>'5'!E194</f>
        <v>8212.27</v>
      </c>
      <c r="H557" s="54">
        <f>'5'!F194</f>
        <v>8783.1329999999998</v>
      </c>
    </row>
    <row r="558" spans="1:15" ht="47.25" hidden="1" customHeight="1">
      <c r="A558" s="153" t="s">
        <v>411</v>
      </c>
      <c r="B558" s="150" t="s">
        <v>187</v>
      </c>
      <c r="C558" s="150" t="s">
        <v>105</v>
      </c>
      <c r="D558" s="150" t="s">
        <v>575</v>
      </c>
      <c r="E558" s="150" t="s">
        <v>648</v>
      </c>
      <c r="F558" s="54">
        <f>F559</f>
        <v>0</v>
      </c>
      <c r="G558" s="54">
        <f>G559</f>
        <v>0</v>
      </c>
      <c r="H558" s="54">
        <f>H559</f>
        <v>0</v>
      </c>
    </row>
    <row r="559" spans="1:15" ht="47.25" hidden="1" customHeight="1">
      <c r="A559" s="77" t="s">
        <v>574</v>
      </c>
      <c r="B559" s="43" t="s">
        <v>187</v>
      </c>
      <c r="C559" s="43" t="s">
        <v>105</v>
      </c>
      <c r="D559" s="43" t="s">
        <v>575</v>
      </c>
      <c r="E559" s="43" t="s">
        <v>156</v>
      </c>
      <c r="F559" s="88">
        <v>0</v>
      </c>
      <c r="G559" s="348">
        <v>0</v>
      </c>
      <c r="H559" s="348">
        <v>0</v>
      </c>
    </row>
    <row r="560" spans="1:15" ht="15.75" hidden="1" customHeight="1">
      <c r="A560" s="153"/>
      <c r="B560" s="150"/>
      <c r="C560" s="150"/>
      <c r="D560" s="150"/>
      <c r="E560" s="150"/>
      <c r="F560" s="54"/>
      <c r="G560" s="54"/>
      <c r="H560" s="54"/>
    </row>
    <row r="561" spans="1:15" ht="86.25" customHeight="1">
      <c r="A561" s="153" t="s">
        <v>309</v>
      </c>
      <c r="B561" s="150" t="s">
        <v>187</v>
      </c>
      <c r="C561" s="150" t="s">
        <v>105</v>
      </c>
      <c r="D561" s="150" t="s">
        <v>601</v>
      </c>
      <c r="E561" s="150" t="s">
        <v>198</v>
      </c>
      <c r="F561" s="54">
        <f>F562+F564</f>
        <v>1010.10101</v>
      </c>
      <c r="G561" s="54">
        <f>G562+G564</f>
        <v>1010.10101010101</v>
      </c>
      <c r="H561" s="54">
        <f>H562+H564</f>
        <v>1010.10101010101</v>
      </c>
    </row>
    <row r="562" spans="1:15" ht="99.75" customHeight="1">
      <c r="A562" s="77" t="s">
        <v>1041</v>
      </c>
      <c r="B562" s="43" t="s">
        <v>187</v>
      </c>
      <c r="C562" s="43" t="s">
        <v>105</v>
      </c>
      <c r="D562" s="43" t="s">
        <v>358</v>
      </c>
      <c r="E562" s="43" t="s">
        <v>198</v>
      </c>
      <c r="F562" s="348">
        <f>F563</f>
        <v>1000</v>
      </c>
      <c r="G562" s="348">
        <f>G563</f>
        <v>1000</v>
      </c>
      <c r="H562" s="348">
        <f>H563</f>
        <v>1000</v>
      </c>
    </row>
    <row r="563" spans="1:15" ht="23.25" customHeight="1">
      <c r="A563" s="77" t="s">
        <v>117</v>
      </c>
      <c r="B563" s="43" t="s">
        <v>187</v>
      </c>
      <c r="C563" s="43" t="s">
        <v>105</v>
      </c>
      <c r="D563" s="43" t="s">
        <v>358</v>
      </c>
      <c r="E563" s="43" t="s">
        <v>648</v>
      </c>
      <c r="F563" s="348">
        <f>'5'!D185</f>
        <v>1000</v>
      </c>
      <c r="G563" s="348">
        <f>'5'!E185</f>
        <v>1000</v>
      </c>
      <c r="H563" s="348">
        <f>'5'!F185</f>
        <v>1000</v>
      </c>
    </row>
    <row r="564" spans="1:15" ht="117" customHeight="1">
      <c r="A564" s="77" t="s">
        <v>1042</v>
      </c>
      <c r="B564" s="43" t="s">
        <v>187</v>
      </c>
      <c r="C564" s="43" t="s">
        <v>105</v>
      </c>
      <c r="D564" s="43" t="s">
        <v>554</v>
      </c>
      <c r="E564" s="43" t="s">
        <v>648</v>
      </c>
      <c r="F564" s="348">
        <f>F565</f>
        <v>10.10101</v>
      </c>
      <c r="G564" s="348">
        <f>G565</f>
        <v>10.1010101010101</v>
      </c>
      <c r="H564" s="348">
        <f>H565</f>
        <v>10.1010101010101</v>
      </c>
    </row>
    <row r="565" spans="1:15" ht="26.25" customHeight="1">
      <c r="A565" s="77" t="s">
        <v>117</v>
      </c>
      <c r="B565" s="43" t="s">
        <v>187</v>
      </c>
      <c r="C565" s="43" t="s">
        <v>105</v>
      </c>
      <c r="D565" s="43" t="s">
        <v>554</v>
      </c>
      <c r="E565" s="43" t="s">
        <v>156</v>
      </c>
      <c r="F565" s="348">
        <f>'5'!D186</f>
        <v>10.10101</v>
      </c>
      <c r="G565" s="348">
        <f>'5'!E186</f>
        <v>10.1010101010101</v>
      </c>
      <c r="H565" s="348">
        <f>'5'!F186</f>
        <v>10.1010101010101</v>
      </c>
      <c r="O565" s="40"/>
    </row>
    <row r="566" spans="1:15" s="40" customFormat="1" ht="93.75" customHeight="1">
      <c r="A566" s="153" t="s">
        <v>1059</v>
      </c>
      <c r="B566" s="150" t="s">
        <v>187</v>
      </c>
      <c r="C566" s="150" t="s">
        <v>105</v>
      </c>
      <c r="D566" s="150" t="s">
        <v>1083</v>
      </c>
      <c r="E566" s="150" t="s">
        <v>198</v>
      </c>
      <c r="F566" s="54">
        <f>F567+F570</f>
        <v>3055.9886099999999</v>
      </c>
      <c r="G566" s="54">
        <f>G567+G570</f>
        <v>0</v>
      </c>
      <c r="H566" s="54">
        <f>H567+H570</f>
        <v>6179.8876565656565</v>
      </c>
      <c r="O566" s="24"/>
    </row>
    <row r="567" spans="1:15" ht="96.75" customHeight="1">
      <c r="A567" s="77" t="s">
        <v>1061</v>
      </c>
      <c r="B567" s="43" t="s">
        <v>187</v>
      </c>
      <c r="C567" s="43" t="s">
        <v>105</v>
      </c>
      <c r="D567" s="43" t="s">
        <v>1082</v>
      </c>
      <c r="E567" s="43" t="s">
        <v>198</v>
      </c>
      <c r="F567" s="348">
        <f t="shared" ref="F567:H568" si="157">F568</f>
        <v>3025.4287199999999</v>
      </c>
      <c r="G567" s="348">
        <f t="shared" si="157"/>
        <v>0</v>
      </c>
      <c r="H567" s="348">
        <f t="shared" si="157"/>
        <v>6118.08878</v>
      </c>
    </row>
    <row r="568" spans="1:15" ht="51.75" customHeight="1">
      <c r="A568" s="77" t="s">
        <v>649</v>
      </c>
      <c r="B568" s="43" t="s">
        <v>187</v>
      </c>
      <c r="C568" s="43" t="s">
        <v>105</v>
      </c>
      <c r="D568" s="43" t="s">
        <v>1082</v>
      </c>
      <c r="E568" s="43" t="s">
        <v>648</v>
      </c>
      <c r="F568" s="348">
        <f t="shared" si="157"/>
        <v>3025.4287199999999</v>
      </c>
      <c r="G568" s="348">
        <f t="shared" si="157"/>
        <v>0</v>
      </c>
      <c r="H568" s="348">
        <f t="shared" si="157"/>
        <v>6118.08878</v>
      </c>
    </row>
    <row r="569" spans="1:15" ht="19.5" customHeight="1">
      <c r="A569" s="77" t="s">
        <v>117</v>
      </c>
      <c r="B569" s="43" t="s">
        <v>187</v>
      </c>
      <c r="C569" s="43" t="s">
        <v>105</v>
      </c>
      <c r="D569" s="43" t="s">
        <v>1081</v>
      </c>
      <c r="E569" s="43" t="s">
        <v>156</v>
      </c>
      <c r="F569" s="348">
        <f>'5'!D196</f>
        <v>3025.4287199999999</v>
      </c>
      <c r="G569" s="348">
        <f>'5'!E196</f>
        <v>0</v>
      </c>
      <c r="H569" s="348">
        <f>'5'!F196</f>
        <v>6118.08878</v>
      </c>
    </row>
    <row r="570" spans="1:15" ht="108.75" customHeight="1">
      <c r="A570" s="77" t="s">
        <v>1062</v>
      </c>
      <c r="B570" s="43" t="s">
        <v>187</v>
      </c>
      <c r="C570" s="43" t="s">
        <v>105</v>
      </c>
      <c r="D570" s="43" t="s">
        <v>1082</v>
      </c>
      <c r="E570" s="43" t="s">
        <v>198</v>
      </c>
      <c r="F570" s="348">
        <f t="shared" ref="F570:H571" si="158">F571</f>
        <v>30.559889999999999</v>
      </c>
      <c r="G570" s="348">
        <f t="shared" si="158"/>
        <v>0</v>
      </c>
      <c r="H570" s="348">
        <f t="shared" si="158"/>
        <v>61.798876565656563</v>
      </c>
    </row>
    <row r="571" spans="1:15" ht="31.5" customHeight="1">
      <c r="A571" s="77" t="s">
        <v>649</v>
      </c>
      <c r="B571" s="43" t="s">
        <v>187</v>
      </c>
      <c r="C571" s="43" t="s">
        <v>105</v>
      </c>
      <c r="D571" s="43" t="s">
        <v>1082</v>
      </c>
      <c r="E571" s="43" t="s">
        <v>648</v>
      </c>
      <c r="F571" s="348">
        <f t="shared" si="158"/>
        <v>30.559889999999999</v>
      </c>
      <c r="G571" s="348">
        <f t="shared" si="158"/>
        <v>0</v>
      </c>
      <c r="H571" s="348">
        <f t="shared" si="158"/>
        <v>61.798876565656563</v>
      </c>
    </row>
    <row r="572" spans="1:15" ht="21.75" customHeight="1">
      <c r="A572" s="77" t="s">
        <v>117</v>
      </c>
      <c r="B572" s="43" t="s">
        <v>187</v>
      </c>
      <c r="C572" s="43" t="s">
        <v>105</v>
      </c>
      <c r="D572" s="43" t="s">
        <v>1082</v>
      </c>
      <c r="E572" s="43" t="s">
        <v>156</v>
      </c>
      <c r="F572" s="348">
        <f>'5'!D197</f>
        <v>30.559889999999999</v>
      </c>
      <c r="G572" s="348">
        <f>'5'!E197</f>
        <v>0</v>
      </c>
      <c r="H572" s="348">
        <f>'5'!F197</f>
        <v>61.798876565656563</v>
      </c>
    </row>
    <row r="573" spans="1:15" ht="31.5" hidden="1" customHeight="1">
      <c r="A573" s="78" t="s">
        <v>724</v>
      </c>
      <c r="B573" s="37" t="s">
        <v>187</v>
      </c>
      <c r="C573" s="37" t="s">
        <v>105</v>
      </c>
      <c r="D573" s="37" t="s">
        <v>749</v>
      </c>
      <c r="E573" s="44" t="s">
        <v>198</v>
      </c>
      <c r="F573" s="45">
        <f>F574</f>
        <v>0</v>
      </c>
      <c r="G573" s="45">
        <f t="shared" ref="G573:H575" si="159">G574</f>
        <v>0</v>
      </c>
      <c r="H573" s="45">
        <f t="shared" si="159"/>
        <v>0</v>
      </c>
    </row>
    <row r="574" spans="1:15" ht="31.5" hidden="1" customHeight="1">
      <c r="A574" s="74" t="s">
        <v>750</v>
      </c>
      <c r="B574" s="37" t="s">
        <v>187</v>
      </c>
      <c r="C574" s="37" t="s">
        <v>105</v>
      </c>
      <c r="D574" s="37" t="s">
        <v>751</v>
      </c>
      <c r="E574" s="37" t="s">
        <v>198</v>
      </c>
      <c r="F574" s="38">
        <f>F575</f>
        <v>0</v>
      </c>
      <c r="G574" s="38">
        <f t="shared" si="159"/>
        <v>0</v>
      </c>
      <c r="H574" s="38">
        <f t="shared" si="159"/>
        <v>0</v>
      </c>
    </row>
    <row r="575" spans="1:15" ht="47.25" hidden="1" customHeight="1">
      <c r="A575" s="74" t="s">
        <v>649</v>
      </c>
      <c r="B575" s="37" t="s">
        <v>187</v>
      </c>
      <c r="C575" s="37" t="s">
        <v>105</v>
      </c>
      <c r="D575" s="37" t="s">
        <v>752</v>
      </c>
      <c r="E575" s="37" t="s">
        <v>648</v>
      </c>
      <c r="F575" s="38">
        <f>F576</f>
        <v>0</v>
      </c>
      <c r="G575" s="38">
        <f t="shared" si="159"/>
        <v>0</v>
      </c>
      <c r="H575" s="38">
        <f t="shared" si="159"/>
        <v>0</v>
      </c>
    </row>
    <row r="576" spans="1:15" ht="15.75" hidden="1" customHeight="1">
      <c r="A576" s="74" t="s">
        <v>117</v>
      </c>
      <c r="B576" s="37" t="s">
        <v>187</v>
      </c>
      <c r="C576" s="37" t="s">
        <v>105</v>
      </c>
      <c r="D576" s="37" t="s">
        <v>753</v>
      </c>
      <c r="E576" s="37" t="s">
        <v>156</v>
      </c>
      <c r="F576" s="38"/>
      <c r="G576" s="38"/>
      <c r="H576" s="38"/>
    </row>
    <row r="577" spans="1:15" ht="47.25" hidden="1" customHeight="1">
      <c r="A577" s="75" t="s">
        <v>754</v>
      </c>
      <c r="B577" s="2" t="s">
        <v>187</v>
      </c>
      <c r="C577" s="2" t="s">
        <v>105</v>
      </c>
      <c r="D577" s="2" t="s">
        <v>431</v>
      </c>
      <c r="E577" s="2" t="s">
        <v>198</v>
      </c>
      <c r="F577" s="39">
        <f t="shared" ref="F577:H578" si="160">F578</f>
        <v>0</v>
      </c>
      <c r="G577" s="39">
        <f t="shared" si="160"/>
        <v>0</v>
      </c>
      <c r="H577" s="39">
        <f t="shared" si="160"/>
        <v>0</v>
      </c>
    </row>
    <row r="578" spans="1:15" ht="47.25" hidden="1" customHeight="1">
      <c r="A578" s="74" t="s">
        <v>649</v>
      </c>
      <c r="B578" s="37" t="s">
        <v>187</v>
      </c>
      <c r="C578" s="37" t="s">
        <v>105</v>
      </c>
      <c r="D578" s="37" t="s">
        <v>431</v>
      </c>
      <c r="E578" s="37" t="s">
        <v>648</v>
      </c>
      <c r="F578" s="38">
        <f t="shared" si="160"/>
        <v>0</v>
      </c>
      <c r="G578" s="38">
        <f t="shared" si="160"/>
        <v>0</v>
      </c>
      <c r="H578" s="38">
        <f t="shared" si="160"/>
        <v>0</v>
      </c>
    </row>
    <row r="579" spans="1:15" ht="15.75" hidden="1" customHeight="1">
      <c r="A579" s="74" t="s">
        <v>117</v>
      </c>
      <c r="B579" s="37" t="s">
        <v>187</v>
      </c>
      <c r="C579" s="37" t="s">
        <v>105</v>
      </c>
      <c r="D579" s="37" t="s">
        <v>431</v>
      </c>
      <c r="E579" s="37" t="s">
        <v>156</v>
      </c>
      <c r="F579" s="38"/>
      <c r="G579" s="38"/>
      <c r="H579" s="38"/>
      <c r="O579" s="40"/>
    </row>
    <row r="580" spans="1:15" s="40" customFormat="1" ht="52.5" customHeight="1">
      <c r="A580" s="73" t="s">
        <v>740</v>
      </c>
      <c r="B580" s="34" t="s">
        <v>187</v>
      </c>
      <c r="C580" s="34" t="s">
        <v>620</v>
      </c>
      <c r="D580" s="34" t="s">
        <v>18</v>
      </c>
      <c r="E580" s="34" t="s">
        <v>198</v>
      </c>
      <c r="F580" s="35">
        <f>F582+F585</f>
        <v>185</v>
      </c>
      <c r="G580" s="35">
        <f t="shared" ref="G580:H580" si="161">G582+G585</f>
        <v>133</v>
      </c>
      <c r="H580" s="35">
        <f t="shared" si="161"/>
        <v>133</v>
      </c>
      <c r="O580" s="24"/>
    </row>
    <row r="581" spans="1:15" ht="38.25" customHeight="1">
      <c r="A581" s="86" t="s">
        <v>755</v>
      </c>
      <c r="B581" s="43" t="s">
        <v>187</v>
      </c>
      <c r="C581" s="43" t="s">
        <v>620</v>
      </c>
      <c r="D581" s="43" t="s">
        <v>44</v>
      </c>
      <c r="E581" s="43" t="s">
        <v>198</v>
      </c>
      <c r="F581" s="348">
        <f t="shared" ref="F581:H583" si="162">F582</f>
        <v>100</v>
      </c>
      <c r="G581" s="348">
        <f t="shared" si="162"/>
        <v>50</v>
      </c>
      <c r="H581" s="348">
        <f t="shared" si="162"/>
        <v>50</v>
      </c>
    </row>
    <row r="582" spans="1:15" ht="36.75" customHeight="1">
      <c r="A582" s="77" t="s">
        <v>756</v>
      </c>
      <c r="B582" s="43" t="s">
        <v>187</v>
      </c>
      <c r="C582" s="43" t="s">
        <v>620</v>
      </c>
      <c r="D582" s="43" t="s">
        <v>45</v>
      </c>
      <c r="E582" s="43" t="s">
        <v>198</v>
      </c>
      <c r="F582" s="348">
        <f>F583</f>
        <v>100</v>
      </c>
      <c r="G582" s="348">
        <f t="shared" si="162"/>
        <v>50</v>
      </c>
      <c r="H582" s="348">
        <f t="shared" si="162"/>
        <v>50</v>
      </c>
    </row>
    <row r="583" spans="1:15" ht="49.5" customHeight="1">
      <c r="A583" s="77" t="s">
        <v>649</v>
      </c>
      <c r="B583" s="43" t="s">
        <v>187</v>
      </c>
      <c r="C583" s="43" t="s">
        <v>620</v>
      </c>
      <c r="D583" s="43" t="s">
        <v>45</v>
      </c>
      <c r="E583" s="43" t="s">
        <v>648</v>
      </c>
      <c r="F583" s="348">
        <f>F584</f>
        <v>100</v>
      </c>
      <c r="G583" s="348">
        <f t="shared" si="162"/>
        <v>50</v>
      </c>
      <c r="H583" s="348">
        <f t="shared" si="162"/>
        <v>50</v>
      </c>
    </row>
    <row r="584" spans="1:15" ht="20.25" customHeight="1">
      <c r="A584" s="77" t="s">
        <v>117</v>
      </c>
      <c r="B584" s="43" t="s">
        <v>187</v>
      </c>
      <c r="C584" s="43" t="s">
        <v>620</v>
      </c>
      <c r="D584" s="43" t="s">
        <v>45</v>
      </c>
      <c r="E584" s="43" t="s">
        <v>156</v>
      </c>
      <c r="F584" s="348">
        <f>'5'!D93</f>
        <v>100</v>
      </c>
      <c r="G584" s="348">
        <f>'5'!E93</f>
        <v>50</v>
      </c>
      <c r="H584" s="348">
        <f>'5'!F93</f>
        <v>50</v>
      </c>
    </row>
    <row r="585" spans="1:15" ht="57" customHeight="1">
      <c r="A585" s="77" t="s">
        <v>907</v>
      </c>
      <c r="B585" s="43" t="s">
        <v>187</v>
      </c>
      <c r="C585" s="43" t="s">
        <v>620</v>
      </c>
      <c r="D585" s="43" t="s">
        <v>904</v>
      </c>
      <c r="E585" s="43" t="s">
        <v>198</v>
      </c>
      <c r="F585" s="348">
        <f>F586</f>
        <v>85</v>
      </c>
      <c r="G585" s="348">
        <f t="shared" ref="G585:H586" si="163">G586</f>
        <v>83</v>
      </c>
      <c r="H585" s="348">
        <f t="shared" si="163"/>
        <v>83</v>
      </c>
    </row>
    <row r="586" spans="1:15" ht="33" customHeight="1">
      <c r="A586" s="77" t="s">
        <v>611</v>
      </c>
      <c r="B586" s="43" t="s">
        <v>187</v>
      </c>
      <c r="C586" s="43" t="s">
        <v>620</v>
      </c>
      <c r="D586" s="43" t="s">
        <v>904</v>
      </c>
      <c r="E586" s="43" t="s">
        <v>612</v>
      </c>
      <c r="F586" s="348">
        <f>F587</f>
        <v>85</v>
      </c>
      <c r="G586" s="348">
        <f t="shared" si="163"/>
        <v>83</v>
      </c>
      <c r="H586" s="348">
        <f t="shared" si="163"/>
        <v>83</v>
      </c>
    </row>
    <row r="587" spans="1:15" ht="48.75" customHeight="1">
      <c r="A587" s="77" t="s">
        <v>613</v>
      </c>
      <c r="B587" s="43" t="s">
        <v>187</v>
      </c>
      <c r="C587" s="43" t="s">
        <v>620</v>
      </c>
      <c r="D587" s="43" t="s">
        <v>904</v>
      </c>
      <c r="E587" s="43" t="s">
        <v>614</v>
      </c>
      <c r="F587" s="348">
        <f>'5'!D272</f>
        <v>85</v>
      </c>
      <c r="G587" s="348">
        <f>'5'!E272</f>
        <v>83</v>
      </c>
      <c r="H587" s="348">
        <f>'5'!F272</f>
        <v>83</v>
      </c>
    </row>
    <row r="588" spans="1:15" ht="15.75" hidden="1" customHeight="1">
      <c r="A588" s="74"/>
      <c r="B588" s="37"/>
      <c r="C588" s="37"/>
      <c r="D588" s="37"/>
      <c r="E588" s="37"/>
      <c r="F588" s="348"/>
      <c r="G588" s="348"/>
      <c r="H588" s="348"/>
    </row>
    <row r="589" spans="1:15" ht="15.75" hidden="1" customHeight="1">
      <c r="A589" s="74"/>
      <c r="B589" s="37"/>
      <c r="C589" s="37"/>
      <c r="D589" s="37"/>
      <c r="E589" s="37"/>
      <c r="F589" s="348"/>
      <c r="G589" s="348"/>
      <c r="H589" s="348"/>
    </row>
    <row r="590" spans="1:15" ht="15.75" hidden="1" customHeight="1">
      <c r="A590" s="74"/>
      <c r="B590" s="37"/>
      <c r="C590" s="37"/>
      <c r="D590" s="37"/>
      <c r="E590" s="37"/>
      <c r="F590" s="348"/>
      <c r="G590" s="348"/>
      <c r="H590" s="348"/>
    </row>
    <row r="591" spans="1:15" ht="15.75" hidden="1" customHeight="1">
      <c r="A591" s="74"/>
      <c r="B591" s="37"/>
      <c r="C591" s="37"/>
      <c r="D591" s="37"/>
      <c r="E591" s="37"/>
      <c r="F591" s="348"/>
      <c r="G591" s="348"/>
      <c r="H591" s="348"/>
    </row>
    <row r="592" spans="1:15" ht="15.75" hidden="1" customHeight="1">
      <c r="A592" s="74"/>
      <c r="B592" s="37"/>
      <c r="C592" s="37"/>
      <c r="D592" s="37"/>
      <c r="E592" s="37"/>
      <c r="F592" s="348"/>
      <c r="G592" s="348"/>
      <c r="H592" s="348"/>
    </row>
    <row r="593" spans="1:15" ht="15.75" hidden="1" customHeight="1">
      <c r="A593" s="74"/>
      <c r="B593" s="37"/>
      <c r="C593" s="37"/>
      <c r="D593" s="37"/>
      <c r="E593" s="37"/>
      <c r="F593" s="348"/>
      <c r="G593" s="348"/>
      <c r="H593" s="348"/>
    </row>
    <row r="594" spans="1:15" ht="15.75" hidden="1" customHeight="1">
      <c r="A594" s="74"/>
      <c r="B594" s="37"/>
      <c r="C594" s="37"/>
      <c r="D594" s="37"/>
      <c r="E594" s="37"/>
      <c r="F594" s="348"/>
      <c r="G594" s="348"/>
      <c r="H594" s="348"/>
    </row>
    <row r="595" spans="1:15" ht="15.75" hidden="1" customHeight="1">
      <c r="A595" s="74"/>
      <c r="B595" s="37"/>
      <c r="C595" s="37"/>
      <c r="D595" s="37"/>
      <c r="E595" s="37"/>
      <c r="F595" s="348"/>
      <c r="G595" s="348"/>
      <c r="H595" s="348"/>
    </row>
    <row r="596" spans="1:15" ht="15.75" hidden="1" customHeight="1">
      <c r="A596" s="74"/>
      <c r="B596" s="37"/>
      <c r="C596" s="37"/>
      <c r="D596" s="37"/>
      <c r="E596" s="37"/>
      <c r="F596" s="348"/>
      <c r="G596" s="348"/>
      <c r="H596" s="348"/>
    </row>
    <row r="597" spans="1:15" ht="15.75" hidden="1" customHeight="1">
      <c r="A597" s="83" t="s">
        <v>757</v>
      </c>
      <c r="B597" s="62" t="s">
        <v>187</v>
      </c>
      <c r="C597" s="62" t="s">
        <v>187</v>
      </c>
      <c r="D597" s="62" t="s">
        <v>601</v>
      </c>
      <c r="E597" s="62" t="s">
        <v>198</v>
      </c>
      <c r="F597" s="63">
        <f t="shared" ref="F597:H599" si="164">F598</f>
        <v>0</v>
      </c>
      <c r="G597" s="63">
        <f t="shared" si="164"/>
        <v>0</v>
      </c>
      <c r="H597" s="63">
        <f t="shared" si="164"/>
        <v>0</v>
      </c>
    </row>
    <row r="598" spans="1:15" ht="47.25" hidden="1" customHeight="1">
      <c r="A598" s="83" t="s">
        <v>229</v>
      </c>
      <c r="B598" s="62" t="s">
        <v>187</v>
      </c>
      <c r="C598" s="62" t="s">
        <v>187</v>
      </c>
      <c r="D598" s="62" t="s">
        <v>18</v>
      </c>
      <c r="E598" s="62" t="s">
        <v>198</v>
      </c>
      <c r="F598" s="50">
        <f t="shared" si="164"/>
        <v>0</v>
      </c>
      <c r="G598" s="50">
        <f t="shared" si="164"/>
        <v>0</v>
      </c>
      <c r="H598" s="50">
        <f t="shared" si="164"/>
        <v>0</v>
      </c>
    </row>
    <row r="599" spans="1:15" ht="31.5" hidden="1" customHeight="1">
      <c r="A599" s="84" t="s">
        <v>224</v>
      </c>
      <c r="B599" s="64" t="s">
        <v>187</v>
      </c>
      <c r="C599" s="64" t="s">
        <v>187</v>
      </c>
      <c r="D599" s="64" t="s">
        <v>46</v>
      </c>
      <c r="E599" s="64" t="s">
        <v>198</v>
      </c>
      <c r="F599" s="50">
        <f t="shared" si="164"/>
        <v>0</v>
      </c>
      <c r="G599" s="50">
        <f t="shared" si="164"/>
        <v>0</v>
      </c>
      <c r="H599" s="50">
        <f t="shared" si="164"/>
        <v>0</v>
      </c>
      <c r="O599" s="40"/>
    </row>
    <row r="600" spans="1:15" s="40" customFormat="1" ht="63" hidden="1" customHeight="1">
      <c r="A600" s="83" t="s">
        <v>361</v>
      </c>
      <c r="B600" s="62" t="s">
        <v>187</v>
      </c>
      <c r="C600" s="62" t="s">
        <v>187</v>
      </c>
      <c r="D600" s="62" t="s">
        <v>46</v>
      </c>
      <c r="E600" s="62" t="s">
        <v>198</v>
      </c>
      <c r="F600" s="63">
        <f>F601+F602</f>
        <v>0</v>
      </c>
      <c r="G600" s="63">
        <f>G601+G602</f>
        <v>0</v>
      </c>
      <c r="H600" s="63">
        <f>H601+H602</f>
        <v>0</v>
      </c>
      <c r="O600" s="24"/>
    </row>
    <row r="601" spans="1:15" ht="31.5" hidden="1" customHeight="1">
      <c r="A601" s="85" t="s">
        <v>758</v>
      </c>
      <c r="B601" s="64" t="s">
        <v>187</v>
      </c>
      <c r="C601" s="64" t="s">
        <v>187</v>
      </c>
      <c r="D601" s="64" t="s">
        <v>47</v>
      </c>
      <c r="E601" s="64" t="s">
        <v>759</v>
      </c>
      <c r="F601" s="50">
        <f>F602</f>
        <v>0</v>
      </c>
      <c r="G601" s="50">
        <f>G602</f>
        <v>0</v>
      </c>
      <c r="H601" s="50">
        <f>H602</f>
        <v>0</v>
      </c>
    </row>
    <row r="602" spans="1:15" ht="31.5" hidden="1" customHeight="1">
      <c r="A602" s="85" t="s">
        <v>113</v>
      </c>
      <c r="B602" s="64" t="s">
        <v>187</v>
      </c>
      <c r="C602" s="64" t="s">
        <v>187</v>
      </c>
      <c r="D602" s="64" t="s">
        <v>47</v>
      </c>
      <c r="E602" s="64" t="s">
        <v>114</v>
      </c>
      <c r="F602" s="50"/>
      <c r="G602" s="50"/>
      <c r="H602" s="50"/>
    </row>
    <row r="603" spans="1:15" ht="47.25" hidden="1" customHeight="1">
      <c r="A603" s="85" t="s">
        <v>649</v>
      </c>
      <c r="B603" s="64" t="s">
        <v>187</v>
      </c>
      <c r="C603" s="64" t="s">
        <v>187</v>
      </c>
      <c r="D603" s="64" t="s">
        <v>47</v>
      </c>
      <c r="E603" s="64" t="s">
        <v>648</v>
      </c>
      <c r="F603" s="50">
        <f>F604</f>
        <v>0</v>
      </c>
      <c r="G603" s="50">
        <f>G604</f>
        <v>0</v>
      </c>
      <c r="H603" s="50">
        <f>H604</f>
        <v>0</v>
      </c>
    </row>
    <row r="604" spans="1:15" ht="15.75" hidden="1" customHeight="1">
      <c r="A604" s="85" t="s">
        <v>117</v>
      </c>
      <c r="B604" s="64" t="s">
        <v>187</v>
      </c>
      <c r="C604" s="64" t="s">
        <v>187</v>
      </c>
      <c r="D604" s="64" t="s">
        <v>47</v>
      </c>
      <c r="E604" s="64" t="s">
        <v>156</v>
      </c>
      <c r="F604" s="50"/>
      <c r="G604" s="50"/>
      <c r="H604" s="50"/>
    </row>
    <row r="605" spans="1:15" ht="63" hidden="1" customHeight="1">
      <c r="A605" s="78" t="s">
        <v>340</v>
      </c>
      <c r="B605" s="37" t="s">
        <v>187</v>
      </c>
      <c r="C605" s="37" t="s">
        <v>187</v>
      </c>
      <c r="D605" s="44" t="s">
        <v>601</v>
      </c>
      <c r="E605" s="44" t="s">
        <v>198</v>
      </c>
      <c r="F605" s="45">
        <f>F606</f>
        <v>0</v>
      </c>
      <c r="G605" s="45">
        <f t="shared" ref="G605:H607" si="165">G606</f>
        <v>0</v>
      </c>
      <c r="H605" s="45">
        <f t="shared" si="165"/>
        <v>0</v>
      </c>
    </row>
    <row r="606" spans="1:15" ht="78.75" hidden="1" customHeight="1">
      <c r="A606" s="74" t="s">
        <v>760</v>
      </c>
      <c r="B606" s="37" t="s">
        <v>187</v>
      </c>
      <c r="C606" s="37" t="s">
        <v>187</v>
      </c>
      <c r="D606" s="37" t="s">
        <v>761</v>
      </c>
      <c r="E606" s="37" t="s">
        <v>198</v>
      </c>
      <c r="F606" s="38">
        <f>F607</f>
        <v>0</v>
      </c>
      <c r="G606" s="38">
        <f t="shared" si="165"/>
        <v>0</v>
      </c>
      <c r="H606" s="38">
        <f t="shared" si="165"/>
        <v>0</v>
      </c>
    </row>
    <row r="607" spans="1:15" ht="47.25" hidden="1" customHeight="1">
      <c r="A607" s="74" t="s">
        <v>649</v>
      </c>
      <c r="B607" s="37" t="s">
        <v>187</v>
      </c>
      <c r="C607" s="37" t="s">
        <v>187</v>
      </c>
      <c r="D607" s="37" t="s">
        <v>761</v>
      </c>
      <c r="E607" s="37" t="s">
        <v>648</v>
      </c>
      <c r="F607" s="38">
        <f>F608</f>
        <v>0</v>
      </c>
      <c r="G607" s="38">
        <f t="shared" si="165"/>
        <v>0</v>
      </c>
      <c r="H607" s="38">
        <f t="shared" si="165"/>
        <v>0</v>
      </c>
    </row>
    <row r="608" spans="1:15" ht="15.75" hidden="1" customHeight="1">
      <c r="A608" s="74" t="s">
        <v>117</v>
      </c>
      <c r="B608" s="37" t="s">
        <v>187</v>
      </c>
      <c r="C608" s="37" t="s">
        <v>187</v>
      </c>
      <c r="D608" s="37" t="s">
        <v>761</v>
      </c>
      <c r="E608" s="37" t="s">
        <v>156</v>
      </c>
      <c r="F608" s="38"/>
      <c r="G608" s="38"/>
      <c r="H608" s="38"/>
    </row>
    <row r="609" spans="1:15" ht="110.25" hidden="1" customHeight="1">
      <c r="A609" s="74" t="s">
        <v>762</v>
      </c>
      <c r="B609" s="37" t="s">
        <v>187</v>
      </c>
      <c r="C609" s="37" t="s">
        <v>187</v>
      </c>
      <c r="D609" s="37" t="s">
        <v>909</v>
      </c>
      <c r="E609" s="37" t="s">
        <v>198</v>
      </c>
      <c r="F609" s="38">
        <f t="shared" ref="F609:H610" si="166">F610</f>
        <v>0</v>
      </c>
      <c r="G609" s="38">
        <f t="shared" si="166"/>
        <v>0</v>
      </c>
      <c r="H609" s="38">
        <f t="shared" si="166"/>
        <v>0</v>
      </c>
    </row>
    <row r="610" spans="1:15" ht="47.25" hidden="1" customHeight="1">
      <c r="A610" s="74" t="s">
        <v>649</v>
      </c>
      <c r="B610" s="37" t="s">
        <v>187</v>
      </c>
      <c r="C610" s="37" t="s">
        <v>187</v>
      </c>
      <c r="D610" s="37" t="s">
        <v>908</v>
      </c>
      <c r="E610" s="37" t="s">
        <v>648</v>
      </c>
      <c r="F610" s="38">
        <f t="shared" si="166"/>
        <v>0</v>
      </c>
      <c r="G610" s="38">
        <f t="shared" si="166"/>
        <v>0</v>
      </c>
      <c r="H610" s="38">
        <f t="shared" si="166"/>
        <v>0</v>
      </c>
    </row>
    <row r="611" spans="1:15" ht="15.75" hidden="1" customHeight="1">
      <c r="A611" s="74" t="s">
        <v>117</v>
      </c>
      <c r="B611" s="37" t="s">
        <v>187</v>
      </c>
      <c r="C611" s="37" t="s">
        <v>187</v>
      </c>
      <c r="D611" s="37" t="s">
        <v>908</v>
      </c>
      <c r="E611" s="37" t="s">
        <v>156</v>
      </c>
      <c r="F611" s="38"/>
      <c r="G611" s="38"/>
      <c r="H611" s="38"/>
    </row>
    <row r="612" spans="1:15" ht="63" hidden="1" customHeight="1">
      <c r="A612" s="74" t="s">
        <v>418</v>
      </c>
      <c r="B612" s="37" t="s">
        <v>187</v>
      </c>
      <c r="C612" s="37" t="s">
        <v>187</v>
      </c>
      <c r="D612" s="37" t="s">
        <v>417</v>
      </c>
      <c r="E612" s="37" t="s">
        <v>198</v>
      </c>
      <c r="F612" s="38">
        <f t="shared" ref="F612:H613" si="167">F613</f>
        <v>0</v>
      </c>
      <c r="G612" s="38">
        <f t="shared" si="167"/>
        <v>0</v>
      </c>
      <c r="H612" s="38">
        <f t="shared" si="167"/>
        <v>0</v>
      </c>
    </row>
    <row r="613" spans="1:15" ht="47.25" hidden="1" customHeight="1">
      <c r="A613" s="74" t="s">
        <v>649</v>
      </c>
      <c r="B613" s="37" t="s">
        <v>187</v>
      </c>
      <c r="C613" s="37" t="s">
        <v>187</v>
      </c>
      <c r="D613" s="37" t="s">
        <v>417</v>
      </c>
      <c r="E613" s="37" t="s">
        <v>648</v>
      </c>
      <c r="F613" s="38">
        <f t="shared" si="167"/>
        <v>0</v>
      </c>
      <c r="G613" s="38">
        <f t="shared" si="167"/>
        <v>0</v>
      </c>
      <c r="H613" s="38">
        <f t="shared" si="167"/>
        <v>0</v>
      </c>
    </row>
    <row r="614" spans="1:15" ht="15.75" hidden="1" customHeight="1">
      <c r="A614" s="74" t="s">
        <v>117</v>
      </c>
      <c r="B614" s="37" t="s">
        <v>187</v>
      </c>
      <c r="C614" s="37" t="s">
        <v>187</v>
      </c>
      <c r="D614" s="37" t="s">
        <v>417</v>
      </c>
      <c r="E614" s="37" t="s">
        <v>156</v>
      </c>
      <c r="F614" s="38"/>
      <c r="G614" s="38"/>
      <c r="H614" s="38"/>
      <c r="O614" s="40"/>
    </row>
    <row r="615" spans="1:15" s="40" customFormat="1" ht="22.5" customHeight="1">
      <c r="A615" s="73" t="s">
        <v>764</v>
      </c>
      <c r="B615" s="34" t="s">
        <v>187</v>
      </c>
      <c r="C615" s="34" t="s">
        <v>678</v>
      </c>
      <c r="D615" s="34" t="s">
        <v>601</v>
      </c>
      <c r="E615" s="34" t="s">
        <v>198</v>
      </c>
      <c r="F615" s="35">
        <f>F621+F624+F628+F634+F647+F651+F654+F659+F664+F666+F671+F617</f>
        <v>84251.505369999999</v>
      </c>
      <c r="G615" s="35">
        <f t="shared" ref="G615:H615" si="168">G621+G624+G628+G634+G647+G651+G654+G659+G664+G666+G671+G617</f>
        <v>73686.09173</v>
      </c>
      <c r="H615" s="35">
        <f t="shared" si="168"/>
        <v>75487.76344000001</v>
      </c>
    </row>
    <row r="616" spans="1:15" s="40" customFormat="1" ht="52.5" customHeight="1">
      <c r="A616" s="76" t="s">
        <v>740</v>
      </c>
      <c r="B616" s="43" t="s">
        <v>187</v>
      </c>
      <c r="C616" s="43" t="s">
        <v>678</v>
      </c>
      <c r="D616" s="53" t="s">
        <v>18</v>
      </c>
      <c r="E616" s="53" t="s">
        <v>198</v>
      </c>
      <c r="F616" s="348">
        <f>F627+F633+F620+F647+F617</f>
        <v>79216.505369999999</v>
      </c>
      <c r="G616" s="348">
        <f t="shared" ref="G616:H616" si="169">G627+G633+G620+G647+G617</f>
        <v>71026.09173</v>
      </c>
      <c r="H616" s="348">
        <f t="shared" si="169"/>
        <v>74061.76344000001</v>
      </c>
    </row>
    <row r="617" spans="1:15" s="40" customFormat="1" ht="52.5" customHeight="1">
      <c r="A617" s="153" t="s">
        <v>946</v>
      </c>
      <c r="B617" s="43" t="s">
        <v>187</v>
      </c>
      <c r="C617" s="43" t="s">
        <v>678</v>
      </c>
      <c r="D617" s="198" t="s">
        <v>1058</v>
      </c>
      <c r="E617" s="150" t="s">
        <v>198</v>
      </c>
      <c r="F617" s="54">
        <f>F618</f>
        <v>38</v>
      </c>
      <c r="G617" s="54">
        <f t="shared" ref="G617:H617" si="170">G618</f>
        <v>38</v>
      </c>
      <c r="H617" s="54">
        <f t="shared" si="170"/>
        <v>38</v>
      </c>
    </row>
    <row r="618" spans="1:15" s="40" customFormat="1" ht="52.5" customHeight="1">
      <c r="A618" s="77" t="s">
        <v>649</v>
      </c>
      <c r="B618" s="43" t="s">
        <v>187</v>
      </c>
      <c r="C618" s="43" t="s">
        <v>678</v>
      </c>
      <c r="D618" s="58" t="s">
        <v>1058</v>
      </c>
      <c r="E618" s="43" t="s">
        <v>612</v>
      </c>
      <c r="F618" s="348">
        <f>F619</f>
        <v>38</v>
      </c>
      <c r="G618" s="348">
        <f t="shared" ref="G618:H618" si="171">G619</f>
        <v>38</v>
      </c>
      <c r="H618" s="348">
        <f t="shared" si="171"/>
        <v>38</v>
      </c>
    </row>
    <row r="619" spans="1:15" s="40" customFormat="1" ht="21.75" customHeight="1">
      <c r="A619" s="77" t="s">
        <v>117</v>
      </c>
      <c r="B619" s="43" t="s">
        <v>187</v>
      </c>
      <c r="C619" s="43" t="s">
        <v>678</v>
      </c>
      <c r="D619" s="58" t="s">
        <v>1058</v>
      </c>
      <c r="E619" s="43" t="s">
        <v>614</v>
      </c>
      <c r="F619" s="348">
        <f>'5'!D108</f>
        <v>38</v>
      </c>
      <c r="G619" s="348">
        <f>'5'!E108</f>
        <v>38</v>
      </c>
      <c r="H619" s="348">
        <f>'5'!F108</f>
        <v>38</v>
      </c>
    </row>
    <row r="620" spans="1:15" s="40" customFormat="1" ht="132" customHeight="1">
      <c r="A620" s="154" t="s">
        <v>1095</v>
      </c>
      <c r="B620" s="53" t="s">
        <v>187</v>
      </c>
      <c r="C620" s="53" t="s">
        <v>678</v>
      </c>
      <c r="D620" s="53" t="s">
        <v>38</v>
      </c>
      <c r="E620" s="53" t="s">
        <v>198</v>
      </c>
      <c r="F620" s="41">
        <f>F621+F624</f>
        <v>4190.5805100000007</v>
      </c>
      <c r="G620" s="41">
        <f t="shared" ref="G620:H620" si="172">G621+G624</f>
        <v>0</v>
      </c>
      <c r="H620" s="41">
        <f t="shared" si="172"/>
        <v>0</v>
      </c>
    </row>
    <row r="621" spans="1:15" s="40" customFormat="1" ht="143.25" customHeight="1">
      <c r="A621" s="77" t="s">
        <v>915</v>
      </c>
      <c r="B621" s="43" t="s">
        <v>187</v>
      </c>
      <c r="C621" s="43" t="s">
        <v>678</v>
      </c>
      <c r="D621" s="58" t="s">
        <v>1094</v>
      </c>
      <c r="E621" s="53" t="s">
        <v>198</v>
      </c>
      <c r="F621" s="348">
        <f>F622</f>
        <v>4148.6747000000005</v>
      </c>
      <c r="G621" s="348">
        <f t="shared" ref="G621:H622" si="173">G622</f>
        <v>0</v>
      </c>
      <c r="H621" s="348">
        <f t="shared" si="173"/>
        <v>0</v>
      </c>
    </row>
    <row r="622" spans="1:15" s="40" customFormat="1" ht="45.75" customHeight="1">
      <c r="A622" s="77" t="s">
        <v>649</v>
      </c>
      <c r="B622" s="43" t="s">
        <v>187</v>
      </c>
      <c r="C622" s="43" t="s">
        <v>678</v>
      </c>
      <c r="D622" s="58" t="s">
        <v>1094</v>
      </c>
      <c r="E622" s="53" t="s">
        <v>648</v>
      </c>
      <c r="F622" s="348">
        <f>F623</f>
        <v>4148.6747000000005</v>
      </c>
      <c r="G622" s="348">
        <f t="shared" si="173"/>
        <v>0</v>
      </c>
      <c r="H622" s="348">
        <f t="shared" si="173"/>
        <v>0</v>
      </c>
    </row>
    <row r="623" spans="1:15" s="40" customFormat="1" ht="17.25" customHeight="1">
      <c r="A623" s="77" t="s">
        <v>117</v>
      </c>
      <c r="B623" s="43" t="s">
        <v>187</v>
      </c>
      <c r="C623" s="43" t="s">
        <v>678</v>
      </c>
      <c r="D623" s="58" t="s">
        <v>1094</v>
      </c>
      <c r="E623" s="53" t="s">
        <v>156</v>
      </c>
      <c r="F623" s="348">
        <f>'5'!D90</f>
        <v>4148.6747000000005</v>
      </c>
      <c r="G623" s="348">
        <f>'5'!E90</f>
        <v>0</v>
      </c>
      <c r="H623" s="348">
        <f>'5'!F90</f>
        <v>0</v>
      </c>
    </row>
    <row r="624" spans="1:15" s="40" customFormat="1" ht="147" customHeight="1">
      <c r="A624" s="170" t="s">
        <v>916</v>
      </c>
      <c r="B624" s="43" t="s">
        <v>187</v>
      </c>
      <c r="C624" s="43" t="s">
        <v>678</v>
      </c>
      <c r="D624" s="53" t="s">
        <v>1094</v>
      </c>
      <c r="E624" s="53" t="s">
        <v>198</v>
      </c>
      <c r="F624" s="348">
        <f>F625</f>
        <v>41.905810000000002</v>
      </c>
      <c r="G624" s="348">
        <f t="shared" ref="G624:H625" si="174">G625</f>
        <v>0</v>
      </c>
      <c r="H624" s="348">
        <f t="shared" si="174"/>
        <v>0</v>
      </c>
    </row>
    <row r="625" spans="1:15" s="40" customFormat="1" ht="51.75" customHeight="1">
      <c r="A625" s="77" t="s">
        <v>649</v>
      </c>
      <c r="B625" s="43" t="s">
        <v>187</v>
      </c>
      <c r="C625" s="43" t="s">
        <v>678</v>
      </c>
      <c r="D625" s="53" t="s">
        <v>1094</v>
      </c>
      <c r="E625" s="53" t="s">
        <v>648</v>
      </c>
      <c r="F625" s="348">
        <f>F626</f>
        <v>41.905810000000002</v>
      </c>
      <c r="G625" s="348">
        <f t="shared" si="174"/>
        <v>0</v>
      </c>
      <c r="H625" s="348">
        <f t="shared" si="174"/>
        <v>0</v>
      </c>
    </row>
    <row r="626" spans="1:15" s="40" customFormat="1" ht="21" customHeight="1">
      <c r="A626" s="77" t="s">
        <v>117</v>
      </c>
      <c r="B626" s="43" t="s">
        <v>187</v>
      </c>
      <c r="C626" s="43" t="s">
        <v>678</v>
      </c>
      <c r="D626" s="53" t="s">
        <v>1094</v>
      </c>
      <c r="E626" s="53" t="s">
        <v>156</v>
      </c>
      <c r="F626" s="348">
        <f>'5'!D91</f>
        <v>41.905810000000002</v>
      </c>
      <c r="G626" s="348">
        <f>'5'!E91</f>
        <v>0</v>
      </c>
      <c r="H626" s="348">
        <f>'5'!F91</f>
        <v>0</v>
      </c>
    </row>
    <row r="627" spans="1:15" s="40" customFormat="1" ht="34.5" customHeight="1">
      <c r="A627" s="86" t="s">
        <v>224</v>
      </c>
      <c r="B627" s="43" t="s">
        <v>187</v>
      </c>
      <c r="C627" s="43" t="s">
        <v>678</v>
      </c>
      <c r="D627" s="43" t="s">
        <v>46</v>
      </c>
      <c r="E627" s="43" t="s">
        <v>198</v>
      </c>
      <c r="F627" s="348">
        <f>F628</f>
        <v>4147.0524999999998</v>
      </c>
      <c r="G627" s="348">
        <f>G628</f>
        <v>5812.8</v>
      </c>
      <c r="H627" s="348">
        <f>H628</f>
        <v>5812.8</v>
      </c>
    </row>
    <row r="628" spans="1:15" s="40" customFormat="1" ht="64.5" customHeight="1">
      <c r="A628" s="76" t="s">
        <v>361</v>
      </c>
      <c r="B628" s="43" t="s">
        <v>187</v>
      </c>
      <c r="C628" s="43" t="s">
        <v>678</v>
      </c>
      <c r="D628" s="53" t="s">
        <v>46</v>
      </c>
      <c r="E628" s="53" t="s">
        <v>198</v>
      </c>
      <c r="F628" s="41">
        <f>F629+F631</f>
        <v>4147.0524999999998</v>
      </c>
      <c r="G628" s="41">
        <f>G629+G631</f>
        <v>5812.8</v>
      </c>
      <c r="H628" s="41">
        <f>H629+H631</f>
        <v>5812.8</v>
      </c>
    </row>
    <row r="629" spans="1:15" s="40" customFormat="1" ht="31.5" hidden="1" customHeight="1">
      <c r="A629" s="77" t="s">
        <v>758</v>
      </c>
      <c r="B629" s="43" t="s">
        <v>187</v>
      </c>
      <c r="C629" s="43" t="s">
        <v>678</v>
      </c>
      <c r="D629" s="43" t="s">
        <v>47</v>
      </c>
      <c r="E629" s="43" t="s">
        <v>759</v>
      </c>
      <c r="F629" s="348">
        <f>F630</f>
        <v>0</v>
      </c>
      <c r="G629" s="348">
        <f>G630</f>
        <v>0</v>
      </c>
      <c r="H629" s="348">
        <f>H630</f>
        <v>0</v>
      </c>
    </row>
    <row r="630" spans="1:15" s="40" customFormat="1" ht="31.5" hidden="1" customHeight="1">
      <c r="A630" s="77" t="s">
        <v>113</v>
      </c>
      <c r="B630" s="43" t="s">
        <v>187</v>
      </c>
      <c r="C630" s="43" t="s">
        <v>678</v>
      </c>
      <c r="D630" s="43" t="s">
        <v>47</v>
      </c>
      <c r="E630" s="43" t="s">
        <v>114</v>
      </c>
      <c r="F630" s="348"/>
      <c r="G630" s="348"/>
      <c r="H630" s="348"/>
    </row>
    <row r="631" spans="1:15" s="40" customFormat="1" ht="52.5" customHeight="1">
      <c r="A631" s="77" t="s">
        <v>649</v>
      </c>
      <c r="B631" s="43" t="s">
        <v>187</v>
      </c>
      <c r="C631" s="43" t="s">
        <v>678</v>
      </c>
      <c r="D631" s="43" t="s">
        <v>47</v>
      </c>
      <c r="E631" s="43" t="s">
        <v>648</v>
      </c>
      <c r="F631" s="348">
        <f>F632</f>
        <v>4147.0524999999998</v>
      </c>
      <c r="G631" s="348">
        <f>G632</f>
        <v>5812.8</v>
      </c>
      <c r="H631" s="348">
        <f>H632</f>
        <v>5812.8</v>
      </c>
    </row>
    <row r="632" spans="1:15" s="40" customFormat="1" ht="23.25" customHeight="1">
      <c r="A632" s="77" t="s">
        <v>117</v>
      </c>
      <c r="B632" s="43" t="s">
        <v>187</v>
      </c>
      <c r="C632" s="43" t="s">
        <v>678</v>
      </c>
      <c r="D632" s="43" t="s">
        <v>47</v>
      </c>
      <c r="E632" s="43" t="s">
        <v>156</v>
      </c>
      <c r="F632" s="348">
        <f>'5'!D95-300</f>
        <v>4147.0524999999998</v>
      </c>
      <c r="G632" s="348">
        <f>'5'!E95-300</f>
        <v>5812.8</v>
      </c>
      <c r="H632" s="348">
        <f>'5'!F95-300</f>
        <v>5812.8</v>
      </c>
      <c r="O632" s="24"/>
    </row>
    <row r="633" spans="1:15" ht="38.25" customHeight="1">
      <c r="A633" s="86" t="s">
        <v>765</v>
      </c>
      <c r="B633" s="43" t="s">
        <v>187</v>
      </c>
      <c r="C633" s="43" t="s">
        <v>678</v>
      </c>
      <c r="D633" s="43" t="s">
        <v>48</v>
      </c>
      <c r="E633" s="43" t="s">
        <v>198</v>
      </c>
      <c r="F633" s="348">
        <f>'5'!D98</f>
        <v>70679.872359999994</v>
      </c>
      <c r="G633" s="348">
        <f>'5'!E98</f>
        <v>64964.291729999997</v>
      </c>
      <c r="H633" s="348">
        <f>'5'!F98</f>
        <v>67949.963440000007</v>
      </c>
    </row>
    <row r="634" spans="1:15" ht="54" customHeight="1">
      <c r="A634" s="77" t="s">
        <v>766</v>
      </c>
      <c r="B634" s="43" t="s">
        <v>187</v>
      </c>
      <c r="C634" s="43" t="s">
        <v>678</v>
      </c>
      <c r="D634" s="43" t="s">
        <v>49</v>
      </c>
      <c r="E634" s="43" t="s">
        <v>198</v>
      </c>
      <c r="F634" s="348">
        <f>F635+F637+F639</f>
        <v>70679.872359999994</v>
      </c>
      <c r="G634" s="348">
        <f>G635+G637+G639</f>
        <v>64964.291729999997</v>
      </c>
      <c r="H634" s="348">
        <f>H635+H637+H639</f>
        <v>67949.963440000007</v>
      </c>
    </row>
    <row r="635" spans="1:15" ht="101.25" customHeight="1">
      <c r="A635" s="77" t="s">
        <v>605</v>
      </c>
      <c r="B635" s="43" t="s">
        <v>187</v>
      </c>
      <c r="C635" s="43" t="s">
        <v>678</v>
      </c>
      <c r="D635" s="43" t="s">
        <v>49</v>
      </c>
      <c r="E635" s="43" t="s">
        <v>606</v>
      </c>
      <c r="F635" s="348">
        <f>F636</f>
        <v>59656.902359999993</v>
      </c>
      <c r="G635" s="348">
        <f t="shared" ref="G635:H635" si="175">G636</f>
        <v>55078.822029999996</v>
      </c>
      <c r="H635" s="348">
        <f t="shared" si="175"/>
        <v>56053.329040000004</v>
      </c>
    </row>
    <row r="636" spans="1:15" ht="32.25" customHeight="1">
      <c r="A636" s="77" t="s">
        <v>767</v>
      </c>
      <c r="B636" s="43" t="s">
        <v>187</v>
      </c>
      <c r="C636" s="43" t="s">
        <v>678</v>
      </c>
      <c r="D636" s="43" t="s">
        <v>49</v>
      </c>
      <c r="E636" s="43" t="s">
        <v>768</v>
      </c>
      <c r="F636" s="348">
        <f>'4'!G925</f>
        <v>59656.902359999993</v>
      </c>
      <c r="G636" s="348">
        <f>'4'!H925</f>
        <v>55078.822029999996</v>
      </c>
      <c r="H636" s="348">
        <f>'4'!I925</f>
        <v>56053.329040000004</v>
      </c>
      <c r="I636" s="186"/>
    </row>
    <row r="637" spans="1:15" ht="33" customHeight="1">
      <c r="A637" s="77" t="s">
        <v>611</v>
      </c>
      <c r="B637" s="43" t="s">
        <v>187</v>
      </c>
      <c r="C637" s="43" t="s">
        <v>678</v>
      </c>
      <c r="D637" s="43" t="s">
        <v>49</v>
      </c>
      <c r="E637" s="43" t="s">
        <v>612</v>
      </c>
      <c r="F637" s="348">
        <f>F638</f>
        <v>10992.97</v>
      </c>
      <c r="G637" s="348">
        <f>G638</f>
        <v>9855.4696999999996</v>
      </c>
      <c r="H637" s="348">
        <f>H638</f>
        <v>11866.634400000001</v>
      </c>
    </row>
    <row r="638" spans="1:15" ht="48.75" customHeight="1">
      <c r="A638" s="77" t="s">
        <v>613</v>
      </c>
      <c r="B638" s="43" t="s">
        <v>187</v>
      </c>
      <c r="C638" s="43" t="s">
        <v>678</v>
      </c>
      <c r="D638" s="43" t="s">
        <v>49</v>
      </c>
      <c r="E638" s="43" t="s">
        <v>614</v>
      </c>
      <c r="F638" s="348">
        <v>10992.97</v>
      </c>
      <c r="G638" s="348">
        <v>9855.4696999999996</v>
      </c>
      <c r="H638" s="348">
        <v>11866.634400000001</v>
      </c>
    </row>
    <row r="639" spans="1:15" ht="19.5" customHeight="1">
      <c r="A639" s="77" t="s">
        <v>615</v>
      </c>
      <c r="B639" s="43" t="s">
        <v>187</v>
      </c>
      <c r="C639" s="43" t="s">
        <v>678</v>
      </c>
      <c r="D639" s="43" t="s">
        <v>49</v>
      </c>
      <c r="E639" s="43" t="s">
        <v>616</v>
      </c>
      <c r="F639" s="348">
        <f>F640+F641</f>
        <v>30</v>
      </c>
      <c r="G639" s="348">
        <f>G640+G641</f>
        <v>30</v>
      </c>
      <c r="H639" s="348">
        <f>H640+H641</f>
        <v>30</v>
      </c>
    </row>
    <row r="640" spans="1:15" ht="15.75" hidden="1" customHeight="1">
      <c r="A640" s="77" t="s">
        <v>654</v>
      </c>
      <c r="B640" s="43" t="s">
        <v>187</v>
      </c>
      <c r="C640" s="43" t="s">
        <v>678</v>
      </c>
      <c r="D640" s="43" t="s">
        <v>49</v>
      </c>
      <c r="E640" s="43" t="s">
        <v>655</v>
      </c>
      <c r="F640" s="348"/>
      <c r="G640" s="348"/>
      <c r="H640" s="348"/>
    </row>
    <row r="641" spans="1:15" ht="19.5" customHeight="1">
      <c r="A641" s="77" t="s">
        <v>617</v>
      </c>
      <c r="B641" s="43" t="s">
        <v>187</v>
      </c>
      <c r="C641" s="43" t="s">
        <v>678</v>
      </c>
      <c r="D641" s="43" t="s">
        <v>49</v>
      </c>
      <c r="E641" s="43" t="s">
        <v>618</v>
      </c>
      <c r="F641" s="348">
        <v>30</v>
      </c>
      <c r="G641" s="348">
        <v>30</v>
      </c>
      <c r="H641" s="348">
        <v>30</v>
      </c>
    </row>
    <row r="642" spans="1:15" ht="63" hidden="1" customHeight="1">
      <c r="A642" s="86" t="s">
        <v>538</v>
      </c>
      <c r="B642" s="43" t="s">
        <v>187</v>
      </c>
      <c r="C642" s="43" t="s">
        <v>678</v>
      </c>
      <c r="D642" s="43" t="s">
        <v>49</v>
      </c>
      <c r="E642" s="43" t="s">
        <v>198</v>
      </c>
      <c r="F642" s="348">
        <f>F643+F645</f>
        <v>0</v>
      </c>
      <c r="G642" s="348">
        <f>G643+G645</f>
        <v>0</v>
      </c>
      <c r="H642" s="348">
        <f>H643+H645</f>
        <v>0</v>
      </c>
    </row>
    <row r="643" spans="1:15" ht="94.5" hidden="1" customHeight="1">
      <c r="A643" s="77" t="s">
        <v>605</v>
      </c>
      <c r="B643" s="43" t="s">
        <v>187</v>
      </c>
      <c r="C643" s="43" t="s">
        <v>678</v>
      </c>
      <c r="D643" s="43" t="s">
        <v>49</v>
      </c>
      <c r="E643" s="43" t="s">
        <v>606</v>
      </c>
      <c r="F643" s="348">
        <f>F644</f>
        <v>0</v>
      </c>
      <c r="G643" s="348">
        <f>G644</f>
        <v>0</v>
      </c>
      <c r="H643" s="348">
        <f>H644</f>
        <v>0</v>
      </c>
    </row>
    <row r="644" spans="1:15" ht="31.5" hidden="1" customHeight="1">
      <c r="A644" s="77" t="s">
        <v>767</v>
      </c>
      <c r="B644" s="43" t="s">
        <v>187</v>
      </c>
      <c r="C644" s="43" t="s">
        <v>678</v>
      </c>
      <c r="D644" s="43" t="s">
        <v>49</v>
      </c>
      <c r="E644" s="43" t="s">
        <v>768</v>
      </c>
      <c r="F644" s="348">
        <f>'5'!D99</f>
        <v>0</v>
      </c>
      <c r="G644" s="348">
        <f>'5'!E99</f>
        <v>0</v>
      </c>
      <c r="H644" s="348">
        <f>'5'!F99</f>
        <v>0</v>
      </c>
    </row>
    <row r="645" spans="1:15" ht="31.5" hidden="1" customHeight="1">
      <c r="A645" s="77" t="s">
        <v>611</v>
      </c>
      <c r="B645" s="43" t="s">
        <v>187</v>
      </c>
      <c r="C645" s="43" t="s">
        <v>678</v>
      </c>
      <c r="D645" s="43" t="s">
        <v>49</v>
      </c>
      <c r="E645" s="43" t="s">
        <v>612</v>
      </c>
      <c r="F645" s="348">
        <f>F646</f>
        <v>0</v>
      </c>
      <c r="G645" s="348">
        <f>G646</f>
        <v>0</v>
      </c>
      <c r="H645" s="348">
        <f>H646</f>
        <v>0</v>
      </c>
    </row>
    <row r="646" spans="1:15" ht="47.25" hidden="1" customHeight="1">
      <c r="A646" s="77" t="s">
        <v>613</v>
      </c>
      <c r="B646" s="43" t="s">
        <v>187</v>
      </c>
      <c r="C646" s="43" t="s">
        <v>678</v>
      </c>
      <c r="D646" s="43" t="s">
        <v>49</v>
      </c>
      <c r="E646" s="43" t="s">
        <v>614</v>
      </c>
      <c r="F646" s="348">
        <v>0</v>
      </c>
      <c r="G646" s="348">
        <v>0</v>
      </c>
      <c r="H646" s="348">
        <v>0</v>
      </c>
    </row>
    <row r="647" spans="1:15" ht="33.75" customHeight="1">
      <c r="A647" s="86" t="s">
        <v>659</v>
      </c>
      <c r="B647" s="43" t="s">
        <v>187</v>
      </c>
      <c r="C647" s="43" t="s">
        <v>678</v>
      </c>
      <c r="D647" s="58" t="s">
        <v>19</v>
      </c>
      <c r="E647" s="43" t="s">
        <v>198</v>
      </c>
      <c r="F647" s="348">
        <f t="shared" ref="F647:H648" si="176">F648</f>
        <v>161</v>
      </c>
      <c r="G647" s="348">
        <f t="shared" si="176"/>
        <v>211</v>
      </c>
      <c r="H647" s="348">
        <f t="shared" si="176"/>
        <v>261</v>
      </c>
    </row>
    <row r="648" spans="1:15" ht="33" customHeight="1">
      <c r="A648" s="77" t="s">
        <v>611</v>
      </c>
      <c r="B648" s="43" t="s">
        <v>187</v>
      </c>
      <c r="C648" s="43" t="s">
        <v>678</v>
      </c>
      <c r="D648" s="58" t="s">
        <v>20</v>
      </c>
      <c r="E648" s="43" t="s">
        <v>612</v>
      </c>
      <c r="F648" s="348">
        <f t="shared" si="176"/>
        <v>161</v>
      </c>
      <c r="G648" s="348">
        <f t="shared" si="176"/>
        <v>211</v>
      </c>
      <c r="H648" s="348">
        <f t="shared" si="176"/>
        <v>261</v>
      </c>
    </row>
    <row r="649" spans="1:15" ht="51" customHeight="1">
      <c r="A649" s="77" t="s">
        <v>613</v>
      </c>
      <c r="B649" s="43" t="s">
        <v>187</v>
      </c>
      <c r="C649" s="43" t="s">
        <v>678</v>
      </c>
      <c r="D649" s="58" t="s">
        <v>20</v>
      </c>
      <c r="E649" s="43" t="s">
        <v>614</v>
      </c>
      <c r="F649" s="348">
        <f>'5'!D101</f>
        <v>161</v>
      </c>
      <c r="G649" s="348">
        <f>'5'!E101</f>
        <v>211</v>
      </c>
      <c r="H649" s="348">
        <f>'5'!F101</f>
        <v>261</v>
      </c>
      <c r="O649" s="40"/>
    </row>
    <row r="650" spans="1:15" s="40" customFormat="1" ht="68.25" customHeight="1">
      <c r="A650" s="76" t="s">
        <v>511</v>
      </c>
      <c r="B650" s="53" t="s">
        <v>187</v>
      </c>
      <c r="C650" s="53" t="s">
        <v>678</v>
      </c>
      <c r="D650" s="53" t="s">
        <v>50</v>
      </c>
      <c r="E650" s="53" t="s">
        <v>198</v>
      </c>
      <c r="F650" s="41">
        <f>F654+F659+F651</f>
        <v>2050</v>
      </c>
      <c r="G650" s="41">
        <f>G654+G659+G651</f>
        <v>1078</v>
      </c>
      <c r="H650" s="41">
        <f>H654+H659+H651</f>
        <v>1108</v>
      </c>
    </row>
    <row r="651" spans="1:15" s="40" customFormat="1" ht="115.5" customHeight="1">
      <c r="A651" s="77" t="s">
        <v>994</v>
      </c>
      <c r="B651" s="53" t="s">
        <v>187</v>
      </c>
      <c r="C651" s="53" t="s">
        <v>678</v>
      </c>
      <c r="D651" s="58" t="s">
        <v>995</v>
      </c>
      <c r="E651" s="53" t="s">
        <v>606</v>
      </c>
      <c r="F651" s="41">
        <v>600</v>
      </c>
      <c r="G651" s="41">
        <v>0</v>
      </c>
      <c r="H651" s="41">
        <v>0</v>
      </c>
    </row>
    <row r="652" spans="1:15" s="40" customFormat="1" ht="47.25" hidden="1">
      <c r="A652" s="77" t="s">
        <v>649</v>
      </c>
      <c r="B652" s="53" t="s">
        <v>187</v>
      </c>
      <c r="C652" s="53" t="s">
        <v>678</v>
      </c>
      <c r="D652" s="58" t="s">
        <v>995</v>
      </c>
      <c r="E652" s="53" t="s">
        <v>612</v>
      </c>
      <c r="F652" s="41">
        <f t="shared" ref="F652:G652" si="177">F653</f>
        <v>0</v>
      </c>
      <c r="G652" s="41">
        <f t="shared" si="177"/>
        <v>0</v>
      </c>
      <c r="H652" s="41">
        <f>H653</f>
        <v>0</v>
      </c>
    </row>
    <row r="653" spans="1:15" s="40" customFormat="1" hidden="1">
      <c r="A653" s="77" t="s">
        <v>117</v>
      </c>
      <c r="B653" s="53" t="s">
        <v>187</v>
      </c>
      <c r="C653" s="53" t="s">
        <v>678</v>
      </c>
      <c r="D653" s="41"/>
      <c r="E653" s="53" t="s">
        <v>614</v>
      </c>
      <c r="F653" s="41">
        <v>0</v>
      </c>
      <c r="G653" s="41">
        <v>0</v>
      </c>
      <c r="H653" s="41">
        <v>0</v>
      </c>
      <c r="O653" s="24"/>
    </row>
    <row r="654" spans="1:15" ht="18" customHeight="1">
      <c r="A654" s="77" t="s">
        <v>191</v>
      </c>
      <c r="B654" s="43" t="s">
        <v>187</v>
      </c>
      <c r="C654" s="43" t="s">
        <v>678</v>
      </c>
      <c r="D654" s="43" t="s">
        <v>769</v>
      </c>
      <c r="E654" s="43" t="s">
        <v>198</v>
      </c>
      <c r="F654" s="348">
        <f>F656+F658</f>
        <v>605</v>
      </c>
      <c r="G654" s="348">
        <f>G656+G658</f>
        <v>778</v>
      </c>
      <c r="H654" s="348">
        <f>H656+H658</f>
        <v>798</v>
      </c>
    </row>
    <row r="655" spans="1:15" ht="37.5" customHeight="1">
      <c r="A655" s="77" t="s">
        <v>611</v>
      </c>
      <c r="B655" s="43" t="s">
        <v>187</v>
      </c>
      <c r="C655" s="43" t="s">
        <v>678</v>
      </c>
      <c r="D655" s="43" t="s">
        <v>51</v>
      </c>
      <c r="E655" s="43" t="s">
        <v>612</v>
      </c>
      <c r="F655" s="348">
        <f t="shared" ref="F655:H655" si="178">F656</f>
        <v>3</v>
      </c>
      <c r="G655" s="348">
        <f t="shared" si="178"/>
        <v>0</v>
      </c>
      <c r="H655" s="348">
        <f t="shared" si="178"/>
        <v>0</v>
      </c>
    </row>
    <row r="656" spans="1:15" ht="50.25" customHeight="1">
      <c r="A656" s="77" t="s">
        <v>613</v>
      </c>
      <c r="B656" s="43" t="s">
        <v>187</v>
      </c>
      <c r="C656" s="43" t="s">
        <v>678</v>
      </c>
      <c r="D656" s="43" t="s">
        <v>51</v>
      </c>
      <c r="E656" s="43" t="s">
        <v>614</v>
      </c>
      <c r="F656" s="348">
        <v>3</v>
      </c>
      <c r="G656" s="348">
        <v>0</v>
      </c>
      <c r="H656" s="348">
        <v>0</v>
      </c>
    </row>
    <row r="657" spans="1:15" ht="28.5" customHeight="1">
      <c r="A657" s="77" t="s">
        <v>734</v>
      </c>
      <c r="B657" s="43" t="s">
        <v>187</v>
      </c>
      <c r="C657" s="43" t="s">
        <v>678</v>
      </c>
      <c r="D657" s="43" t="s">
        <v>51</v>
      </c>
      <c r="E657" s="43" t="s">
        <v>198</v>
      </c>
      <c r="F657" s="348">
        <f>F658</f>
        <v>602</v>
      </c>
      <c r="G657" s="348">
        <f t="shared" ref="G657:H657" si="179">G658</f>
        <v>778</v>
      </c>
      <c r="H657" s="348">
        <f t="shared" si="179"/>
        <v>798</v>
      </c>
    </row>
    <row r="658" spans="1:15" ht="22.5" customHeight="1">
      <c r="A658" s="77" t="s">
        <v>952</v>
      </c>
      <c r="B658" s="43" t="s">
        <v>187</v>
      </c>
      <c r="C658" s="43" t="s">
        <v>678</v>
      </c>
      <c r="D658" s="43" t="s">
        <v>51</v>
      </c>
      <c r="E658" s="43" t="s">
        <v>768</v>
      </c>
      <c r="F658" s="348">
        <v>602</v>
      </c>
      <c r="G658" s="348">
        <f>'5'!E116</f>
        <v>778</v>
      </c>
      <c r="H658" s="348">
        <f>'5'!F116</f>
        <v>798</v>
      </c>
    </row>
    <row r="659" spans="1:15" ht="33" customHeight="1">
      <c r="A659" s="77" t="s">
        <v>734</v>
      </c>
      <c r="B659" s="43" t="s">
        <v>187</v>
      </c>
      <c r="C659" s="43" t="s">
        <v>678</v>
      </c>
      <c r="D659" s="43" t="s">
        <v>52</v>
      </c>
      <c r="E659" s="43" t="s">
        <v>198</v>
      </c>
      <c r="F659" s="348">
        <f t="shared" ref="F659:H660" si="180">F660</f>
        <v>845</v>
      </c>
      <c r="G659" s="348">
        <f t="shared" si="180"/>
        <v>300</v>
      </c>
      <c r="H659" s="348">
        <f t="shared" si="180"/>
        <v>310</v>
      </c>
    </row>
    <row r="660" spans="1:15" ht="49.5" customHeight="1">
      <c r="A660" s="77" t="s">
        <v>649</v>
      </c>
      <c r="B660" s="43" t="s">
        <v>187</v>
      </c>
      <c r="C660" s="43" t="s">
        <v>678</v>
      </c>
      <c r="D660" s="43" t="s">
        <v>52</v>
      </c>
      <c r="E660" s="43" t="s">
        <v>648</v>
      </c>
      <c r="F660" s="348">
        <f t="shared" si="180"/>
        <v>845</v>
      </c>
      <c r="G660" s="348">
        <f t="shared" si="180"/>
        <v>300</v>
      </c>
      <c r="H660" s="348">
        <f t="shared" si="180"/>
        <v>310</v>
      </c>
    </row>
    <row r="661" spans="1:15" ht="19.5" customHeight="1">
      <c r="A661" s="77" t="s">
        <v>117</v>
      </c>
      <c r="B661" s="43" t="s">
        <v>187</v>
      </c>
      <c r="C661" s="43" t="s">
        <v>678</v>
      </c>
      <c r="D661" s="43" t="s">
        <v>52</v>
      </c>
      <c r="E661" s="43" t="s">
        <v>156</v>
      </c>
      <c r="F661" s="348">
        <f>'5'!D117</f>
        <v>845</v>
      </c>
      <c r="G661" s="348">
        <f>'5'!E117</f>
        <v>300</v>
      </c>
      <c r="H661" s="348">
        <f>'5'!F117</f>
        <v>310</v>
      </c>
      <c r="O661" s="40"/>
    </row>
    <row r="662" spans="1:15" s="40" customFormat="1" ht="64.5" customHeight="1">
      <c r="A662" s="76" t="s">
        <v>544</v>
      </c>
      <c r="B662" s="53" t="s">
        <v>187</v>
      </c>
      <c r="C662" s="53" t="s">
        <v>678</v>
      </c>
      <c r="D662" s="53" t="s">
        <v>22</v>
      </c>
      <c r="E662" s="53" t="s">
        <v>198</v>
      </c>
      <c r="F662" s="41">
        <f>F663</f>
        <v>2435</v>
      </c>
      <c r="G662" s="41">
        <f>G663</f>
        <v>1032</v>
      </c>
      <c r="H662" s="41">
        <f>H663</f>
        <v>318</v>
      </c>
      <c r="O662" s="24"/>
    </row>
    <row r="663" spans="1:15" ht="21.75" customHeight="1">
      <c r="A663" s="77" t="s">
        <v>191</v>
      </c>
      <c r="B663" s="43" t="s">
        <v>187</v>
      </c>
      <c r="C663" s="43" t="s">
        <v>678</v>
      </c>
      <c r="D663" s="43" t="s">
        <v>666</v>
      </c>
      <c r="E663" s="43" t="s">
        <v>198</v>
      </c>
      <c r="F663" s="348">
        <f>F664+F666</f>
        <v>2435</v>
      </c>
      <c r="G663" s="348">
        <f>G664+G666</f>
        <v>1032</v>
      </c>
      <c r="H663" s="348">
        <f>H664+H666</f>
        <v>318</v>
      </c>
    </row>
    <row r="664" spans="1:15" ht="33.75" customHeight="1">
      <c r="A664" s="77" t="s">
        <v>611</v>
      </c>
      <c r="B664" s="43" t="s">
        <v>187</v>
      </c>
      <c r="C664" s="43" t="s">
        <v>678</v>
      </c>
      <c r="D664" s="43" t="s">
        <v>53</v>
      </c>
      <c r="E664" s="43" t="s">
        <v>612</v>
      </c>
      <c r="F664" s="348">
        <f>F665</f>
        <v>4</v>
      </c>
      <c r="G664" s="348">
        <f>G665</f>
        <v>4</v>
      </c>
      <c r="H664" s="348">
        <f>H665</f>
        <v>10</v>
      </c>
    </row>
    <row r="665" spans="1:15" ht="48.75" customHeight="1">
      <c r="A665" s="77" t="s">
        <v>613</v>
      </c>
      <c r="B665" s="43" t="s">
        <v>187</v>
      </c>
      <c r="C665" s="43" t="s">
        <v>678</v>
      </c>
      <c r="D665" s="43" t="s">
        <v>53</v>
      </c>
      <c r="E665" s="43" t="s">
        <v>614</v>
      </c>
      <c r="F665" s="348">
        <f>'5'!D123</f>
        <v>4</v>
      </c>
      <c r="G665" s="348">
        <f>'5'!E123</f>
        <v>4</v>
      </c>
      <c r="H665" s="348">
        <f>'5'!F123</f>
        <v>10</v>
      </c>
    </row>
    <row r="666" spans="1:15" ht="48.75" customHeight="1">
      <c r="A666" s="77" t="s">
        <v>649</v>
      </c>
      <c r="B666" s="43" t="s">
        <v>187</v>
      </c>
      <c r="C666" s="43" t="s">
        <v>678</v>
      </c>
      <c r="D666" s="43" t="s">
        <v>53</v>
      </c>
      <c r="E666" s="43" t="s">
        <v>648</v>
      </c>
      <c r="F666" s="348">
        <f>F667</f>
        <v>2431</v>
      </c>
      <c r="G666" s="348">
        <f>G667</f>
        <v>1028</v>
      </c>
      <c r="H666" s="348">
        <f>H667</f>
        <v>308</v>
      </c>
    </row>
    <row r="667" spans="1:15" ht="20.45" customHeight="1">
      <c r="A667" s="77" t="s">
        <v>117</v>
      </c>
      <c r="B667" s="43" t="s">
        <v>187</v>
      </c>
      <c r="C667" s="43" t="s">
        <v>678</v>
      </c>
      <c r="D667" s="43" t="s">
        <v>53</v>
      </c>
      <c r="E667" s="43" t="s">
        <v>156</v>
      </c>
      <c r="F667" s="348">
        <f>'5'!D124</f>
        <v>2431</v>
      </c>
      <c r="G667" s="348">
        <f>'5'!E124</f>
        <v>1028</v>
      </c>
      <c r="H667" s="348">
        <f>'5'!F124</f>
        <v>308</v>
      </c>
    </row>
    <row r="668" spans="1:15" ht="81.75" customHeight="1">
      <c r="A668" s="76" t="s">
        <v>709</v>
      </c>
      <c r="B668" s="53" t="s">
        <v>187</v>
      </c>
      <c r="C668" s="53" t="s">
        <v>678</v>
      </c>
      <c r="D668" s="53" t="s">
        <v>259</v>
      </c>
      <c r="E668" s="53" t="s">
        <v>198</v>
      </c>
      <c r="F668" s="41">
        <f>F669+F671</f>
        <v>550</v>
      </c>
      <c r="G668" s="41">
        <f>G669+G671</f>
        <v>550</v>
      </c>
      <c r="H668" s="41">
        <f>H669+H671</f>
        <v>0</v>
      </c>
    </row>
    <row r="669" spans="1:15" ht="31.5" hidden="1" customHeight="1">
      <c r="A669" s="77" t="s">
        <v>611</v>
      </c>
      <c r="B669" s="43" t="s">
        <v>187</v>
      </c>
      <c r="C669" s="43" t="s">
        <v>678</v>
      </c>
      <c r="D669" s="43" t="s">
        <v>416</v>
      </c>
      <c r="E669" s="43" t="s">
        <v>612</v>
      </c>
      <c r="F669" s="348">
        <f>F670</f>
        <v>0</v>
      </c>
      <c r="G669" s="348">
        <f>G670</f>
        <v>0</v>
      </c>
      <c r="H669" s="348">
        <f>H670</f>
        <v>0</v>
      </c>
    </row>
    <row r="670" spans="1:15" ht="47.25" hidden="1" customHeight="1">
      <c r="A670" s="77" t="s">
        <v>613</v>
      </c>
      <c r="B670" s="43" t="s">
        <v>187</v>
      </c>
      <c r="C670" s="43" t="s">
        <v>678</v>
      </c>
      <c r="D670" s="43" t="s">
        <v>416</v>
      </c>
      <c r="E670" s="43" t="s">
        <v>614</v>
      </c>
      <c r="F670" s="348">
        <f>'5'!D222</f>
        <v>0</v>
      </c>
      <c r="G670" s="348">
        <f>'5'!E222</f>
        <v>0</v>
      </c>
      <c r="H670" s="348">
        <f>'5'!F222</f>
        <v>0</v>
      </c>
    </row>
    <row r="671" spans="1:15" ht="46.9" customHeight="1">
      <c r="A671" s="77" t="s">
        <v>649</v>
      </c>
      <c r="B671" s="43" t="s">
        <v>187</v>
      </c>
      <c r="C671" s="43" t="s">
        <v>678</v>
      </c>
      <c r="D671" s="43" t="s">
        <v>260</v>
      </c>
      <c r="E671" s="43" t="s">
        <v>648</v>
      </c>
      <c r="F671" s="348">
        <f>F672</f>
        <v>550</v>
      </c>
      <c r="G671" s="348">
        <f>G672</f>
        <v>550</v>
      </c>
      <c r="H671" s="348">
        <f>H672</f>
        <v>0</v>
      </c>
    </row>
    <row r="672" spans="1:15" ht="18" customHeight="1">
      <c r="A672" s="74" t="s">
        <v>117</v>
      </c>
      <c r="B672" s="37" t="s">
        <v>187</v>
      </c>
      <c r="C672" s="37" t="s">
        <v>678</v>
      </c>
      <c r="D672" s="37" t="s">
        <v>260</v>
      </c>
      <c r="E672" s="37" t="s">
        <v>156</v>
      </c>
      <c r="F672" s="38">
        <f>'5'!D219</f>
        <v>550</v>
      </c>
      <c r="G672" s="38">
        <f>'5'!E219</f>
        <v>550</v>
      </c>
      <c r="H672" s="38">
        <f>'5'!F219</f>
        <v>0</v>
      </c>
    </row>
    <row r="673" spans="1:8" ht="47.25" hidden="1" customHeight="1">
      <c r="A673" s="75" t="s">
        <v>667</v>
      </c>
      <c r="B673" s="37" t="s">
        <v>187</v>
      </c>
      <c r="C673" s="37" t="s">
        <v>678</v>
      </c>
      <c r="D673" s="2" t="s">
        <v>24</v>
      </c>
      <c r="E673" s="2" t="s">
        <v>198</v>
      </c>
      <c r="F673" s="39">
        <f>F674</f>
        <v>0</v>
      </c>
      <c r="G673" s="39">
        <f>G674</f>
        <v>0</v>
      </c>
      <c r="H673" s="39">
        <f>H674</f>
        <v>0</v>
      </c>
    </row>
    <row r="674" spans="1:8" ht="31.5" hidden="1" customHeight="1">
      <c r="A674" s="74" t="s">
        <v>611</v>
      </c>
      <c r="B674" s="37" t="s">
        <v>187</v>
      </c>
      <c r="C674" s="37" t="s">
        <v>678</v>
      </c>
      <c r="D674" s="37" t="s">
        <v>668</v>
      </c>
      <c r="E674" s="37" t="s">
        <v>612</v>
      </c>
      <c r="F674" s="38">
        <f>F675+F676</f>
        <v>0</v>
      </c>
      <c r="G674" s="38">
        <f>G675+G676</f>
        <v>0</v>
      </c>
      <c r="H674" s="38">
        <f>H675+H676</f>
        <v>0</v>
      </c>
    </row>
    <row r="675" spans="1:8" ht="63" hidden="1" customHeight="1">
      <c r="A675" s="74" t="s">
        <v>770</v>
      </c>
      <c r="B675" s="37" t="s">
        <v>187</v>
      </c>
      <c r="C675" s="37" t="s">
        <v>678</v>
      </c>
      <c r="D675" s="37" t="s">
        <v>262</v>
      </c>
      <c r="E675" s="37" t="s">
        <v>614</v>
      </c>
      <c r="F675" s="38"/>
      <c r="G675" s="38"/>
      <c r="H675" s="38"/>
    </row>
    <row r="676" spans="1:8" ht="47.25" hidden="1" customHeight="1">
      <c r="A676" s="74" t="s">
        <v>771</v>
      </c>
      <c r="B676" s="37" t="s">
        <v>187</v>
      </c>
      <c r="C676" s="37" t="s">
        <v>678</v>
      </c>
      <c r="D676" s="37" t="s">
        <v>263</v>
      </c>
      <c r="E676" s="37" t="s">
        <v>614</v>
      </c>
      <c r="F676" s="38"/>
      <c r="G676" s="38"/>
      <c r="H676" s="38"/>
    </row>
    <row r="677" spans="1:8" ht="47.25" hidden="1" customHeight="1">
      <c r="A677" s="78" t="s">
        <v>481</v>
      </c>
      <c r="B677" s="44" t="s">
        <v>187</v>
      </c>
      <c r="C677" s="44" t="s">
        <v>678</v>
      </c>
      <c r="D677" s="44" t="s">
        <v>772</v>
      </c>
      <c r="E677" s="44" t="s">
        <v>198</v>
      </c>
      <c r="F677" s="45">
        <f t="shared" ref="F677:H678" si="181">F678</f>
        <v>0</v>
      </c>
      <c r="G677" s="45">
        <f t="shared" si="181"/>
        <v>0</v>
      </c>
      <c r="H677" s="45">
        <f t="shared" si="181"/>
        <v>0</v>
      </c>
    </row>
    <row r="678" spans="1:8" ht="31.5" hidden="1" customHeight="1">
      <c r="A678" s="74" t="s">
        <v>611</v>
      </c>
      <c r="B678" s="37" t="s">
        <v>187</v>
      </c>
      <c r="C678" s="37" t="s">
        <v>678</v>
      </c>
      <c r="D678" s="37" t="s">
        <v>451</v>
      </c>
      <c r="E678" s="37" t="s">
        <v>612</v>
      </c>
      <c r="F678" s="38">
        <f t="shared" si="181"/>
        <v>0</v>
      </c>
      <c r="G678" s="38">
        <f t="shared" si="181"/>
        <v>0</v>
      </c>
      <c r="H678" s="38">
        <f t="shared" si="181"/>
        <v>0</v>
      </c>
    </row>
    <row r="679" spans="1:8" ht="47.25" hidden="1" customHeight="1">
      <c r="A679" s="74" t="s">
        <v>613</v>
      </c>
      <c r="B679" s="37" t="s">
        <v>187</v>
      </c>
      <c r="C679" s="37" t="s">
        <v>678</v>
      </c>
      <c r="D679" s="37" t="s">
        <v>451</v>
      </c>
      <c r="E679" s="37" t="s">
        <v>614</v>
      </c>
      <c r="F679" s="38">
        <f>'5'!D245</f>
        <v>0</v>
      </c>
      <c r="G679" s="38">
        <f>'5'!E245</f>
        <v>0</v>
      </c>
      <c r="H679" s="38">
        <f>'5'!F245</f>
        <v>0</v>
      </c>
    </row>
    <row r="680" spans="1:8" ht="47.25" hidden="1" customHeight="1">
      <c r="A680" s="376" t="s">
        <v>604</v>
      </c>
      <c r="B680" s="51" t="s">
        <v>187</v>
      </c>
      <c r="C680" s="51" t="s">
        <v>678</v>
      </c>
      <c r="D680" s="51" t="s">
        <v>1</v>
      </c>
      <c r="E680" s="51" t="s">
        <v>198</v>
      </c>
      <c r="F680" s="52">
        <f>F681+F687+F690</f>
        <v>0</v>
      </c>
      <c r="G680" s="52">
        <f>G681+G687+G690</f>
        <v>0</v>
      </c>
      <c r="H680" s="52">
        <f>H681+H687+H690</f>
        <v>0</v>
      </c>
    </row>
    <row r="681" spans="1:8" ht="47.25" hidden="1" customHeight="1">
      <c r="A681" s="74" t="s">
        <v>104</v>
      </c>
      <c r="B681" s="37" t="s">
        <v>187</v>
      </c>
      <c r="C681" s="37" t="s">
        <v>678</v>
      </c>
      <c r="D681" s="37" t="s">
        <v>2</v>
      </c>
      <c r="E681" s="37" t="s">
        <v>198</v>
      </c>
      <c r="F681" s="38">
        <f>F682</f>
        <v>0</v>
      </c>
      <c r="G681" s="38">
        <f>G682</f>
        <v>0</v>
      </c>
      <c r="H681" s="38">
        <f>H682</f>
        <v>0</v>
      </c>
    </row>
    <row r="682" spans="1:8" ht="47.25" hidden="1" customHeight="1">
      <c r="A682" s="74" t="s">
        <v>106</v>
      </c>
      <c r="B682" s="37" t="s">
        <v>187</v>
      </c>
      <c r="C682" s="37" t="s">
        <v>678</v>
      </c>
      <c r="D682" s="37" t="s">
        <v>5</v>
      </c>
      <c r="E682" s="37" t="s">
        <v>198</v>
      </c>
      <c r="F682" s="38">
        <f>F683+F685</f>
        <v>0</v>
      </c>
      <c r="G682" s="38">
        <f>G683+G685</f>
        <v>0</v>
      </c>
      <c r="H682" s="38">
        <f>H683+H685</f>
        <v>0</v>
      </c>
    </row>
    <row r="683" spans="1:8" ht="94.5" hidden="1" customHeight="1">
      <c r="A683" s="74" t="s">
        <v>605</v>
      </c>
      <c r="B683" s="37" t="s">
        <v>187</v>
      </c>
      <c r="C683" s="37" t="s">
        <v>678</v>
      </c>
      <c r="D683" s="37" t="s">
        <v>5</v>
      </c>
      <c r="E683" s="37" t="s">
        <v>606</v>
      </c>
      <c r="F683" s="38">
        <f>F684</f>
        <v>0</v>
      </c>
      <c r="G683" s="38">
        <f>G684</f>
        <v>0</v>
      </c>
      <c r="H683" s="38">
        <f>H684</f>
        <v>0</v>
      </c>
    </row>
    <row r="684" spans="1:8" ht="31.5" hidden="1" customHeight="1">
      <c r="A684" s="74" t="s">
        <v>607</v>
      </c>
      <c r="B684" s="37" t="s">
        <v>187</v>
      </c>
      <c r="C684" s="37" t="s">
        <v>678</v>
      </c>
      <c r="D684" s="37" t="s">
        <v>5</v>
      </c>
      <c r="E684" s="37" t="s">
        <v>608</v>
      </c>
      <c r="F684" s="38">
        <v>0</v>
      </c>
      <c r="G684" s="38">
        <v>0</v>
      </c>
      <c r="H684" s="38">
        <v>0</v>
      </c>
    </row>
    <row r="685" spans="1:8" ht="31.5" hidden="1" customHeight="1">
      <c r="A685" s="74" t="s">
        <v>611</v>
      </c>
      <c r="B685" s="37" t="s">
        <v>187</v>
      </c>
      <c r="C685" s="37" t="s">
        <v>678</v>
      </c>
      <c r="D685" s="37" t="s">
        <v>5</v>
      </c>
      <c r="E685" s="37" t="s">
        <v>612</v>
      </c>
      <c r="F685" s="38">
        <f>F686</f>
        <v>0</v>
      </c>
      <c r="G685" s="38">
        <f>G686</f>
        <v>0</v>
      </c>
      <c r="H685" s="38">
        <f>H686</f>
        <v>0</v>
      </c>
    </row>
    <row r="686" spans="1:8" ht="47.25" hidden="1" customHeight="1">
      <c r="A686" s="74" t="s">
        <v>613</v>
      </c>
      <c r="B686" s="37" t="s">
        <v>187</v>
      </c>
      <c r="C686" s="37" t="s">
        <v>678</v>
      </c>
      <c r="D686" s="37" t="s">
        <v>5</v>
      </c>
      <c r="E686" s="37" t="s">
        <v>614</v>
      </c>
      <c r="F686" s="38">
        <v>0</v>
      </c>
      <c r="G686" s="38">
        <v>0</v>
      </c>
      <c r="H686" s="38">
        <v>0</v>
      </c>
    </row>
    <row r="687" spans="1:8" ht="15.75" hidden="1" customHeight="1">
      <c r="A687" s="76" t="s">
        <v>413</v>
      </c>
      <c r="B687" s="53" t="s">
        <v>187</v>
      </c>
      <c r="C687" s="53" t="s">
        <v>678</v>
      </c>
      <c r="D687" s="53" t="s">
        <v>414</v>
      </c>
      <c r="E687" s="53" t="s">
        <v>198</v>
      </c>
      <c r="F687" s="41">
        <f t="shared" ref="F687:H688" si="182">F688</f>
        <v>0</v>
      </c>
      <c r="G687" s="41">
        <f t="shared" si="182"/>
        <v>0</v>
      </c>
      <c r="H687" s="41">
        <f t="shared" si="182"/>
        <v>0</v>
      </c>
    </row>
    <row r="688" spans="1:8" ht="31.5" hidden="1" customHeight="1">
      <c r="A688" s="77" t="s">
        <v>611</v>
      </c>
      <c r="B688" s="43" t="s">
        <v>187</v>
      </c>
      <c r="C688" s="43" t="s">
        <v>678</v>
      </c>
      <c r="D688" s="43" t="s">
        <v>414</v>
      </c>
      <c r="E688" s="43" t="s">
        <v>612</v>
      </c>
      <c r="F688" s="348">
        <f t="shared" si="182"/>
        <v>0</v>
      </c>
      <c r="G688" s="348">
        <f t="shared" si="182"/>
        <v>0</v>
      </c>
      <c r="H688" s="348">
        <f t="shared" si="182"/>
        <v>0</v>
      </c>
    </row>
    <row r="689" spans="1:15" ht="47.25" hidden="1" customHeight="1">
      <c r="A689" s="77" t="s">
        <v>613</v>
      </c>
      <c r="B689" s="43" t="s">
        <v>187</v>
      </c>
      <c r="C689" s="43" t="s">
        <v>678</v>
      </c>
      <c r="D689" s="43" t="s">
        <v>414</v>
      </c>
      <c r="E689" s="43" t="s">
        <v>614</v>
      </c>
      <c r="F689" s="348">
        <v>0</v>
      </c>
      <c r="G689" s="348">
        <v>0</v>
      </c>
      <c r="H689" s="348">
        <v>0</v>
      </c>
      <c r="O689" s="49"/>
    </row>
    <row r="690" spans="1:15" s="49" customFormat="1" ht="78.75" hidden="1" customHeight="1">
      <c r="A690" s="75" t="s">
        <v>773</v>
      </c>
      <c r="B690" s="2" t="s">
        <v>187</v>
      </c>
      <c r="C690" s="2" t="s">
        <v>678</v>
      </c>
      <c r="D690" s="2" t="s">
        <v>350</v>
      </c>
      <c r="E690" s="2" t="s">
        <v>198</v>
      </c>
      <c r="F690" s="39">
        <f>F691+F693</f>
        <v>0</v>
      </c>
      <c r="G690" s="39">
        <f>G691+G693</f>
        <v>0</v>
      </c>
      <c r="H690" s="39">
        <f>H691+H693</f>
        <v>0</v>
      </c>
      <c r="O690" s="24"/>
    </row>
    <row r="691" spans="1:15" ht="94.5" hidden="1" customHeight="1">
      <c r="A691" s="74" t="s">
        <v>605</v>
      </c>
      <c r="B691" s="37" t="s">
        <v>187</v>
      </c>
      <c r="C691" s="37" t="s">
        <v>678</v>
      </c>
      <c r="D691" s="37" t="s">
        <v>350</v>
      </c>
      <c r="E691" s="37" t="s">
        <v>606</v>
      </c>
      <c r="F691" s="38">
        <f>F692</f>
        <v>0</v>
      </c>
      <c r="G691" s="38">
        <f>G692</f>
        <v>0</v>
      </c>
      <c r="H691" s="38">
        <f>H692</f>
        <v>0</v>
      </c>
    </row>
    <row r="692" spans="1:15" ht="31.5" hidden="1" customHeight="1">
      <c r="A692" s="74" t="s">
        <v>607</v>
      </c>
      <c r="B692" s="37" t="s">
        <v>187</v>
      </c>
      <c r="C692" s="37" t="s">
        <v>678</v>
      </c>
      <c r="D692" s="37" t="s">
        <v>350</v>
      </c>
      <c r="E692" s="37" t="s">
        <v>608</v>
      </c>
      <c r="F692" s="348"/>
      <c r="G692" s="348"/>
      <c r="H692" s="348"/>
    </row>
    <row r="693" spans="1:15" ht="31.5" hidden="1" customHeight="1">
      <c r="A693" s="74" t="s">
        <v>611</v>
      </c>
      <c r="B693" s="37" t="s">
        <v>187</v>
      </c>
      <c r="C693" s="37" t="s">
        <v>678</v>
      </c>
      <c r="D693" s="37" t="s">
        <v>350</v>
      </c>
      <c r="E693" s="37" t="s">
        <v>612</v>
      </c>
      <c r="F693" s="38">
        <f>F694</f>
        <v>0</v>
      </c>
      <c r="G693" s="38">
        <f>G694</f>
        <v>0</v>
      </c>
      <c r="H693" s="38">
        <f>H694</f>
        <v>0</v>
      </c>
    </row>
    <row r="694" spans="1:15" ht="47.25" hidden="1" customHeight="1">
      <c r="A694" s="74" t="s">
        <v>613</v>
      </c>
      <c r="B694" s="37" t="s">
        <v>187</v>
      </c>
      <c r="C694" s="37" t="s">
        <v>678</v>
      </c>
      <c r="D694" s="37" t="s">
        <v>350</v>
      </c>
      <c r="E694" s="37" t="s">
        <v>614</v>
      </c>
      <c r="F694" s="38"/>
      <c r="G694" s="38"/>
      <c r="H694" s="38"/>
    </row>
    <row r="695" spans="1:15" ht="15.75" hidden="1" customHeight="1">
      <c r="A695" s="74"/>
      <c r="B695" s="37"/>
      <c r="C695" s="37"/>
      <c r="D695" s="37"/>
      <c r="E695" s="37"/>
      <c r="F695" s="38"/>
      <c r="G695" s="38"/>
      <c r="H695" s="38"/>
    </row>
    <row r="696" spans="1:15" ht="15.75" hidden="1" customHeight="1">
      <c r="A696" s="74"/>
      <c r="B696" s="37"/>
      <c r="C696" s="37"/>
      <c r="D696" s="37"/>
      <c r="E696" s="37"/>
      <c r="F696" s="38"/>
      <c r="G696" s="38"/>
      <c r="H696" s="38"/>
    </row>
    <row r="697" spans="1:15" ht="15.75" hidden="1" customHeight="1">
      <c r="A697" s="74"/>
      <c r="B697" s="37"/>
      <c r="C697" s="37"/>
      <c r="D697" s="37"/>
      <c r="E697" s="37"/>
      <c r="F697" s="38"/>
      <c r="G697" s="38"/>
      <c r="H697" s="38"/>
    </row>
    <row r="698" spans="1:15" ht="15.75" hidden="1" customHeight="1">
      <c r="A698" s="74"/>
      <c r="B698" s="37"/>
      <c r="C698" s="37"/>
      <c r="D698" s="37"/>
      <c r="E698" s="37"/>
      <c r="F698" s="38"/>
      <c r="G698" s="38"/>
      <c r="H698" s="38"/>
    </row>
    <row r="699" spans="1:15" ht="15.75" hidden="1" customHeight="1">
      <c r="A699" s="74"/>
      <c r="B699" s="37"/>
      <c r="C699" s="37"/>
      <c r="D699" s="37"/>
      <c r="E699" s="37"/>
      <c r="F699" s="38"/>
      <c r="G699" s="38"/>
      <c r="H699" s="38"/>
      <c r="O699" s="49"/>
    </row>
    <row r="700" spans="1:15" s="49" customFormat="1" ht="16.5" customHeight="1">
      <c r="A700" s="80" t="s">
        <v>774</v>
      </c>
      <c r="B700" s="30" t="s">
        <v>689</v>
      </c>
      <c r="C700" s="30" t="s">
        <v>103</v>
      </c>
      <c r="D700" s="30" t="s">
        <v>601</v>
      </c>
      <c r="E700" s="30" t="s">
        <v>198</v>
      </c>
      <c r="F700" s="31">
        <f>F701+F752</f>
        <v>26435.743690000003</v>
      </c>
      <c r="G700" s="31">
        <f>G701+G752</f>
        <v>27859.702020202021</v>
      </c>
      <c r="H700" s="31">
        <f>H701+H752</f>
        <v>31161.702020202021</v>
      </c>
      <c r="I700" s="331"/>
      <c r="J700" s="331"/>
      <c r="K700" s="331"/>
      <c r="O700" s="40"/>
    </row>
    <row r="701" spans="1:15" s="40" customFormat="1" ht="18" customHeight="1">
      <c r="A701" s="73" t="s">
        <v>775</v>
      </c>
      <c r="B701" s="34" t="s">
        <v>689</v>
      </c>
      <c r="C701" s="34" t="s">
        <v>102</v>
      </c>
      <c r="D701" s="34" t="s">
        <v>601</v>
      </c>
      <c r="E701" s="34" t="s">
        <v>198</v>
      </c>
      <c r="F701" s="35">
        <f>F703+F712+F715+F718+F725+F728+F750</f>
        <v>25270.043690000002</v>
      </c>
      <c r="G701" s="35">
        <f>G703+G712+G715+G718+G725+G728+G750</f>
        <v>24890.702020202021</v>
      </c>
      <c r="H701" s="35">
        <f>H703+H712+H715+H718+H725+H728+H750</f>
        <v>28202.702020202021</v>
      </c>
    </row>
    <row r="702" spans="1:15" s="40" customFormat="1" ht="52.5" customHeight="1">
      <c r="A702" s="76" t="s">
        <v>776</v>
      </c>
      <c r="B702" s="53" t="s">
        <v>689</v>
      </c>
      <c r="C702" s="53" t="s">
        <v>102</v>
      </c>
      <c r="D702" s="53" t="s">
        <v>54</v>
      </c>
      <c r="E702" s="53" t="s">
        <v>198</v>
      </c>
      <c r="F702" s="41">
        <f>F703+F717+F723+F749+F708+F735+F742+F720+F566+F730</f>
        <v>26304.646629999999</v>
      </c>
      <c r="G702" s="41">
        <f>G703+G717+G723+G749+G708+G735+G742+G720</f>
        <v>24890.702020202021</v>
      </c>
      <c r="H702" s="41">
        <f>H703+H717+H723+H749+H708+H735+H742+H720</f>
        <v>28202.702020202021</v>
      </c>
      <c r="O702" s="24"/>
    </row>
    <row r="703" spans="1:15" ht="72.75" customHeight="1">
      <c r="A703" s="86" t="s">
        <v>266</v>
      </c>
      <c r="B703" s="43" t="s">
        <v>689</v>
      </c>
      <c r="C703" s="43" t="s">
        <v>102</v>
      </c>
      <c r="D703" s="43" t="s">
        <v>55</v>
      </c>
      <c r="E703" s="43" t="s">
        <v>198</v>
      </c>
      <c r="F703" s="348">
        <f>F704+F706</f>
        <v>13980.956</v>
      </c>
      <c r="G703" s="348">
        <f>G704+G706</f>
        <v>14568</v>
      </c>
      <c r="H703" s="348">
        <f>H704+H706</f>
        <v>15518</v>
      </c>
    </row>
    <row r="704" spans="1:15" ht="52.5" customHeight="1">
      <c r="A704" s="77" t="s">
        <v>649</v>
      </c>
      <c r="B704" s="43" t="s">
        <v>689</v>
      </c>
      <c r="C704" s="43" t="s">
        <v>102</v>
      </c>
      <c r="D704" s="43" t="s">
        <v>56</v>
      </c>
      <c r="E704" s="43" t="s">
        <v>648</v>
      </c>
      <c r="F704" s="348">
        <f>F705</f>
        <v>13510.4</v>
      </c>
      <c r="G704" s="348">
        <f>G705</f>
        <v>14568</v>
      </c>
      <c r="H704" s="348">
        <f>H705</f>
        <v>15518</v>
      </c>
    </row>
    <row r="705" spans="1:8" ht="25.5" customHeight="1">
      <c r="A705" s="77" t="s">
        <v>117</v>
      </c>
      <c r="B705" s="43" t="s">
        <v>689</v>
      </c>
      <c r="C705" s="43" t="s">
        <v>102</v>
      </c>
      <c r="D705" s="43" t="s">
        <v>57</v>
      </c>
      <c r="E705" s="43" t="s">
        <v>156</v>
      </c>
      <c r="F705" s="348">
        <f>'5'!D156</f>
        <v>13510.4</v>
      </c>
      <c r="G705" s="348">
        <f>'5'!E156</f>
        <v>14568</v>
      </c>
      <c r="H705" s="348">
        <f>'5'!F156</f>
        <v>15518</v>
      </c>
    </row>
    <row r="706" spans="1:8" ht="110.25" customHeight="1">
      <c r="A706" s="77" t="s">
        <v>777</v>
      </c>
      <c r="B706" s="43" t="s">
        <v>689</v>
      </c>
      <c r="C706" s="43" t="s">
        <v>102</v>
      </c>
      <c r="D706" s="43" t="s">
        <v>73</v>
      </c>
      <c r="E706" s="43" t="s">
        <v>156</v>
      </c>
      <c r="F706" s="348">
        <f>F707</f>
        <v>470.55599999999998</v>
      </c>
      <c r="G706" s="348">
        <f>G707</f>
        <v>0</v>
      </c>
      <c r="H706" s="348">
        <f>H707</f>
        <v>0</v>
      </c>
    </row>
    <row r="707" spans="1:8" ht="15.75" customHeight="1">
      <c r="A707" s="77" t="s">
        <v>117</v>
      </c>
      <c r="B707" s="43" t="s">
        <v>689</v>
      </c>
      <c r="C707" s="43" t="s">
        <v>102</v>
      </c>
      <c r="D707" s="43" t="s">
        <v>73</v>
      </c>
      <c r="E707" s="43" t="s">
        <v>156</v>
      </c>
      <c r="F707" s="348">
        <f>'5'!D157</f>
        <v>470.55599999999998</v>
      </c>
      <c r="G707" s="348">
        <f>'5'!E157</f>
        <v>0</v>
      </c>
      <c r="H707" s="348">
        <f>'5'!F157</f>
        <v>0</v>
      </c>
    </row>
    <row r="708" spans="1:8" ht="110.25" hidden="1" customHeight="1">
      <c r="A708" s="77" t="s">
        <v>373</v>
      </c>
      <c r="B708" s="43" t="s">
        <v>689</v>
      </c>
      <c r="C708" s="43" t="s">
        <v>102</v>
      </c>
      <c r="D708" s="43" t="s">
        <v>389</v>
      </c>
      <c r="E708" s="43" t="s">
        <v>198</v>
      </c>
      <c r="F708" s="348">
        <f>F709</f>
        <v>0</v>
      </c>
      <c r="G708" s="348">
        <f>G709</f>
        <v>0</v>
      </c>
      <c r="H708" s="348">
        <f>H709</f>
        <v>0</v>
      </c>
    </row>
    <row r="709" spans="1:8" ht="15.75" hidden="1" customHeight="1">
      <c r="A709" s="77" t="s">
        <v>117</v>
      </c>
      <c r="B709" s="43" t="s">
        <v>689</v>
      </c>
      <c r="C709" s="43" t="s">
        <v>102</v>
      </c>
      <c r="D709" s="43" t="s">
        <v>389</v>
      </c>
      <c r="E709" s="43" t="s">
        <v>156</v>
      </c>
      <c r="F709" s="348"/>
      <c r="G709" s="348"/>
      <c r="H709" s="348"/>
    </row>
    <row r="710" spans="1:8" ht="77.25" customHeight="1">
      <c r="A710" s="81" t="s">
        <v>299</v>
      </c>
      <c r="B710" s="59" t="s">
        <v>689</v>
      </c>
      <c r="C710" s="59" t="s">
        <v>102</v>
      </c>
      <c r="D710" s="59" t="s">
        <v>55</v>
      </c>
      <c r="E710" s="59" t="s">
        <v>198</v>
      </c>
      <c r="F710" s="96">
        <f>F711+F714</f>
        <v>2021.3856700000001</v>
      </c>
      <c r="G710" s="96">
        <f>G711+G714</f>
        <v>0</v>
      </c>
      <c r="H710" s="96">
        <f>H711+H714</f>
        <v>0</v>
      </c>
    </row>
    <row r="711" spans="1:8" ht="79.5" customHeight="1">
      <c r="A711" s="76" t="s">
        <v>300</v>
      </c>
      <c r="B711" s="53" t="s">
        <v>689</v>
      </c>
      <c r="C711" s="53" t="s">
        <v>102</v>
      </c>
      <c r="D711" s="43" t="s">
        <v>1097</v>
      </c>
      <c r="E711" s="53" t="s">
        <v>198</v>
      </c>
      <c r="F711" s="41">
        <f t="shared" ref="F711:H712" si="183">F712</f>
        <v>2001.1718100000001</v>
      </c>
      <c r="G711" s="41">
        <f t="shared" si="183"/>
        <v>0</v>
      </c>
      <c r="H711" s="41">
        <f t="shared" si="183"/>
        <v>0</v>
      </c>
    </row>
    <row r="712" spans="1:8" ht="48.75" customHeight="1">
      <c r="A712" s="77" t="s">
        <v>649</v>
      </c>
      <c r="B712" s="43" t="s">
        <v>689</v>
      </c>
      <c r="C712" s="43" t="s">
        <v>102</v>
      </c>
      <c r="D712" s="43" t="s">
        <v>1097</v>
      </c>
      <c r="E712" s="43" t="s">
        <v>648</v>
      </c>
      <c r="F712" s="348">
        <f t="shared" si="183"/>
        <v>2001.1718100000001</v>
      </c>
      <c r="G712" s="348">
        <f t="shared" si="183"/>
        <v>0</v>
      </c>
      <c r="H712" s="348">
        <f t="shared" si="183"/>
        <v>0</v>
      </c>
    </row>
    <row r="713" spans="1:8" ht="20.25" customHeight="1">
      <c r="A713" s="77" t="s">
        <v>117</v>
      </c>
      <c r="B713" s="43" t="s">
        <v>689</v>
      </c>
      <c r="C713" s="43" t="s">
        <v>102</v>
      </c>
      <c r="D713" s="43" t="s">
        <v>1097</v>
      </c>
      <c r="E713" s="43" t="s">
        <v>156</v>
      </c>
      <c r="F713" s="348">
        <f>'5'!D159</f>
        <v>2001.1718100000001</v>
      </c>
      <c r="G713" s="348">
        <f>'5'!E159</f>
        <v>0</v>
      </c>
      <c r="H713" s="348">
        <f>'5'!F159</f>
        <v>0</v>
      </c>
    </row>
    <row r="714" spans="1:8" ht="128.65" customHeight="1">
      <c r="A714" s="76" t="s">
        <v>1043</v>
      </c>
      <c r="B714" s="53" t="s">
        <v>689</v>
      </c>
      <c r="C714" s="53" t="s">
        <v>102</v>
      </c>
      <c r="D714" s="43" t="s">
        <v>1097</v>
      </c>
      <c r="E714" s="53" t="s">
        <v>198</v>
      </c>
      <c r="F714" s="41">
        <f t="shared" ref="F714:H715" si="184">F715</f>
        <v>20.21386</v>
      </c>
      <c r="G714" s="41">
        <f t="shared" si="184"/>
        <v>0</v>
      </c>
      <c r="H714" s="41">
        <f t="shared" si="184"/>
        <v>0</v>
      </c>
    </row>
    <row r="715" spans="1:8" ht="51.75" customHeight="1">
      <c r="A715" s="77" t="s">
        <v>649</v>
      </c>
      <c r="B715" s="43" t="s">
        <v>689</v>
      </c>
      <c r="C715" s="43" t="s">
        <v>102</v>
      </c>
      <c r="D715" s="43" t="s">
        <v>1097</v>
      </c>
      <c r="E715" s="43" t="s">
        <v>648</v>
      </c>
      <c r="F715" s="348">
        <f t="shared" si="184"/>
        <v>20.21386</v>
      </c>
      <c r="G715" s="348">
        <f t="shared" si="184"/>
        <v>0</v>
      </c>
      <c r="H715" s="348">
        <f t="shared" si="184"/>
        <v>0</v>
      </c>
    </row>
    <row r="716" spans="1:8" ht="23.25" customHeight="1">
      <c r="A716" s="77" t="s">
        <v>117</v>
      </c>
      <c r="B716" s="43" t="s">
        <v>689</v>
      </c>
      <c r="C716" s="43" t="s">
        <v>102</v>
      </c>
      <c r="D716" s="43" t="s">
        <v>1097</v>
      </c>
      <c r="E716" s="43" t="s">
        <v>156</v>
      </c>
      <c r="F716" s="348">
        <f>'5'!D160</f>
        <v>20.21386</v>
      </c>
      <c r="G716" s="348">
        <f>'5'!E160</f>
        <v>0</v>
      </c>
      <c r="H716" s="348">
        <f>'5'!F160</f>
        <v>0</v>
      </c>
    </row>
    <row r="717" spans="1:8" ht="72.75" customHeight="1">
      <c r="A717" s="86" t="s">
        <v>267</v>
      </c>
      <c r="B717" s="43" t="s">
        <v>689</v>
      </c>
      <c r="C717" s="43" t="s">
        <v>102</v>
      </c>
      <c r="D717" s="43" t="s">
        <v>58</v>
      </c>
      <c r="E717" s="43" t="s">
        <v>198</v>
      </c>
      <c r="F717" s="348">
        <f t="shared" ref="F717:H718" si="185">F718</f>
        <v>6048</v>
      </c>
      <c r="G717" s="348">
        <f t="shared" si="185"/>
        <v>6658</v>
      </c>
      <c r="H717" s="348">
        <f t="shared" si="185"/>
        <v>7807</v>
      </c>
    </row>
    <row r="718" spans="1:8" ht="54" customHeight="1">
      <c r="A718" s="77" t="s">
        <v>649</v>
      </c>
      <c r="B718" s="43" t="s">
        <v>689</v>
      </c>
      <c r="C718" s="43" t="s">
        <v>102</v>
      </c>
      <c r="D718" s="43" t="s">
        <v>58</v>
      </c>
      <c r="E718" s="43" t="s">
        <v>648</v>
      </c>
      <c r="F718" s="348">
        <f t="shared" si="185"/>
        <v>6048</v>
      </c>
      <c r="G718" s="348">
        <f t="shared" si="185"/>
        <v>6658</v>
      </c>
      <c r="H718" s="348">
        <f t="shared" si="185"/>
        <v>7807</v>
      </c>
    </row>
    <row r="719" spans="1:8" ht="22.5" customHeight="1">
      <c r="A719" s="77" t="s">
        <v>117</v>
      </c>
      <c r="B719" s="43" t="s">
        <v>689</v>
      </c>
      <c r="C719" s="43" t="s">
        <v>102</v>
      </c>
      <c r="D719" s="43" t="s">
        <v>58</v>
      </c>
      <c r="E719" s="43" t="s">
        <v>156</v>
      </c>
      <c r="F719" s="348">
        <f>'5'!D175</f>
        <v>6048</v>
      </c>
      <c r="G719" s="348">
        <f>'5'!E175</f>
        <v>6658</v>
      </c>
      <c r="H719" s="348">
        <f>'5'!F175</f>
        <v>7807</v>
      </c>
    </row>
    <row r="720" spans="1:8" ht="110.25" hidden="1" customHeight="1">
      <c r="A720" s="81" t="s">
        <v>778</v>
      </c>
      <c r="B720" s="59" t="s">
        <v>689</v>
      </c>
      <c r="C720" s="59" t="s">
        <v>102</v>
      </c>
      <c r="D720" s="59" t="s">
        <v>779</v>
      </c>
      <c r="E720" s="59" t="s">
        <v>198</v>
      </c>
      <c r="F720" s="96">
        <f>F721+F722</f>
        <v>0</v>
      </c>
      <c r="G720" s="96">
        <f>G721+G722</f>
        <v>0</v>
      </c>
      <c r="H720" s="96">
        <f>H721+H722</f>
        <v>0</v>
      </c>
    </row>
    <row r="721" spans="1:8" ht="110.25" hidden="1" customHeight="1">
      <c r="A721" s="77" t="s">
        <v>1044</v>
      </c>
      <c r="B721" s="43" t="s">
        <v>689</v>
      </c>
      <c r="C721" s="43" t="s">
        <v>102</v>
      </c>
      <c r="D721" s="43" t="s">
        <v>504</v>
      </c>
      <c r="E721" s="43" t="s">
        <v>156</v>
      </c>
      <c r="F721" s="348">
        <f>'5'!D177</f>
        <v>0</v>
      </c>
      <c r="G721" s="348">
        <f>'5'!E177</f>
        <v>0</v>
      </c>
      <c r="H721" s="348">
        <f>'5'!F177</f>
        <v>0</v>
      </c>
    </row>
    <row r="722" spans="1:8" ht="141.75" hidden="1" customHeight="1">
      <c r="A722" s="77" t="s">
        <v>1045</v>
      </c>
      <c r="B722" s="43" t="s">
        <v>689</v>
      </c>
      <c r="C722" s="43" t="s">
        <v>102</v>
      </c>
      <c r="D722" s="43" t="s">
        <v>504</v>
      </c>
      <c r="E722" s="43" t="s">
        <v>156</v>
      </c>
      <c r="F722" s="348">
        <f>'5'!D178</f>
        <v>0</v>
      </c>
      <c r="G722" s="348">
        <f>'5'!E178</f>
        <v>0</v>
      </c>
      <c r="H722" s="348">
        <f>'5'!F178</f>
        <v>0</v>
      </c>
    </row>
    <row r="723" spans="1:8" ht="72.75" customHeight="1">
      <c r="A723" s="81" t="s">
        <v>301</v>
      </c>
      <c r="B723" s="43" t="s">
        <v>689</v>
      </c>
      <c r="C723" s="43" t="s">
        <v>102</v>
      </c>
      <c r="D723" s="59" t="s">
        <v>302</v>
      </c>
      <c r="E723" s="59" t="s">
        <v>198</v>
      </c>
      <c r="F723" s="96">
        <f>F724+F727</f>
        <v>169.70202</v>
      </c>
      <c r="G723" s="96">
        <f>G724+G727</f>
        <v>169.70202020202021</v>
      </c>
      <c r="H723" s="96">
        <f>H724+H727</f>
        <v>169.70202020202021</v>
      </c>
    </row>
    <row r="724" spans="1:8" ht="85.5" customHeight="1">
      <c r="A724" s="77" t="s">
        <v>1046</v>
      </c>
      <c r="B724" s="43" t="s">
        <v>689</v>
      </c>
      <c r="C724" s="43" t="s">
        <v>102</v>
      </c>
      <c r="D724" s="43" t="s">
        <v>303</v>
      </c>
      <c r="E724" s="43" t="s">
        <v>198</v>
      </c>
      <c r="F724" s="348">
        <f t="shared" ref="F724:H725" si="186">F725</f>
        <v>168.005</v>
      </c>
      <c r="G724" s="348">
        <f t="shared" si="186"/>
        <v>168.005</v>
      </c>
      <c r="H724" s="348">
        <f t="shared" si="186"/>
        <v>168.005</v>
      </c>
    </row>
    <row r="725" spans="1:8" ht="56.25" customHeight="1">
      <c r="A725" s="77" t="s">
        <v>649</v>
      </c>
      <c r="B725" s="43" t="s">
        <v>689</v>
      </c>
      <c r="C725" s="43" t="s">
        <v>102</v>
      </c>
      <c r="D725" s="43" t="s">
        <v>303</v>
      </c>
      <c r="E725" s="43" t="s">
        <v>648</v>
      </c>
      <c r="F725" s="348">
        <f t="shared" si="186"/>
        <v>168.005</v>
      </c>
      <c r="G725" s="348">
        <f t="shared" si="186"/>
        <v>168.005</v>
      </c>
      <c r="H725" s="348">
        <f t="shared" si="186"/>
        <v>168.005</v>
      </c>
    </row>
    <row r="726" spans="1:8" ht="24.75" customHeight="1">
      <c r="A726" s="77" t="s">
        <v>117</v>
      </c>
      <c r="B726" s="43" t="s">
        <v>689</v>
      </c>
      <c r="C726" s="43" t="s">
        <v>102</v>
      </c>
      <c r="D726" s="43" t="s">
        <v>303</v>
      </c>
      <c r="E726" s="43" t="s">
        <v>156</v>
      </c>
      <c r="F726" s="348">
        <f>'5'!D180</f>
        <v>168.005</v>
      </c>
      <c r="G726" s="348">
        <f>'5'!E180</f>
        <v>168.005</v>
      </c>
      <c r="H726" s="348">
        <f>'5'!F180</f>
        <v>168.005</v>
      </c>
    </row>
    <row r="727" spans="1:8" ht="99" customHeight="1">
      <c r="A727" s="77" t="s">
        <v>1047</v>
      </c>
      <c r="B727" s="43" t="s">
        <v>689</v>
      </c>
      <c r="C727" s="43" t="s">
        <v>102</v>
      </c>
      <c r="D727" s="43" t="s">
        <v>533</v>
      </c>
      <c r="E727" s="43" t="s">
        <v>198</v>
      </c>
      <c r="F727" s="348">
        <f t="shared" ref="F727:H728" si="187">F728</f>
        <v>1.69702</v>
      </c>
      <c r="G727" s="348">
        <f t="shared" si="187"/>
        <v>1.6970202020202019</v>
      </c>
      <c r="H727" s="348">
        <f t="shared" si="187"/>
        <v>1.6970202020202019</v>
      </c>
    </row>
    <row r="728" spans="1:8" ht="53.25" customHeight="1">
      <c r="A728" s="77" t="s">
        <v>649</v>
      </c>
      <c r="B728" s="43" t="s">
        <v>689</v>
      </c>
      <c r="C728" s="43" t="s">
        <v>102</v>
      </c>
      <c r="D728" s="43" t="s">
        <v>533</v>
      </c>
      <c r="E728" s="43" t="s">
        <v>648</v>
      </c>
      <c r="F728" s="348">
        <f t="shared" si="187"/>
        <v>1.69702</v>
      </c>
      <c r="G728" s="348">
        <f t="shared" si="187"/>
        <v>1.6970202020202019</v>
      </c>
      <c r="H728" s="348">
        <f t="shared" si="187"/>
        <v>1.6970202020202019</v>
      </c>
    </row>
    <row r="729" spans="1:8" ht="23.25" customHeight="1">
      <c r="A729" s="77" t="s">
        <v>117</v>
      </c>
      <c r="B729" s="43" t="s">
        <v>689</v>
      </c>
      <c r="C729" s="43" t="s">
        <v>102</v>
      </c>
      <c r="D729" s="43" t="s">
        <v>533</v>
      </c>
      <c r="E729" s="43" t="s">
        <v>156</v>
      </c>
      <c r="F729" s="348">
        <f>'5'!D181</f>
        <v>1.69702</v>
      </c>
      <c r="G729" s="348">
        <f>'5'!E181</f>
        <v>1.6970202020202019</v>
      </c>
      <c r="H729" s="348">
        <f>'5'!F181</f>
        <v>1.6970202020202019</v>
      </c>
    </row>
    <row r="730" spans="1:8" ht="47.25" hidden="1" customHeight="1">
      <c r="A730" s="81" t="s">
        <v>780</v>
      </c>
      <c r="B730" s="43" t="s">
        <v>689</v>
      </c>
      <c r="C730" s="43" t="s">
        <v>102</v>
      </c>
      <c r="D730" s="59" t="s">
        <v>55</v>
      </c>
      <c r="E730" s="59" t="s">
        <v>198</v>
      </c>
      <c r="F730" s="96">
        <f>F731+F733</f>
        <v>0</v>
      </c>
      <c r="G730" s="96">
        <f>G731+G733</f>
        <v>0</v>
      </c>
      <c r="H730" s="96">
        <f>H731+H733</f>
        <v>0</v>
      </c>
    </row>
    <row r="731" spans="1:8" ht="78.75" hidden="1" customHeight="1">
      <c r="A731" s="76" t="s">
        <v>781</v>
      </c>
      <c r="B731" s="43" t="s">
        <v>689</v>
      </c>
      <c r="C731" s="43" t="s">
        <v>102</v>
      </c>
      <c r="D731" s="53" t="s">
        <v>426</v>
      </c>
      <c r="E731" s="53" t="s">
        <v>648</v>
      </c>
      <c r="F731" s="348">
        <f>F732</f>
        <v>0</v>
      </c>
      <c r="G731" s="348">
        <f>G732</f>
        <v>0</v>
      </c>
      <c r="H731" s="348">
        <f>H732</f>
        <v>0</v>
      </c>
    </row>
    <row r="732" spans="1:8" ht="15.75" hidden="1" customHeight="1">
      <c r="A732" s="77" t="s">
        <v>117</v>
      </c>
      <c r="B732" s="43" t="s">
        <v>689</v>
      </c>
      <c r="C732" s="43" t="s">
        <v>102</v>
      </c>
      <c r="D732" s="53" t="s">
        <v>426</v>
      </c>
      <c r="E732" s="43" t="s">
        <v>156</v>
      </c>
      <c r="F732" s="348">
        <f>'5'!D163</f>
        <v>0</v>
      </c>
      <c r="G732" s="348">
        <f>'5'!E163</f>
        <v>0</v>
      </c>
      <c r="H732" s="348">
        <f>'5'!F163</f>
        <v>0</v>
      </c>
    </row>
    <row r="733" spans="1:8" ht="94.5" hidden="1" customHeight="1">
      <c r="A733" s="76" t="s">
        <v>425</v>
      </c>
      <c r="B733" s="43" t="s">
        <v>689</v>
      </c>
      <c r="C733" s="43" t="s">
        <v>102</v>
      </c>
      <c r="D733" s="53" t="s">
        <v>427</v>
      </c>
      <c r="E733" s="53" t="s">
        <v>648</v>
      </c>
      <c r="F733" s="41">
        <f>F734</f>
        <v>0</v>
      </c>
      <c r="G733" s="41">
        <f>G734</f>
        <v>0</v>
      </c>
      <c r="H733" s="41">
        <f>H734</f>
        <v>0</v>
      </c>
    </row>
    <row r="734" spans="1:8" ht="15.75" hidden="1" customHeight="1">
      <c r="A734" s="77" t="s">
        <v>117</v>
      </c>
      <c r="B734" s="43" t="s">
        <v>689</v>
      </c>
      <c r="C734" s="43" t="s">
        <v>102</v>
      </c>
      <c r="D734" s="43" t="s">
        <v>427</v>
      </c>
      <c r="E734" s="43" t="s">
        <v>156</v>
      </c>
      <c r="F734" s="348">
        <f>'5'!D164</f>
        <v>0</v>
      </c>
      <c r="G734" s="348">
        <f>'5'!E164</f>
        <v>0</v>
      </c>
      <c r="H734" s="348">
        <f>'5'!F164</f>
        <v>0</v>
      </c>
    </row>
    <row r="735" spans="1:8" ht="47.25" hidden="1" customHeight="1">
      <c r="A735" s="81" t="s">
        <v>490</v>
      </c>
      <c r="B735" s="59" t="s">
        <v>689</v>
      </c>
      <c r="C735" s="59" t="s">
        <v>102</v>
      </c>
      <c r="D735" s="59" t="s">
        <v>55</v>
      </c>
      <c r="E735" s="59" t="s">
        <v>198</v>
      </c>
      <c r="F735" s="96">
        <f>F736+F739</f>
        <v>0</v>
      </c>
      <c r="G735" s="96">
        <f>G736+G739</f>
        <v>0</v>
      </c>
      <c r="H735" s="96">
        <f>H736+H739</f>
        <v>0</v>
      </c>
    </row>
    <row r="736" spans="1:8" ht="78.75" hidden="1" customHeight="1">
      <c r="A736" s="77" t="s">
        <v>491</v>
      </c>
      <c r="B736" s="43" t="s">
        <v>689</v>
      </c>
      <c r="C736" s="43" t="s">
        <v>102</v>
      </c>
      <c r="D736" s="43" t="s">
        <v>492</v>
      </c>
      <c r="E736" s="43" t="s">
        <v>198</v>
      </c>
      <c r="F736" s="348">
        <f t="shared" ref="F736:H737" si="188">F737</f>
        <v>0</v>
      </c>
      <c r="G736" s="348">
        <f t="shared" si="188"/>
        <v>0</v>
      </c>
      <c r="H736" s="348">
        <f t="shared" si="188"/>
        <v>0</v>
      </c>
    </row>
    <row r="737" spans="1:15" ht="47.25" hidden="1" customHeight="1">
      <c r="A737" s="77" t="s">
        <v>649</v>
      </c>
      <c r="B737" s="43" t="s">
        <v>689</v>
      </c>
      <c r="C737" s="43" t="s">
        <v>102</v>
      </c>
      <c r="D737" s="43" t="s">
        <v>492</v>
      </c>
      <c r="E737" s="43" t="s">
        <v>648</v>
      </c>
      <c r="F737" s="348">
        <f t="shared" si="188"/>
        <v>0</v>
      </c>
      <c r="G737" s="348">
        <f t="shared" si="188"/>
        <v>0</v>
      </c>
      <c r="H737" s="348">
        <f t="shared" si="188"/>
        <v>0</v>
      </c>
    </row>
    <row r="738" spans="1:15" ht="15.75" hidden="1" customHeight="1">
      <c r="A738" s="77" t="s">
        <v>117</v>
      </c>
      <c r="B738" s="43" t="s">
        <v>689</v>
      </c>
      <c r="C738" s="43" t="s">
        <v>102</v>
      </c>
      <c r="D738" s="43" t="s">
        <v>492</v>
      </c>
      <c r="E738" s="43" t="s">
        <v>156</v>
      </c>
      <c r="F738" s="348"/>
      <c r="G738" s="348"/>
      <c r="H738" s="348"/>
    </row>
    <row r="739" spans="1:15" ht="94.5" hidden="1" customHeight="1">
      <c r="A739" s="77" t="s">
        <v>493</v>
      </c>
      <c r="B739" s="43" t="s">
        <v>689</v>
      </c>
      <c r="C739" s="43" t="s">
        <v>102</v>
      </c>
      <c r="D739" s="43" t="s">
        <v>782</v>
      </c>
      <c r="E739" s="43" t="s">
        <v>198</v>
      </c>
      <c r="F739" s="348">
        <f t="shared" ref="F739:H740" si="189">F740</f>
        <v>0</v>
      </c>
      <c r="G739" s="348">
        <f t="shared" si="189"/>
        <v>0</v>
      </c>
      <c r="H739" s="348">
        <f t="shared" si="189"/>
        <v>0</v>
      </c>
    </row>
    <row r="740" spans="1:15" ht="47.25" hidden="1" customHeight="1">
      <c r="A740" s="77" t="s">
        <v>649</v>
      </c>
      <c r="B740" s="43" t="s">
        <v>689</v>
      </c>
      <c r="C740" s="43" t="s">
        <v>102</v>
      </c>
      <c r="D740" s="43" t="s">
        <v>782</v>
      </c>
      <c r="E740" s="43" t="s">
        <v>648</v>
      </c>
      <c r="F740" s="348">
        <f t="shared" si="189"/>
        <v>0</v>
      </c>
      <c r="G740" s="348">
        <f t="shared" si="189"/>
        <v>0</v>
      </c>
      <c r="H740" s="348">
        <f t="shared" si="189"/>
        <v>0</v>
      </c>
    </row>
    <row r="741" spans="1:15" ht="15.75" hidden="1" customHeight="1">
      <c r="A741" s="77" t="s">
        <v>117</v>
      </c>
      <c r="B741" s="43" t="s">
        <v>689</v>
      </c>
      <c r="C741" s="43" t="s">
        <v>102</v>
      </c>
      <c r="D741" s="43" t="s">
        <v>782</v>
      </c>
      <c r="E741" s="43" t="s">
        <v>156</v>
      </c>
      <c r="F741" s="348"/>
      <c r="G741" s="348"/>
      <c r="H741" s="348"/>
    </row>
    <row r="742" spans="1:15" ht="63" hidden="1" customHeight="1">
      <c r="A742" s="153" t="s">
        <v>495</v>
      </c>
      <c r="B742" s="150" t="s">
        <v>689</v>
      </c>
      <c r="C742" s="150" t="s">
        <v>102</v>
      </c>
      <c r="D742" s="150" t="s">
        <v>783</v>
      </c>
      <c r="E742" s="150" t="s">
        <v>198</v>
      </c>
      <c r="F742" s="54">
        <f>F743+F746</f>
        <v>0</v>
      </c>
      <c r="G742" s="54">
        <f>G743+G746</f>
        <v>0</v>
      </c>
      <c r="H742" s="54">
        <f>H743+H746</f>
        <v>0</v>
      </c>
    </row>
    <row r="743" spans="1:15" ht="94.5" hidden="1" customHeight="1">
      <c r="A743" s="77" t="s">
        <v>496</v>
      </c>
      <c r="B743" s="43" t="s">
        <v>689</v>
      </c>
      <c r="C743" s="43" t="s">
        <v>102</v>
      </c>
      <c r="D743" s="43" t="s">
        <v>497</v>
      </c>
      <c r="E743" s="43" t="s">
        <v>198</v>
      </c>
      <c r="F743" s="348">
        <f t="shared" ref="F743:H744" si="190">F744</f>
        <v>0</v>
      </c>
      <c r="G743" s="348">
        <f t="shared" si="190"/>
        <v>0</v>
      </c>
      <c r="H743" s="348">
        <f t="shared" si="190"/>
        <v>0</v>
      </c>
    </row>
    <row r="744" spans="1:15" ht="47.25" hidden="1" customHeight="1">
      <c r="A744" s="77" t="s">
        <v>649</v>
      </c>
      <c r="B744" s="43" t="s">
        <v>689</v>
      </c>
      <c r="C744" s="43" t="s">
        <v>102</v>
      </c>
      <c r="D744" s="43" t="s">
        <v>497</v>
      </c>
      <c r="E744" s="43" t="s">
        <v>648</v>
      </c>
      <c r="F744" s="348">
        <f t="shared" si="190"/>
        <v>0</v>
      </c>
      <c r="G744" s="348">
        <f t="shared" si="190"/>
        <v>0</v>
      </c>
      <c r="H744" s="348">
        <f t="shared" si="190"/>
        <v>0</v>
      </c>
    </row>
    <row r="745" spans="1:15" ht="15.75" hidden="1" customHeight="1">
      <c r="A745" s="77" t="s">
        <v>117</v>
      </c>
      <c r="B745" s="43" t="s">
        <v>689</v>
      </c>
      <c r="C745" s="43" t="s">
        <v>102</v>
      </c>
      <c r="D745" s="43" t="s">
        <v>497</v>
      </c>
      <c r="E745" s="43" t="s">
        <v>156</v>
      </c>
      <c r="F745" s="348">
        <f>'5'!D169</f>
        <v>0</v>
      </c>
      <c r="G745" s="348">
        <f>'5'!E169</f>
        <v>0</v>
      </c>
      <c r="H745" s="348">
        <f>'5'!F169</f>
        <v>0</v>
      </c>
    </row>
    <row r="746" spans="1:15" ht="110.25" hidden="1" customHeight="1">
      <c r="A746" s="77" t="s">
        <v>498</v>
      </c>
      <c r="B746" s="43" t="s">
        <v>689</v>
      </c>
      <c r="C746" s="43" t="s">
        <v>102</v>
      </c>
      <c r="D746" s="43" t="s">
        <v>497</v>
      </c>
      <c r="E746" s="43" t="s">
        <v>198</v>
      </c>
      <c r="F746" s="348">
        <f t="shared" ref="F746:H747" si="191">F747</f>
        <v>0</v>
      </c>
      <c r="G746" s="348">
        <f t="shared" si="191"/>
        <v>0</v>
      </c>
      <c r="H746" s="348">
        <f t="shared" si="191"/>
        <v>0</v>
      </c>
    </row>
    <row r="747" spans="1:15" ht="47.25" hidden="1" customHeight="1">
      <c r="A747" s="77" t="s">
        <v>649</v>
      </c>
      <c r="B747" s="43" t="s">
        <v>689</v>
      </c>
      <c r="C747" s="43" t="s">
        <v>102</v>
      </c>
      <c r="D747" s="43" t="s">
        <v>497</v>
      </c>
      <c r="E747" s="43" t="s">
        <v>648</v>
      </c>
      <c r="F747" s="348">
        <f t="shared" si="191"/>
        <v>0</v>
      </c>
      <c r="G747" s="348">
        <f t="shared" si="191"/>
        <v>0</v>
      </c>
      <c r="H747" s="348">
        <f t="shared" si="191"/>
        <v>0</v>
      </c>
    </row>
    <row r="748" spans="1:15" ht="15.75" hidden="1" customHeight="1">
      <c r="A748" s="77" t="s">
        <v>117</v>
      </c>
      <c r="B748" s="43" t="s">
        <v>689</v>
      </c>
      <c r="C748" s="43" t="s">
        <v>102</v>
      </c>
      <c r="D748" s="43" t="s">
        <v>497</v>
      </c>
      <c r="E748" s="43" t="s">
        <v>156</v>
      </c>
      <c r="F748" s="348">
        <f>'5'!D170</f>
        <v>0</v>
      </c>
      <c r="G748" s="348">
        <f>'5'!E170</f>
        <v>0</v>
      </c>
      <c r="H748" s="348">
        <f>'5'!F170</f>
        <v>0</v>
      </c>
    </row>
    <row r="749" spans="1:15" ht="124.5" customHeight="1">
      <c r="A749" s="86" t="s">
        <v>268</v>
      </c>
      <c r="B749" s="43" t="s">
        <v>689</v>
      </c>
      <c r="C749" s="43" t="s">
        <v>102</v>
      </c>
      <c r="D749" s="43" t="s">
        <v>59</v>
      </c>
      <c r="E749" s="43" t="s">
        <v>198</v>
      </c>
      <c r="F749" s="348">
        <f t="shared" ref="F749:H750" si="192">F750</f>
        <v>3050</v>
      </c>
      <c r="G749" s="348">
        <f t="shared" si="192"/>
        <v>3495</v>
      </c>
      <c r="H749" s="348">
        <f t="shared" si="192"/>
        <v>4708</v>
      </c>
    </row>
    <row r="750" spans="1:15" ht="52.9" customHeight="1">
      <c r="A750" s="77" t="s">
        <v>649</v>
      </c>
      <c r="B750" s="43" t="s">
        <v>689</v>
      </c>
      <c r="C750" s="43" t="s">
        <v>102</v>
      </c>
      <c r="D750" s="43" t="s">
        <v>59</v>
      </c>
      <c r="E750" s="43" t="s">
        <v>648</v>
      </c>
      <c r="F750" s="348">
        <f t="shared" si="192"/>
        <v>3050</v>
      </c>
      <c r="G750" s="348">
        <f t="shared" si="192"/>
        <v>3495</v>
      </c>
      <c r="H750" s="348">
        <f t="shared" si="192"/>
        <v>4708</v>
      </c>
    </row>
    <row r="751" spans="1:15" ht="16.5" customHeight="1">
      <c r="A751" s="74" t="s">
        <v>117</v>
      </c>
      <c r="B751" s="37" t="s">
        <v>689</v>
      </c>
      <c r="C751" s="37" t="s">
        <v>102</v>
      </c>
      <c r="D751" s="37" t="s">
        <v>59</v>
      </c>
      <c r="E751" s="37" t="s">
        <v>156</v>
      </c>
      <c r="F751" s="348">
        <f>'5'!D183</f>
        <v>3050</v>
      </c>
      <c r="G751" s="348">
        <f>'5'!E183</f>
        <v>3495</v>
      </c>
      <c r="H751" s="348">
        <f>'5'!F183</f>
        <v>4708</v>
      </c>
      <c r="O751" s="48"/>
    </row>
    <row r="752" spans="1:15" s="48" customFormat="1" ht="34.5" customHeight="1">
      <c r="A752" s="73" t="s">
        <v>786</v>
      </c>
      <c r="B752" s="34" t="s">
        <v>689</v>
      </c>
      <c r="C752" s="34" t="s">
        <v>107</v>
      </c>
      <c r="D752" s="34" t="s">
        <v>601</v>
      </c>
      <c r="E752" s="34" t="s">
        <v>198</v>
      </c>
      <c r="F752" s="35">
        <f>F754+F777+F780+F782+F786</f>
        <v>1165.7</v>
      </c>
      <c r="G752" s="35">
        <f t="shared" ref="G752:H752" si="193">G754+G777+G780+G782+G786</f>
        <v>2969</v>
      </c>
      <c r="H752" s="35">
        <f t="shared" si="193"/>
        <v>2959</v>
      </c>
      <c r="O752" s="24"/>
    </row>
    <row r="753" spans="1:8" ht="50.25" customHeight="1">
      <c r="A753" s="76" t="s">
        <v>776</v>
      </c>
      <c r="B753" s="53" t="s">
        <v>689</v>
      </c>
      <c r="C753" s="53" t="s">
        <v>107</v>
      </c>
      <c r="D753" s="53" t="s">
        <v>54</v>
      </c>
      <c r="E753" s="53" t="s">
        <v>198</v>
      </c>
      <c r="F753" s="41">
        <f>F754+F757+F771+F774+F764</f>
        <v>1041.7</v>
      </c>
      <c r="G753" s="41">
        <f>G754+G757+G771+G774+G764</f>
        <v>2845</v>
      </c>
      <c r="H753" s="41">
        <f>H754+H757+H771+H774+H764</f>
        <v>2895</v>
      </c>
    </row>
    <row r="754" spans="1:8" ht="55.5" customHeight="1">
      <c r="A754" s="86" t="s">
        <v>787</v>
      </c>
      <c r="B754" s="43" t="s">
        <v>689</v>
      </c>
      <c r="C754" s="43" t="s">
        <v>107</v>
      </c>
      <c r="D754" s="43" t="s">
        <v>60</v>
      </c>
      <c r="E754" s="43" t="s">
        <v>198</v>
      </c>
      <c r="F754" s="348">
        <f t="shared" ref="F754:H755" si="194">F755</f>
        <v>1041.7</v>
      </c>
      <c r="G754" s="348">
        <f t="shared" si="194"/>
        <v>2845</v>
      </c>
      <c r="H754" s="348">
        <f t="shared" si="194"/>
        <v>2895</v>
      </c>
    </row>
    <row r="755" spans="1:8" ht="50.25" customHeight="1">
      <c r="A755" s="77" t="s">
        <v>649</v>
      </c>
      <c r="B755" s="43" t="s">
        <v>689</v>
      </c>
      <c r="C755" s="43" t="s">
        <v>107</v>
      </c>
      <c r="D755" s="43" t="s">
        <v>60</v>
      </c>
      <c r="E755" s="43" t="s">
        <v>648</v>
      </c>
      <c r="F755" s="348">
        <f t="shared" si="194"/>
        <v>1041.7</v>
      </c>
      <c r="G755" s="348">
        <f t="shared" si="194"/>
        <v>2845</v>
      </c>
      <c r="H755" s="348">
        <f t="shared" si="194"/>
        <v>2895</v>
      </c>
    </row>
    <row r="756" spans="1:8" ht="24.75" customHeight="1">
      <c r="A756" s="77" t="s">
        <v>117</v>
      </c>
      <c r="B756" s="43" t="s">
        <v>689</v>
      </c>
      <c r="C756" s="43" t="s">
        <v>107</v>
      </c>
      <c r="D756" s="43" t="s">
        <v>60</v>
      </c>
      <c r="E756" s="43" t="s">
        <v>156</v>
      </c>
      <c r="F756" s="348">
        <f>'5'!D188</f>
        <v>1041.7</v>
      </c>
      <c r="G756" s="348">
        <f>'5'!E188</f>
        <v>2845</v>
      </c>
      <c r="H756" s="348">
        <f>'5'!F188</f>
        <v>2895</v>
      </c>
    </row>
    <row r="757" spans="1:8" ht="47.25" hidden="1" customHeight="1">
      <c r="A757" s="81" t="s">
        <v>423</v>
      </c>
      <c r="B757" s="43" t="s">
        <v>689</v>
      </c>
      <c r="C757" s="43" t="s">
        <v>107</v>
      </c>
      <c r="D757" s="59" t="s">
        <v>55</v>
      </c>
      <c r="E757" s="59" t="s">
        <v>198</v>
      </c>
      <c r="F757" s="96">
        <f>F758</f>
        <v>0</v>
      </c>
      <c r="G757" s="96">
        <f t="shared" ref="G757:H759" si="195">G758</f>
        <v>0</v>
      </c>
      <c r="H757" s="96">
        <f t="shared" si="195"/>
        <v>0</v>
      </c>
    </row>
    <row r="758" spans="1:8" ht="63" hidden="1" customHeight="1">
      <c r="A758" s="77" t="s">
        <v>424</v>
      </c>
      <c r="B758" s="43" t="s">
        <v>689</v>
      </c>
      <c r="C758" s="43" t="s">
        <v>107</v>
      </c>
      <c r="D758" s="43" t="s">
        <v>426</v>
      </c>
      <c r="E758" s="43" t="s">
        <v>198</v>
      </c>
      <c r="F758" s="348">
        <f>F759</f>
        <v>0</v>
      </c>
      <c r="G758" s="348">
        <f t="shared" si="195"/>
        <v>0</v>
      </c>
      <c r="H758" s="348">
        <f t="shared" si="195"/>
        <v>0</v>
      </c>
    </row>
    <row r="759" spans="1:8" ht="47.25" hidden="1" customHeight="1">
      <c r="A759" s="77" t="s">
        <v>649</v>
      </c>
      <c r="B759" s="43" t="s">
        <v>689</v>
      </c>
      <c r="C759" s="43" t="s">
        <v>107</v>
      </c>
      <c r="D759" s="43" t="s">
        <v>426</v>
      </c>
      <c r="E759" s="43" t="s">
        <v>648</v>
      </c>
      <c r="F759" s="348">
        <f>F760</f>
        <v>0</v>
      </c>
      <c r="G759" s="348">
        <f t="shared" si="195"/>
        <v>0</v>
      </c>
      <c r="H759" s="348">
        <f t="shared" si="195"/>
        <v>0</v>
      </c>
    </row>
    <row r="760" spans="1:8" ht="15.75" hidden="1" customHeight="1">
      <c r="A760" s="77" t="s">
        <v>117</v>
      </c>
      <c r="B760" s="43" t="s">
        <v>689</v>
      </c>
      <c r="C760" s="43" t="s">
        <v>107</v>
      </c>
      <c r="D760" s="43" t="s">
        <v>426</v>
      </c>
      <c r="E760" s="43" t="s">
        <v>156</v>
      </c>
      <c r="F760" s="348"/>
      <c r="G760" s="348"/>
      <c r="H760" s="348"/>
    </row>
    <row r="761" spans="1:8" ht="94.5" hidden="1" customHeight="1">
      <c r="A761" s="77" t="s">
        <v>425</v>
      </c>
      <c r="B761" s="43" t="s">
        <v>689</v>
      </c>
      <c r="C761" s="43" t="s">
        <v>107</v>
      </c>
      <c r="D761" s="43" t="s">
        <v>427</v>
      </c>
      <c r="E761" s="43" t="s">
        <v>198</v>
      </c>
      <c r="F761" s="348">
        <f t="shared" ref="F761:H762" si="196">F762</f>
        <v>0</v>
      </c>
      <c r="G761" s="348">
        <f t="shared" si="196"/>
        <v>0</v>
      </c>
      <c r="H761" s="348">
        <f t="shared" si="196"/>
        <v>0</v>
      </c>
    </row>
    <row r="762" spans="1:8" ht="47.25" hidden="1" customHeight="1">
      <c r="A762" s="77" t="s">
        <v>649</v>
      </c>
      <c r="B762" s="43" t="s">
        <v>689</v>
      </c>
      <c r="C762" s="43" t="s">
        <v>107</v>
      </c>
      <c r="D762" s="43" t="s">
        <v>427</v>
      </c>
      <c r="E762" s="43" t="s">
        <v>648</v>
      </c>
      <c r="F762" s="348">
        <f t="shared" si="196"/>
        <v>0</v>
      </c>
      <c r="G762" s="348">
        <f t="shared" si="196"/>
        <v>0</v>
      </c>
      <c r="H762" s="348">
        <f t="shared" si="196"/>
        <v>0</v>
      </c>
    </row>
    <row r="763" spans="1:8" ht="15.75" hidden="1" customHeight="1">
      <c r="A763" s="77" t="s">
        <v>117</v>
      </c>
      <c r="B763" s="43" t="s">
        <v>689</v>
      </c>
      <c r="C763" s="43" t="s">
        <v>107</v>
      </c>
      <c r="D763" s="43" t="s">
        <v>427</v>
      </c>
      <c r="E763" s="43" t="s">
        <v>156</v>
      </c>
      <c r="F763" s="348"/>
      <c r="G763" s="348"/>
      <c r="H763" s="348"/>
    </row>
    <row r="764" spans="1:8" ht="94.5" hidden="1" customHeight="1">
      <c r="A764" s="81" t="s">
        <v>535</v>
      </c>
      <c r="B764" s="59" t="s">
        <v>689</v>
      </c>
      <c r="C764" s="59" t="s">
        <v>107</v>
      </c>
      <c r="D764" s="59" t="s">
        <v>788</v>
      </c>
      <c r="E764" s="59" t="s">
        <v>198</v>
      </c>
      <c r="F764" s="96">
        <f>F765+F768</f>
        <v>0</v>
      </c>
      <c r="G764" s="96">
        <f>G765+G768</f>
        <v>0</v>
      </c>
      <c r="H764" s="96">
        <f>H765+H768</f>
        <v>0</v>
      </c>
    </row>
    <row r="765" spans="1:8" ht="94.5" hidden="1" customHeight="1">
      <c r="A765" s="77" t="s">
        <v>465</v>
      </c>
      <c r="B765" s="43" t="s">
        <v>689</v>
      </c>
      <c r="C765" s="43" t="s">
        <v>107</v>
      </c>
      <c r="D765" s="43" t="s">
        <v>505</v>
      </c>
      <c r="E765" s="43" t="s">
        <v>198</v>
      </c>
      <c r="F765" s="348">
        <f t="shared" ref="F765:H766" si="197">F766</f>
        <v>0</v>
      </c>
      <c r="G765" s="348">
        <f t="shared" si="197"/>
        <v>0</v>
      </c>
      <c r="H765" s="348">
        <f t="shared" si="197"/>
        <v>0</v>
      </c>
    </row>
    <row r="766" spans="1:8" ht="47.25" hidden="1" customHeight="1">
      <c r="A766" s="77" t="s">
        <v>649</v>
      </c>
      <c r="B766" s="43" t="s">
        <v>689</v>
      </c>
      <c r="C766" s="43" t="s">
        <v>107</v>
      </c>
      <c r="D766" s="43" t="s">
        <v>505</v>
      </c>
      <c r="E766" s="43" t="s">
        <v>648</v>
      </c>
      <c r="F766" s="348">
        <f t="shared" si="197"/>
        <v>0</v>
      </c>
      <c r="G766" s="348">
        <f t="shared" si="197"/>
        <v>0</v>
      </c>
      <c r="H766" s="348">
        <f t="shared" si="197"/>
        <v>0</v>
      </c>
    </row>
    <row r="767" spans="1:8" ht="15.75" hidden="1" customHeight="1">
      <c r="A767" s="77" t="s">
        <v>117</v>
      </c>
      <c r="B767" s="43" t="s">
        <v>689</v>
      </c>
      <c r="C767" s="43" t="s">
        <v>107</v>
      </c>
      <c r="D767" s="43" t="s">
        <v>505</v>
      </c>
      <c r="E767" s="43" t="s">
        <v>156</v>
      </c>
      <c r="F767" s="348">
        <f>'5'!D202</f>
        <v>0</v>
      </c>
      <c r="G767" s="348">
        <f>'5'!E202</f>
        <v>0</v>
      </c>
      <c r="H767" s="348">
        <f>'5'!F202</f>
        <v>0</v>
      </c>
    </row>
    <row r="768" spans="1:8" ht="126" hidden="1" customHeight="1">
      <c r="A768" s="77" t="s">
        <v>506</v>
      </c>
      <c r="B768" s="43" t="s">
        <v>689</v>
      </c>
      <c r="C768" s="43" t="s">
        <v>107</v>
      </c>
      <c r="D768" s="43" t="s">
        <v>508</v>
      </c>
      <c r="E768" s="43" t="s">
        <v>198</v>
      </c>
      <c r="F768" s="155">
        <f t="shared" ref="F768:H769" si="198">F769</f>
        <v>0</v>
      </c>
      <c r="G768" s="155">
        <f t="shared" si="198"/>
        <v>0</v>
      </c>
      <c r="H768" s="155">
        <f t="shared" si="198"/>
        <v>0</v>
      </c>
    </row>
    <row r="769" spans="1:15" ht="47.25" hidden="1" customHeight="1">
      <c r="A769" s="77" t="s">
        <v>649</v>
      </c>
      <c r="B769" s="43" t="s">
        <v>689</v>
      </c>
      <c r="C769" s="43" t="s">
        <v>107</v>
      </c>
      <c r="D769" s="43" t="s">
        <v>508</v>
      </c>
      <c r="E769" s="43" t="s">
        <v>648</v>
      </c>
      <c r="F769" s="155">
        <f t="shared" si="198"/>
        <v>0</v>
      </c>
      <c r="G769" s="155">
        <f t="shared" si="198"/>
        <v>0</v>
      </c>
      <c r="H769" s="155">
        <f t="shared" si="198"/>
        <v>0</v>
      </c>
    </row>
    <row r="770" spans="1:15" ht="15.75" hidden="1" customHeight="1">
      <c r="A770" s="77" t="s">
        <v>117</v>
      </c>
      <c r="B770" s="43" t="s">
        <v>689</v>
      </c>
      <c r="C770" s="43" t="s">
        <v>107</v>
      </c>
      <c r="D770" s="43" t="s">
        <v>508</v>
      </c>
      <c r="E770" s="43" t="s">
        <v>156</v>
      </c>
      <c r="F770" s="155">
        <f>'5'!D203</f>
        <v>0</v>
      </c>
      <c r="G770" s="155">
        <f>'5'!E203</f>
        <v>0</v>
      </c>
      <c r="H770" s="155">
        <f>'5'!F203</f>
        <v>0</v>
      </c>
    </row>
    <row r="771" spans="1:15" ht="31.5" hidden="1" customHeight="1">
      <c r="A771" s="86" t="s">
        <v>789</v>
      </c>
      <c r="B771" s="43" t="s">
        <v>689</v>
      </c>
      <c r="C771" s="43" t="s">
        <v>107</v>
      </c>
      <c r="D771" s="43" t="s">
        <v>448</v>
      </c>
      <c r="E771" s="43" t="s">
        <v>198</v>
      </c>
      <c r="F771" s="348">
        <f t="shared" ref="F771:H772" si="199">F772</f>
        <v>0</v>
      </c>
      <c r="G771" s="348">
        <f t="shared" si="199"/>
        <v>0</v>
      </c>
      <c r="H771" s="348">
        <f t="shared" si="199"/>
        <v>0</v>
      </c>
    </row>
    <row r="772" spans="1:15" ht="47.25" hidden="1" customHeight="1">
      <c r="A772" s="77" t="s">
        <v>649</v>
      </c>
      <c r="B772" s="43" t="s">
        <v>689</v>
      </c>
      <c r="C772" s="43" t="s">
        <v>107</v>
      </c>
      <c r="D772" s="43" t="s">
        <v>448</v>
      </c>
      <c r="E772" s="43" t="s">
        <v>648</v>
      </c>
      <c r="F772" s="348">
        <f t="shared" si="199"/>
        <v>0</v>
      </c>
      <c r="G772" s="348">
        <f t="shared" si="199"/>
        <v>0</v>
      </c>
      <c r="H772" s="348">
        <f t="shared" si="199"/>
        <v>0</v>
      </c>
    </row>
    <row r="773" spans="1:15" ht="15.75" hidden="1" customHeight="1">
      <c r="A773" s="77" t="s">
        <v>117</v>
      </c>
      <c r="B773" s="43" t="s">
        <v>689</v>
      </c>
      <c r="C773" s="43" t="s">
        <v>107</v>
      </c>
      <c r="D773" s="43" t="s">
        <v>448</v>
      </c>
      <c r="E773" s="43" t="s">
        <v>156</v>
      </c>
      <c r="F773" s="348"/>
      <c r="G773" s="348"/>
      <c r="H773" s="348"/>
    </row>
    <row r="774" spans="1:15" ht="31.5" hidden="1" customHeight="1">
      <c r="A774" s="86" t="s">
        <v>746</v>
      </c>
      <c r="B774" s="43" t="s">
        <v>689</v>
      </c>
      <c r="C774" s="43" t="s">
        <v>107</v>
      </c>
      <c r="D774" s="43" t="s">
        <v>449</v>
      </c>
      <c r="E774" s="43" t="s">
        <v>198</v>
      </c>
      <c r="F774" s="348">
        <f t="shared" ref="F774:H775" si="200">F775</f>
        <v>0</v>
      </c>
      <c r="G774" s="348">
        <f t="shared" si="200"/>
        <v>0</v>
      </c>
      <c r="H774" s="348">
        <f t="shared" si="200"/>
        <v>0</v>
      </c>
    </row>
    <row r="775" spans="1:15" ht="47.25" hidden="1" customHeight="1">
      <c r="A775" s="77" t="s">
        <v>649</v>
      </c>
      <c r="B775" s="43" t="s">
        <v>689</v>
      </c>
      <c r="C775" s="43" t="s">
        <v>107</v>
      </c>
      <c r="D775" s="43" t="s">
        <v>449</v>
      </c>
      <c r="E775" s="43" t="s">
        <v>648</v>
      </c>
      <c r="F775" s="348">
        <f t="shared" si="200"/>
        <v>0</v>
      </c>
      <c r="G775" s="348">
        <f t="shared" si="200"/>
        <v>0</v>
      </c>
      <c r="H775" s="348">
        <f t="shared" si="200"/>
        <v>0</v>
      </c>
    </row>
    <row r="776" spans="1:15" ht="15.75" hidden="1" customHeight="1">
      <c r="A776" s="77" t="s">
        <v>117</v>
      </c>
      <c r="B776" s="43" t="s">
        <v>689</v>
      </c>
      <c r="C776" s="43" t="s">
        <v>107</v>
      </c>
      <c r="D776" s="43" t="s">
        <v>449</v>
      </c>
      <c r="E776" s="43" t="s">
        <v>156</v>
      </c>
      <c r="F776" s="348"/>
      <c r="G776" s="348"/>
      <c r="H776" s="348"/>
      <c r="O776" s="40"/>
    </row>
    <row r="777" spans="1:15" s="40" customFormat="1" ht="52.9" customHeight="1">
      <c r="A777" s="76" t="s">
        <v>658</v>
      </c>
      <c r="B777" s="53" t="s">
        <v>689</v>
      </c>
      <c r="C777" s="53" t="s">
        <v>107</v>
      </c>
      <c r="D777" s="53" t="s">
        <v>18</v>
      </c>
      <c r="E777" s="53" t="s">
        <v>198</v>
      </c>
      <c r="F777" s="41">
        <f t="shared" ref="F777:H778" si="201">F778</f>
        <v>39</v>
      </c>
      <c r="G777" s="41">
        <f t="shared" si="201"/>
        <v>39</v>
      </c>
      <c r="H777" s="41">
        <f t="shared" si="201"/>
        <v>39</v>
      </c>
      <c r="O777" s="24"/>
    </row>
    <row r="778" spans="1:15" ht="37.9" customHeight="1">
      <c r="A778" s="86" t="s">
        <v>790</v>
      </c>
      <c r="B778" s="43" t="s">
        <v>689</v>
      </c>
      <c r="C778" s="43" t="s">
        <v>107</v>
      </c>
      <c r="D778" s="43" t="s">
        <v>859</v>
      </c>
      <c r="E778" s="43" t="s">
        <v>198</v>
      </c>
      <c r="F778" s="348">
        <f t="shared" si="201"/>
        <v>39</v>
      </c>
      <c r="G778" s="348">
        <f t="shared" si="201"/>
        <v>39</v>
      </c>
      <c r="H778" s="348">
        <f t="shared" si="201"/>
        <v>39</v>
      </c>
    </row>
    <row r="779" spans="1:15" ht="17.25" customHeight="1">
      <c r="A779" s="77" t="s">
        <v>117</v>
      </c>
      <c r="B779" s="43" t="s">
        <v>689</v>
      </c>
      <c r="C779" s="43" t="s">
        <v>107</v>
      </c>
      <c r="D779" s="43" t="s">
        <v>61</v>
      </c>
      <c r="E779" s="43" t="s">
        <v>156</v>
      </c>
      <c r="F779" s="348">
        <f>'5'!D102</f>
        <v>39</v>
      </c>
      <c r="G779" s="348">
        <f>'5'!E102</f>
        <v>39</v>
      </c>
      <c r="H779" s="348">
        <f>'5'!F102</f>
        <v>39</v>
      </c>
      <c r="O779" s="40"/>
    </row>
    <row r="780" spans="1:15" s="40" customFormat="1" ht="64.5" customHeight="1">
      <c r="A780" s="76" t="s">
        <v>511</v>
      </c>
      <c r="B780" s="53" t="s">
        <v>689</v>
      </c>
      <c r="C780" s="53" t="s">
        <v>107</v>
      </c>
      <c r="D780" s="53" t="s">
        <v>50</v>
      </c>
      <c r="E780" s="53" t="s">
        <v>198</v>
      </c>
      <c r="F780" s="41">
        <f>F781</f>
        <v>5</v>
      </c>
      <c r="G780" s="41">
        <f>G781</f>
        <v>5</v>
      </c>
      <c r="H780" s="41">
        <f>H781</f>
        <v>5</v>
      </c>
      <c r="O780" s="49"/>
    </row>
    <row r="781" spans="1:15" s="49" customFormat="1" ht="33.75" customHeight="1">
      <c r="A781" s="77" t="s">
        <v>179</v>
      </c>
      <c r="B781" s="43" t="s">
        <v>689</v>
      </c>
      <c r="C781" s="43" t="s">
        <v>107</v>
      </c>
      <c r="D781" s="43" t="s">
        <v>62</v>
      </c>
      <c r="E781" s="43" t="s">
        <v>156</v>
      </c>
      <c r="F781" s="348">
        <f>'5'!D118</f>
        <v>5</v>
      </c>
      <c r="G781" s="348">
        <f>'5'!E118</f>
        <v>5</v>
      </c>
      <c r="H781" s="348">
        <f>'5'!F118</f>
        <v>5</v>
      </c>
    </row>
    <row r="782" spans="1:15" s="49" customFormat="1" ht="69" customHeight="1">
      <c r="A782" s="76" t="s">
        <v>544</v>
      </c>
      <c r="B782" s="53" t="s">
        <v>689</v>
      </c>
      <c r="C782" s="53" t="s">
        <v>107</v>
      </c>
      <c r="D782" s="53" t="s">
        <v>22</v>
      </c>
      <c r="E782" s="53" t="s">
        <v>198</v>
      </c>
      <c r="F782" s="41">
        <f t="shared" ref="F782:H783" si="202">F783</f>
        <v>60</v>
      </c>
      <c r="G782" s="41">
        <f t="shared" si="202"/>
        <v>60</v>
      </c>
      <c r="H782" s="41">
        <f t="shared" si="202"/>
        <v>20</v>
      </c>
      <c r="O782" s="24"/>
    </row>
    <row r="783" spans="1:15" ht="51" customHeight="1">
      <c r="A783" s="77" t="s">
        <v>649</v>
      </c>
      <c r="B783" s="43" t="s">
        <v>689</v>
      </c>
      <c r="C783" s="43" t="s">
        <v>107</v>
      </c>
      <c r="D783" s="58" t="s">
        <v>349</v>
      </c>
      <c r="E783" s="43" t="s">
        <v>648</v>
      </c>
      <c r="F783" s="348">
        <f t="shared" si="202"/>
        <v>60</v>
      </c>
      <c r="G783" s="348">
        <f t="shared" si="202"/>
        <v>60</v>
      </c>
      <c r="H783" s="348">
        <f t="shared" si="202"/>
        <v>20</v>
      </c>
    </row>
    <row r="784" spans="1:15" ht="35.25" customHeight="1">
      <c r="A784" s="77" t="s">
        <v>179</v>
      </c>
      <c r="B784" s="43" t="s">
        <v>689</v>
      </c>
      <c r="C784" s="43" t="s">
        <v>107</v>
      </c>
      <c r="D784" s="58" t="s">
        <v>349</v>
      </c>
      <c r="E784" s="43" t="s">
        <v>156</v>
      </c>
      <c r="F784" s="348">
        <f>'5'!D126</f>
        <v>60</v>
      </c>
      <c r="G784" s="348">
        <f>'5'!E126</f>
        <v>60</v>
      </c>
      <c r="H784" s="348">
        <f>'5'!F126</f>
        <v>20</v>
      </c>
    </row>
    <row r="785" spans="1:15" ht="85.5" customHeight="1">
      <c r="A785" s="76" t="s">
        <v>709</v>
      </c>
      <c r="B785" s="53" t="s">
        <v>689</v>
      </c>
      <c r="C785" s="53" t="s">
        <v>107</v>
      </c>
      <c r="D785" s="53" t="s">
        <v>259</v>
      </c>
      <c r="E785" s="53" t="s">
        <v>198</v>
      </c>
      <c r="F785" s="41">
        <f t="shared" ref="F785:H786" si="203">F786</f>
        <v>20</v>
      </c>
      <c r="G785" s="41">
        <f t="shared" si="203"/>
        <v>20</v>
      </c>
      <c r="H785" s="41">
        <f t="shared" si="203"/>
        <v>0</v>
      </c>
    </row>
    <row r="786" spans="1:15" ht="49.9" customHeight="1">
      <c r="A786" s="77" t="s">
        <v>649</v>
      </c>
      <c r="B786" s="43" t="s">
        <v>689</v>
      </c>
      <c r="C786" s="43" t="s">
        <v>107</v>
      </c>
      <c r="D786" s="43" t="s">
        <v>405</v>
      </c>
      <c r="E786" s="43" t="s">
        <v>648</v>
      </c>
      <c r="F786" s="348">
        <f t="shared" si="203"/>
        <v>20</v>
      </c>
      <c r="G786" s="348">
        <f t="shared" si="203"/>
        <v>20</v>
      </c>
      <c r="H786" s="348">
        <f t="shared" si="203"/>
        <v>0</v>
      </c>
    </row>
    <row r="787" spans="1:15" ht="24.6" customHeight="1">
      <c r="A787" s="77" t="s">
        <v>117</v>
      </c>
      <c r="B787" s="43" t="s">
        <v>689</v>
      </c>
      <c r="C787" s="43" t="s">
        <v>107</v>
      </c>
      <c r="D787" s="43" t="s">
        <v>405</v>
      </c>
      <c r="E787" s="43" t="s">
        <v>156</v>
      </c>
      <c r="F787" s="348">
        <f>'5'!D221</f>
        <v>20</v>
      </c>
      <c r="G787" s="348">
        <f>'5'!E221</f>
        <v>20</v>
      </c>
      <c r="H787" s="348">
        <f>'5'!F221</f>
        <v>0</v>
      </c>
    </row>
    <row r="788" spans="1:15" ht="47.25" hidden="1" customHeight="1">
      <c r="A788" s="75" t="s">
        <v>791</v>
      </c>
      <c r="B788" s="2" t="s">
        <v>689</v>
      </c>
      <c r="C788" s="2" t="s">
        <v>107</v>
      </c>
      <c r="D788" s="2" t="s">
        <v>54</v>
      </c>
      <c r="E788" s="2" t="s">
        <v>198</v>
      </c>
      <c r="F788" s="39">
        <f>F789</f>
        <v>0</v>
      </c>
      <c r="G788" s="39">
        <f>G789</f>
        <v>0</v>
      </c>
      <c r="H788" s="39">
        <f>H789</f>
        <v>0</v>
      </c>
    </row>
    <row r="789" spans="1:15" ht="78.75" hidden="1" customHeight="1">
      <c r="A789" s="79" t="s">
        <v>269</v>
      </c>
      <c r="B789" s="37" t="s">
        <v>689</v>
      </c>
      <c r="C789" s="37" t="s">
        <v>107</v>
      </c>
      <c r="D789" s="37" t="s">
        <v>240</v>
      </c>
      <c r="E789" s="37" t="s">
        <v>198</v>
      </c>
      <c r="F789" s="38">
        <f>F790+F792</f>
        <v>0</v>
      </c>
      <c r="G789" s="38">
        <f>G790+G792</f>
        <v>0</v>
      </c>
      <c r="H789" s="38">
        <f>H790+H792</f>
        <v>0</v>
      </c>
    </row>
    <row r="790" spans="1:15" ht="94.5" hidden="1" customHeight="1">
      <c r="A790" s="74" t="s">
        <v>605</v>
      </c>
      <c r="B790" s="37" t="s">
        <v>689</v>
      </c>
      <c r="C790" s="37" t="s">
        <v>107</v>
      </c>
      <c r="D790" s="37" t="s">
        <v>240</v>
      </c>
      <c r="E790" s="37" t="s">
        <v>606</v>
      </c>
      <c r="F790" s="38">
        <f>F791</f>
        <v>0</v>
      </c>
      <c r="G790" s="38">
        <f>G791</f>
        <v>0</v>
      </c>
      <c r="H790" s="38">
        <f>H791</f>
        <v>0</v>
      </c>
    </row>
    <row r="791" spans="1:15" ht="31.5" hidden="1" customHeight="1">
      <c r="A791" s="74" t="s">
        <v>767</v>
      </c>
      <c r="B791" s="37" t="s">
        <v>689</v>
      </c>
      <c r="C791" s="37" t="s">
        <v>107</v>
      </c>
      <c r="D791" s="37" t="s">
        <v>240</v>
      </c>
      <c r="E791" s="37" t="s">
        <v>768</v>
      </c>
      <c r="F791" s="38"/>
      <c r="G791" s="38"/>
      <c r="H791" s="38"/>
    </row>
    <row r="792" spans="1:15" ht="31.5" hidden="1" customHeight="1">
      <c r="A792" s="74" t="s">
        <v>611</v>
      </c>
      <c r="B792" s="37" t="s">
        <v>689</v>
      </c>
      <c r="C792" s="37" t="s">
        <v>107</v>
      </c>
      <c r="D792" s="37" t="s">
        <v>240</v>
      </c>
      <c r="E792" s="37" t="s">
        <v>612</v>
      </c>
      <c r="F792" s="38">
        <f>F793</f>
        <v>0</v>
      </c>
      <c r="G792" s="38">
        <f>G793</f>
        <v>0</v>
      </c>
      <c r="H792" s="38">
        <f>H793</f>
        <v>0</v>
      </c>
    </row>
    <row r="793" spans="1:15" ht="47.25" hidden="1" customHeight="1">
      <c r="A793" s="74" t="s">
        <v>613</v>
      </c>
      <c r="B793" s="37" t="s">
        <v>689</v>
      </c>
      <c r="C793" s="37" t="s">
        <v>107</v>
      </c>
      <c r="D793" s="37" t="s">
        <v>240</v>
      </c>
      <c r="E793" s="37" t="s">
        <v>614</v>
      </c>
      <c r="F793" s="38"/>
      <c r="G793" s="38"/>
      <c r="H793" s="38"/>
    </row>
    <row r="794" spans="1:15" ht="15.75" hidden="1" customHeight="1">
      <c r="A794" s="376" t="s">
        <v>792</v>
      </c>
      <c r="B794" s="51" t="s">
        <v>678</v>
      </c>
      <c r="C794" s="51" t="s">
        <v>103</v>
      </c>
      <c r="D794" s="51" t="s">
        <v>601</v>
      </c>
      <c r="E794" s="51" t="s">
        <v>198</v>
      </c>
      <c r="F794" s="52">
        <f>F795</f>
        <v>0</v>
      </c>
      <c r="G794" s="52">
        <f t="shared" ref="G794:H797" si="204">G795</f>
        <v>0</v>
      </c>
      <c r="H794" s="52">
        <f t="shared" si="204"/>
        <v>0</v>
      </c>
    </row>
    <row r="795" spans="1:15" ht="31.5" hidden="1" customHeight="1">
      <c r="A795" s="78" t="s">
        <v>793</v>
      </c>
      <c r="B795" s="44" t="s">
        <v>678</v>
      </c>
      <c r="C795" s="44" t="s">
        <v>678</v>
      </c>
      <c r="D795" s="44" t="s">
        <v>601</v>
      </c>
      <c r="E795" s="44" t="s">
        <v>198</v>
      </c>
      <c r="F795" s="45">
        <f>F796</f>
        <v>0</v>
      </c>
      <c r="G795" s="45">
        <f t="shared" si="204"/>
        <v>0</v>
      </c>
      <c r="H795" s="45">
        <f t="shared" si="204"/>
        <v>0</v>
      </c>
    </row>
    <row r="796" spans="1:15" ht="31.5" hidden="1" customHeight="1">
      <c r="A796" s="74" t="s">
        <v>794</v>
      </c>
      <c r="B796" s="2" t="s">
        <v>678</v>
      </c>
      <c r="C796" s="2" t="s">
        <v>678</v>
      </c>
      <c r="D796" s="2" t="s">
        <v>772</v>
      </c>
      <c r="E796" s="37" t="s">
        <v>198</v>
      </c>
      <c r="F796" s="39">
        <f>F797</f>
        <v>0</v>
      </c>
      <c r="G796" s="39">
        <f t="shared" si="204"/>
        <v>0</v>
      </c>
      <c r="H796" s="39">
        <f t="shared" si="204"/>
        <v>0</v>
      </c>
    </row>
    <row r="797" spans="1:15" ht="31.5" hidden="1" customHeight="1">
      <c r="A797" s="74" t="s">
        <v>611</v>
      </c>
      <c r="B797" s="2" t="s">
        <v>678</v>
      </c>
      <c r="C797" s="2" t="s">
        <v>678</v>
      </c>
      <c r="D797" s="37" t="s">
        <v>795</v>
      </c>
      <c r="E797" s="37" t="s">
        <v>612</v>
      </c>
      <c r="F797" s="38">
        <f>F798</f>
        <v>0</v>
      </c>
      <c r="G797" s="38">
        <f t="shared" si="204"/>
        <v>0</v>
      </c>
      <c r="H797" s="38">
        <f t="shared" si="204"/>
        <v>0</v>
      </c>
    </row>
    <row r="798" spans="1:15" ht="47.25" hidden="1" customHeight="1">
      <c r="A798" s="74" t="s">
        <v>613</v>
      </c>
      <c r="B798" s="2" t="s">
        <v>678</v>
      </c>
      <c r="C798" s="2" t="s">
        <v>678</v>
      </c>
      <c r="D798" s="37" t="s">
        <v>451</v>
      </c>
      <c r="E798" s="37" t="s">
        <v>614</v>
      </c>
      <c r="F798" s="38"/>
      <c r="G798" s="38"/>
      <c r="H798" s="38"/>
    </row>
    <row r="799" spans="1:15" ht="18.75" customHeight="1">
      <c r="A799" s="80" t="s">
        <v>796</v>
      </c>
      <c r="B799" s="30" t="s">
        <v>120</v>
      </c>
      <c r="C799" s="30" t="s">
        <v>103</v>
      </c>
      <c r="D799" s="30" t="s">
        <v>601</v>
      </c>
      <c r="E799" s="30" t="s">
        <v>198</v>
      </c>
      <c r="F799" s="31">
        <f>F800+F805+F820+F883</f>
        <v>54191.117179999994</v>
      </c>
      <c r="G799" s="31">
        <f t="shared" ref="G799:H799" si="205">G800+G805+G820+G883</f>
        <v>60009.291833709533</v>
      </c>
      <c r="H799" s="31">
        <f t="shared" si="205"/>
        <v>63036.908459379883</v>
      </c>
      <c r="I799" s="42"/>
      <c r="J799" s="42"/>
      <c r="K799" s="42"/>
      <c r="O799" s="40"/>
    </row>
    <row r="800" spans="1:15" s="40" customFormat="1" ht="17.25" customHeight="1">
      <c r="A800" s="73" t="s">
        <v>98</v>
      </c>
      <c r="B800" s="34" t="s">
        <v>120</v>
      </c>
      <c r="C800" s="34" t="s">
        <v>102</v>
      </c>
      <c r="D800" s="34" t="s">
        <v>601</v>
      </c>
      <c r="E800" s="34" t="s">
        <v>198</v>
      </c>
      <c r="F800" s="35">
        <f>F802</f>
        <v>2172</v>
      </c>
      <c r="G800" s="35">
        <f t="shared" ref="G800:H800" si="206">G802</f>
        <v>2097.7973499999998</v>
      </c>
      <c r="H800" s="35">
        <f t="shared" si="206"/>
        <v>1420.8112100000001</v>
      </c>
      <c r="O800" s="24"/>
    </row>
    <row r="801" spans="1:15" ht="33" customHeight="1">
      <c r="A801" s="77" t="s">
        <v>797</v>
      </c>
      <c r="B801" s="43" t="s">
        <v>120</v>
      </c>
      <c r="C801" s="43" t="s">
        <v>102</v>
      </c>
      <c r="D801" s="43" t="s">
        <v>63</v>
      </c>
      <c r="E801" s="43" t="s">
        <v>198</v>
      </c>
      <c r="F801" s="348">
        <f>F802</f>
        <v>2172</v>
      </c>
      <c r="G801" s="348">
        <f t="shared" ref="G801:H803" si="207">G802</f>
        <v>2097.7973499999998</v>
      </c>
      <c r="H801" s="348">
        <f t="shared" si="207"/>
        <v>1420.8112100000001</v>
      </c>
    </row>
    <row r="802" spans="1:15" ht="50.25" customHeight="1">
      <c r="A802" s="77" t="s">
        <v>798</v>
      </c>
      <c r="B802" s="43" t="s">
        <v>120</v>
      </c>
      <c r="C802" s="43" t="s">
        <v>102</v>
      </c>
      <c r="D802" s="43" t="s">
        <v>63</v>
      </c>
      <c r="E802" s="43" t="s">
        <v>198</v>
      </c>
      <c r="F802" s="348">
        <f>F803</f>
        <v>2172</v>
      </c>
      <c r="G802" s="348">
        <f t="shared" si="207"/>
        <v>2097.7973499999998</v>
      </c>
      <c r="H802" s="348">
        <f t="shared" si="207"/>
        <v>1420.8112100000001</v>
      </c>
    </row>
    <row r="803" spans="1:15" ht="31.5" customHeight="1">
      <c r="A803" s="77" t="s">
        <v>758</v>
      </c>
      <c r="B803" s="43" t="s">
        <v>120</v>
      </c>
      <c r="C803" s="43" t="s">
        <v>102</v>
      </c>
      <c r="D803" s="43" t="s">
        <v>63</v>
      </c>
      <c r="E803" s="43" t="s">
        <v>759</v>
      </c>
      <c r="F803" s="348">
        <f>F804</f>
        <v>2172</v>
      </c>
      <c r="G803" s="348">
        <f t="shared" si="207"/>
        <v>2097.7973499999998</v>
      </c>
      <c r="H803" s="348">
        <f t="shared" si="207"/>
        <v>1420.8112100000001</v>
      </c>
      <c r="O803" s="49"/>
    </row>
    <row r="804" spans="1:15" s="49" customFormat="1" ht="32.25" customHeight="1">
      <c r="A804" s="74" t="s">
        <v>113</v>
      </c>
      <c r="B804" s="37" t="s">
        <v>120</v>
      </c>
      <c r="C804" s="37" t="s">
        <v>102</v>
      </c>
      <c r="D804" s="37" t="s">
        <v>63</v>
      </c>
      <c r="E804" s="37" t="s">
        <v>114</v>
      </c>
      <c r="F804" s="348">
        <f>'5'!D287</f>
        <v>2172</v>
      </c>
      <c r="G804" s="348">
        <f>'5'!E287</f>
        <v>2097.7973499999998</v>
      </c>
      <c r="H804" s="348">
        <f>'5'!F287</f>
        <v>1420.8112100000001</v>
      </c>
    </row>
    <row r="805" spans="1:15" s="49" customFormat="1" ht="18.75" customHeight="1">
      <c r="A805" s="73" t="s">
        <v>304</v>
      </c>
      <c r="B805" s="34" t="s">
        <v>120</v>
      </c>
      <c r="C805" s="34" t="s">
        <v>105</v>
      </c>
      <c r="D805" s="34" t="s">
        <v>601</v>
      </c>
      <c r="E805" s="34" t="s">
        <v>198</v>
      </c>
      <c r="F805" s="35">
        <f>F806+F810+F817</f>
        <v>1250</v>
      </c>
      <c r="G805" s="35">
        <f t="shared" ref="G805:H805" si="208">G806+G810</f>
        <v>300</v>
      </c>
      <c r="H805" s="35">
        <f t="shared" si="208"/>
        <v>300</v>
      </c>
    </row>
    <row r="806" spans="1:15" s="49" customFormat="1" ht="99.75" customHeight="1">
      <c r="A806" s="76" t="s">
        <v>305</v>
      </c>
      <c r="B806" s="53" t="s">
        <v>120</v>
      </c>
      <c r="C806" s="53" t="s">
        <v>105</v>
      </c>
      <c r="D806" s="53" t="s">
        <v>31</v>
      </c>
      <c r="E806" s="53" t="s">
        <v>198</v>
      </c>
      <c r="F806" s="41">
        <f t="shared" ref="F806:H807" si="209">F807</f>
        <v>530</v>
      </c>
      <c r="G806" s="41">
        <f t="shared" si="209"/>
        <v>0</v>
      </c>
      <c r="H806" s="41">
        <f t="shared" si="209"/>
        <v>0</v>
      </c>
    </row>
    <row r="807" spans="1:15" s="49" customFormat="1" ht="33" customHeight="1">
      <c r="A807" s="77" t="s">
        <v>758</v>
      </c>
      <c r="B807" s="43" t="s">
        <v>120</v>
      </c>
      <c r="C807" s="43" t="s">
        <v>105</v>
      </c>
      <c r="D807" s="43" t="s">
        <v>1086</v>
      </c>
      <c r="E807" s="43" t="s">
        <v>759</v>
      </c>
      <c r="F807" s="348">
        <f t="shared" si="209"/>
        <v>530</v>
      </c>
      <c r="G807" s="348">
        <f t="shared" si="209"/>
        <v>0</v>
      </c>
      <c r="H807" s="348">
        <f t="shared" si="209"/>
        <v>0</v>
      </c>
    </row>
    <row r="808" spans="1:15" s="49" customFormat="1" ht="36" customHeight="1">
      <c r="A808" s="77" t="s">
        <v>115</v>
      </c>
      <c r="B808" s="43" t="s">
        <v>120</v>
      </c>
      <c r="C808" s="43" t="s">
        <v>105</v>
      </c>
      <c r="D808" s="43" t="s">
        <v>1086</v>
      </c>
      <c r="E808" s="43" t="s">
        <v>799</v>
      </c>
      <c r="F808" s="348">
        <f>'5'!D51</f>
        <v>530</v>
      </c>
      <c r="G808" s="348">
        <f>'5'!E51</f>
        <v>0</v>
      </c>
      <c r="H808" s="348">
        <f>'5'!F51</f>
        <v>0</v>
      </c>
      <c r="O808" s="40"/>
    </row>
    <row r="809" spans="1:15" s="40" customFormat="1" ht="52.5" customHeight="1">
      <c r="A809" s="76" t="s">
        <v>1023</v>
      </c>
      <c r="B809" s="53" t="s">
        <v>120</v>
      </c>
      <c r="C809" s="53" t="s">
        <v>105</v>
      </c>
      <c r="D809" s="53" t="s">
        <v>64</v>
      </c>
      <c r="E809" s="53" t="s">
        <v>198</v>
      </c>
      <c r="F809" s="41">
        <f t="shared" ref="F809:H810" si="210">F810</f>
        <v>300</v>
      </c>
      <c r="G809" s="41">
        <f t="shared" si="210"/>
        <v>300</v>
      </c>
      <c r="H809" s="41">
        <f t="shared" si="210"/>
        <v>300</v>
      </c>
    </row>
    <row r="810" spans="1:15" s="40" customFormat="1" ht="34.5" customHeight="1">
      <c r="A810" s="77" t="s">
        <v>758</v>
      </c>
      <c r="B810" s="43" t="s">
        <v>120</v>
      </c>
      <c r="C810" s="43" t="s">
        <v>105</v>
      </c>
      <c r="D810" s="43" t="s">
        <v>65</v>
      </c>
      <c r="E810" s="43" t="s">
        <v>759</v>
      </c>
      <c r="F810" s="348">
        <f t="shared" si="210"/>
        <v>300</v>
      </c>
      <c r="G810" s="348">
        <f t="shared" si="210"/>
        <v>300</v>
      </c>
      <c r="H810" s="348">
        <f t="shared" si="210"/>
        <v>300</v>
      </c>
      <c r="O810" s="24"/>
    </row>
    <row r="811" spans="1:15" ht="36" customHeight="1">
      <c r="A811" s="74" t="s">
        <v>115</v>
      </c>
      <c r="B811" s="37" t="s">
        <v>120</v>
      </c>
      <c r="C811" s="37" t="s">
        <v>105</v>
      </c>
      <c r="D811" s="37" t="s">
        <v>65</v>
      </c>
      <c r="E811" s="37" t="s">
        <v>799</v>
      </c>
      <c r="F811" s="38">
        <f>'5'!D152</f>
        <v>300</v>
      </c>
      <c r="G811" s="38">
        <f>'5'!E152</f>
        <v>300</v>
      </c>
      <c r="H811" s="38">
        <f>'5'!F152</f>
        <v>300</v>
      </c>
    </row>
    <row r="812" spans="1:15" ht="31.5" customHeight="1">
      <c r="A812" s="74" t="s">
        <v>604</v>
      </c>
      <c r="B812" s="37" t="s">
        <v>120</v>
      </c>
      <c r="C812" s="37" t="s">
        <v>105</v>
      </c>
      <c r="D812" s="37" t="s">
        <v>601</v>
      </c>
      <c r="E812" s="37" t="s">
        <v>198</v>
      </c>
      <c r="F812" s="38">
        <f>F813</f>
        <v>420</v>
      </c>
      <c r="G812" s="38">
        <f t="shared" ref="G812:H815" si="211">G813</f>
        <v>0</v>
      </c>
      <c r="H812" s="38">
        <f t="shared" si="211"/>
        <v>0</v>
      </c>
    </row>
    <row r="813" spans="1:15" ht="47.25" customHeight="1">
      <c r="A813" s="74" t="s">
        <v>104</v>
      </c>
      <c r="B813" s="37" t="s">
        <v>120</v>
      </c>
      <c r="C813" s="37" t="s">
        <v>105</v>
      </c>
      <c r="D813" s="37" t="s">
        <v>601</v>
      </c>
      <c r="E813" s="37" t="s">
        <v>198</v>
      </c>
      <c r="F813" s="38">
        <f>F814+F817</f>
        <v>420</v>
      </c>
      <c r="G813" s="38">
        <f>G814+G817</f>
        <v>0</v>
      </c>
      <c r="H813" s="38">
        <f>H814+H817</f>
        <v>0</v>
      </c>
    </row>
    <row r="814" spans="1:15" ht="267.75" hidden="1" customHeight="1">
      <c r="A814" s="75" t="s">
        <v>800</v>
      </c>
      <c r="B814" s="37" t="s">
        <v>120</v>
      </c>
      <c r="C814" s="37" t="s">
        <v>105</v>
      </c>
      <c r="D814" s="2" t="s">
        <v>430</v>
      </c>
      <c r="E814" s="2" t="s">
        <v>198</v>
      </c>
      <c r="F814" s="39">
        <f>F815</f>
        <v>0</v>
      </c>
      <c r="G814" s="39">
        <f t="shared" si="211"/>
        <v>0</v>
      </c>
      <c r="H814" s="39">
        <f t="shared" si="211"/>
        <v>0</v>
      </c>
    </row>
    <row r="815" spans="1:15" ht="15.75" hidden="1" customHeight="1">
      <c r="A815" s="74" t="s">
        <v>615</v>
      </c>
      <c r="B815" s="37" t="s">
        <v>120</v>
      </c>
      <c r="C815" s="37" t="s">
        <v>105</v>
      </c>
      <c r="D815" s="37" t="s">
        <v>430</v>
      </c>
      <c r="E815" s="37" t="s">
        <v>616</v>
      </c>
      <c r="F815" s="38">
        <f>F816</f>
        <v>0</v>
      </c>
      <c r="G815" s="38">
        <f t="shared" si="211"/>
        <v>0</v>
      </c>
      <c r="H815" s="38">
        <f t="shared" si="211"/>
        <v>0</v>
      </c>
    </row>
    <row r="816" spans="1:15" ht="78.75" hidden="1" customHeight="1">
      <c r="A816" s="74" t="s">
        <v>801</v>
      </c>
      <c r="B816" s="37" t="s">
        <v>120</v>
      </c>
      <c r="C816" s="37" t="s">
        <v>105</v>
      </c>
      <c r="D816" s="37" t="s">
        <v>430</v>
      </c>
      <c r="E816" s="37" t="s">
        <v>691</v>
      </c>
      <c r="F816" s="18"/>
      <c r="G816" s="18"/>
      <c r="H816" s="18"/>
    </row>
    <row r="817" spans="1:15" ht="63" customHeight="1">
      <c r="A817" s="76" t="s">
        <v>548</v>
      </c>
      <c r="B817" s="53" t="s">
        <v>120</v>
      </c>
      <c r="C817" s="53" t="s">
        <v>105</v>
      </c>
      <c r="D817" s="53" t="s">
        <v>547</v>
      </c>
      <c r="E817" s="53" t="s">
        <v>198</v>
      </c>
      <c r="F817" s="19">
        <f t="shared" ref="F817:H818" si="212">F818</f>
        <v>420</v>
      </c>
      <c r="G817" s="19">
        <f t="shared" si="212"/>
        <v>0</v>
      </c>
      <c r="H817" s="19">
        <f t="shared" si="212"/>
        <v>0</v>
      </c>
    </row>
    <row r="818" spans="1:15" ht="31.5" customHeight="1">
      <c r="A818" s="77" t="s">
        <v>758</v>
      </c>
      <c r="B818" s="43" t="s">
        <v>120</v>
      </c>
      <c r="C818" s="43" t="s">
        <v>105</v>
      </c>
      <c r="D818" s="43" t="s">
        <v>547</v>
      </c>
      <c r="E818" s="43" t="s">
        <v>759</v>
      </c>
      <c r="F818" s="4">
        <f t="shared" si="212"/>
        <v>420</v>
      </c>
      <c r="G818" s="4">
        <f t="shared" si="212"/>
        <v>0</v>
      </c>
      <c r="H818" s="4">
        <f t="shared" si="212"/>
        <v>0</v>
      </c>
    </row>
    <row r="819" spans="1:15" ht="47.25" customHeight="1">
      <c r="A819" s="77" t="s">
        <v>115</v>
      </c>
      <c r="B819" s="43" t="s">
        <v>120</v>
      </c>
      <c r="C819" s="43" t="s">
        <v>105</v>
      </c>
      <c r="D819" s="43" t="s">
        <v>547</v>
      </c>
      <c r="E819" s="43" t="s">
        <v>799</v>
      </c>
      <c r="F819" s="4">
        <f>'5'!D301</f>
        <v>420</v>
      </c>
      <c r="G819" s="4">
        <f>'5'!E301</f>
        <v>0</v>
      </c>
      <c r="H819" s="4">
        <f>'5'!F301</f>
        <v>0</v>
      </c>
    </row>
    <row r="820" spans="1:15" ht="18.75" customHeight="1">
      <c r="A820" s="73" t="s">
        <v>192</v>
      </c>
      <c r="B820" s="34" t="s">
        <v>120</v>
      </c>
      <c r="C820" s="34" t="s">
        <v>107</v>
      </c>
      <c r="D820" s="34" t="s">
        <v>601</v>
      </c>
      <c r="E820" s="34" t="s">
        <v>198</v>
      </c>
      <c r="F820" s="35">
        <f>F822+F826+F833+F838+F851+F863+F866+F871+F877</f>
        <v>48158.827179999993</v>
      </c>
      <c r="G820" s="35">
        <f t="shared" ref="G820:H820" si="213">G822+G826+G833+G838+G851+G863+G866+G871+G877</f>
        <v>54894.021483709534</v>
      </c>
      <c r="H820" s="35">
        <f t="shared" si="213"/>
        <v>58496.229249379881</v>
      </c>
      <c r="O820" s="40"/>
    </row>
    <row r="821" spans="1:15" s="40" customFormat="1" ht="54.75" customHeight="1">
      <c r="A821" s="153" t="s">
        <v>740</v>
      </c>
      <c r="B821" s="53" t="s">
        <v>120</v>
      </c>
      <c r="C821" s="53" t="s">
        <v>107</v>
      </c>
      <c r="D821" s="53" t="s">
        <v>18</v>
      </c>
      <c r="E821" s="53" t="s">
        <v>198</v>
      </c>
      <c r="F821" s="41">
        <f>F825+F829+F822</f>
        <v>6461.0889999999999</v>
      </c>
      <c r="G821" s="41">
        <f>G825+G829+G822</f>
        <v>6694.683</v>
      </c>
      <c r="H821" s="41">
        <f>H825+H829+H822</f>
        <v>6938.8950000000004</v>
      </c>
      <c r="O821" s="24"/>
    </row>
    <row r="822" spans="1:15" ht="47.25" customHeight="1">
      <c r="A822" s="86" t="s">
        <v>802</v>
      </c>
      <c r="B822" s="43" t="s">
        <v>120</v>
      </c>
      <c r="C822" s="43" t="s">
        <v>107</v>
      </c>
      <c r="D822" s="53" t="s">
        <v>298</v>
      </c>
      <c r="E822" s="53" t="s">
        <v>198</v>
      </c>
      <c r="F822" s="348">
        <f t="shared" ref="F822:H823" si="214">F823</f>
        <v>300</v>
      </c>
      <c r="G822" s="348">
        <f t="shared" si="214"/>
        <v>300</v>
      </c>
      <c r="H822" s="348">
        <f t="shared" si="214"/>
        <v>300</v>
      </c>
    </row>
    <row r="823" spans="1:15" ht="33.75" customHeight="1">
      <c r="A823" s="77" t="s">
        <v>758</v>
      </c>
      <c r="B823" s="43" t="s">
        <v>120</v>
      </c>
      <c r="C823" s="43" t="s">
        <v>107</v>
      </c>
      <c r="D823" s="53" t="s">
        <v>298</v>
      </c>
      <c r="E823" s="53" t="s">
        <v>759</v>
      </c>
      <c r="F823" s="348">
        <f t="shared" si="214"/>
        <v>300</v>
      </c>
      <c r="G823" s="348">
        <f t="shared" si="214"/>
        <v>300</v>
      </c>
      <c r="H823" s="348">
        <f t="shared" si="214"/>
        <v>300</v>
      </c>
    </row>
    <row r="824" spans="1:15" ht="34.9" customHeight="1">
      <c r="A824" s="77" t="s">
        <v>115</v>
      </c>
      <c r="B824" s="43" t="s">
        <v>120</v>
      </c>
      <c r="C824" s="43" t="s">
        <v>107</v>
      </c>
      <c r="D824" s="53" t="s">
        <v>298</v>
      </c>
      <c r="E824" s="53" t="s">
        <v>799</v>
      </c>
      <c r="F824" s="348">
        <f>'5'!D50</f>
        <v>300</v>
      </c>
      <c r="G824" s="348">
        <f>'5'!E50</f>
        <v>300</v>
      </c>
      <c r="H824" s="348">
        <f>'5'!F50</f>
        <v>300</v>
      </c>
    </row>
    <row r="825" spans="1:15" ht="40.5" customHeight="1">
      <c r="A825" s="86" t="s">
        <v>804</v>
      </c>
      <c r="B825" s="43" t="s">
        <v>120</v>
      </c>
      <c r="C825" s="43" t="s">
        <v>107</v>
      </c>
      <c r="D825" s="43" t="s">
        <v>27</v>
      </c>
      <c r="E825" s="43" t="s">
        <v>198</v>
      </c>
      <c r="F825" s="348">
        <f>F826</f>
        <v>5861.0889999999999</v>
      </c>
      <c r="G825" s="348">
        <f>G826</f>
        <v>6094.683</v>
      </c>
      <c r="H825" s="348">
        <f>H826</f>
        <v>6338.8950000000004</v>
      </c>
    </row>
    <row r="826" spans="1:15" ht="82.5" customHeight="1">
      <c r="A826" s="76" t="s">
        <v>122</v>
      </c>
      <c r="B826" s="43" t="s">
        <v>120</v>
      </c>
      <c r="C826" s="43" t="s">
        <v>107</v>
      </c>
      <c r="D826" s="43" t="s">
        <v>66</v>
      </c>
      <c r="E826" s="43" t="s">
        <v>198</v>
      </c>
      <c r="F826" s="348">
        <f>'2  '!D87</f>
        <v>5861.0889999999999</v>
      </c>
      <c r="G826" s="348">
        <f>'2  '!E87</f>
        <v>6094.683</v>
      </c>
      <c r="H826" s="348">
        <f>'2  '!F87</f>
        <v>6338.8950000000004</v>
      </c>
    </row>
    <row r="827" spans="1:15" ht="55.5" customHeight="1">
      <c r="A827" s="77" t="s">
        <v>613</v>
      </c>
      <c r="B827" s="43" t="s">
        <v>120</v>
      </c>
      <c r="C827" s="43" t="s">
        <v>107</v>
      </c>
      <c r="D827" s="43" t="s">
        <v>66</v>
      </c>
      <c r="E827" s="43" t="s">
        <v>614</v>
      </c>
      <c r="F827" s="348">
        <f>F826*1.5/100</f>
        <v>87.916335000000004</v>
      </c>
      <c r="G827" s="348">
        <f t="shared" ref="G827:H827" si="215">G826*1.5/100</f>
        <v>91.420244999999994</v>
      </c>
      <c r="H827" s="348">
        <f t="shared" si="215"/>
        <v>95.083425000000005</v>
      </c>
    </row>
    <row r="828" spans="1:15" ht="35.25" customHeight="1">
      <c r="A828" s="74" t="s">
        <v>113</v>
      </c>
      <c r="B828" s="37" t="s">
        <v>120</v>
      </c>
      <c r="C828" s="37" t="s">
        <v>107</v>
      </c>
      <c r="D828" s="37" t="s">
        <v>66</v>
      </c>
      <c r="E828" s="37" t="s">
        <v>114</v>
      </c>
      <c r="F828" s="348">
        <f>F826-F827</f>
        <v>5773.1726650000001</v>
      </c>
      <c r="G828" s="348">
        <f t="shared" ref="G828:H828" si="216">G826-G827</f>
        <v>6003.2627549999997</v>
      </c>
      <c r="H828" s="348">
        <f t="shared" si="216"/>
        <v>6243.8115750000006</v>
      </c>
    </row>
    <row r="829" spans="1:15" ht="51" customHeight="1">
      <c r="A829" s="75" t="s">
        <v>740</v>
      </c>
      <c r="B829" s="2" t="s">
        <v>120</v>
      </c>
      <c r="C829" s="2" t="s">
        <v>107</v>
      </c>
      <c r="D829" s="2" t="s">
        <v>18</v>
      </c>
      <c r="E829" s="2" t="s">
        <v>198</v>
      </c>
      <c r="F829" s="39">
        <f>F830</f>
        <v>300</v>
      </c>
      <c r="G829" s="39">
        <f t="shared" ref="G829:H832" si="217">G830</f>
        <v>300</v>
      </c>
      <c r="H829" s="39">
        <f t="shared" si="217"/>
        <v>300</v>
      </c>
    </row>
    <row r="830" spans="1:15" ht="39" customHeight="1">
      <c r="A830" s="205" t="s">
        <v>224</v>
      </c>
      <c r="B830" s="53" t="s">
        <v>120</v>
      </c>
      <c r="C830" s="53" t="s">
        <v>107</v>
      </c>
      <c r="D830" s="53" t="s">
        <v>46</v>
      </c>
      <c r="E830" s="53" t="s">
        <v>198</v>
      </c>
      <c r="F830" s="41">
        <f>F831</f>
        <v>300</v>
      </c>
      <c r="G830" s="41">
        <f t="shared" si="217"/>
        <v>300</v>
      </c>
      <c r="H830" s="41">
        <f t="shared" si="217"/>
        <v>300</v>
      </c>
    </row>
    <row r="831" spans="1:15" ht="66" customHeight="1">
      <c r="A831" s="76" t="s">
        <v>361</v>
      </c>
      <c r="B831" s="53" t="s">
        <v>120</v>
      </c>
      <c r="C831" s="53" t="s">
        <v>107</v>
      </c>
      <c r="D831" s="53" t="s">
        <v>46</v>
      </c>
      <c r="E831" s="53" t="s">
        <v>198</v>
      </c>
      <c r="F831" s="41">
        <f>F832</f>
        <v>300</v>
      </c>
      <c r="G831" s="41">
        <f t="shared" si="217"/>
        <v>300</v>
      </c>
      <c r="H831" s="41">
        <f t="shared" si="217"/>
        <v>300</v>
      </c>
    </row>
    <row r="832" spans="1:15" ht="35.25" hidden="1" customHeight="1">
      <c r="A832" s="77" t="s">
        <v>758</v>
      </c>
      <c r="B832" s="43" t="s">
        <v>120</v>
      </c>
      <c r="C832" s="43" t="s">
        <v>107</v>
      </c>
      <c r="D832" s="43" t="s">
        <v>47</v>
      </c>
      <c r="E832" s="43" t="s">
        <v>759</v>
      </c>
      <c r="F832" s="348">
        <f>F833</f>
        <v>300</v>
      </c>
      <c r="G832" s="348">
        <f t="shared" si="217"/>
        <v>300</v>
      </c>
      <c r="H832" s="348">
        <f t="shared" si="217"/>
        <v>300</v>
      </c>
    </row>
    <row r="833" spans="1:8" ht="36.75" customHeight="1">
      <c r="A833" s="77" t="s">
        <v>113</v>
      </c>
      <c r="B833" s="43" t="s">
        <v>120</v>
      </c>
      <c r="C833" s="43" t="s">
        <v>107</v>
      </c>
      <c r="D833" s="43" t="s">
        <v>47</v>
      </c>
      <c r="E833" s="43" t="s">
        <v>114</v>
      </c>
      <c r="F833" s="348">
        <f>300</f>
        <v>300</v>
      </c>
      <c r="G833" s="348">
        <v>300</v>
      </c>
      <c r="H833" s="348">
        <v>300</v>
      </c>
    </row>
    <row r="834" spans="1:8" ht="15.75" hidden="1" customHeight="1">
      <c r="A834" s="168"/>
      <c r="B834" s="169"/>
      <c r="C834" s="169"/>
      <c r="D834" s="169"/>
      <c r="E834" s="169"/>
      <c r="F834" s="169"/>
      <c r="G834" s="348"/>
      <c r="H834" s="348"/>
    </row>
    <row r="835" spans="1:8" ht="15.75" hidden="1" customHeight="1">
      <c r="A835" s="168"/>
      <c r="B835" s="169"/>
      <c r="C835" s="169"/>
      <c r="D835" s="169"/>
      <c r="E835" s="169"/>
      <c r="F835" s="169"/>
      <c r="G835" s="348"/>
      <c r="H835" s="348"/>
    </row>
    <row r="836" spans="1:8" ht="15.75" hidden="1" customHeight="1">
      <c r="A836" s="168"/>
      <c r="B836" s="169"/>
      <c r="C836" s="169"/>
      <c r="D836" s="169"/>
      <c r="E836" s="169"/>
      <c r="F836" s="169"/>
      <c r="G836" s="348"/>
      <c r="H836" s="348"/>
    </row>
    <row r="837" spans="1:8" ht="132" customHeight="1">
      <c r="A837" s="153" t="s">
        <v>402</v>
      </c>
      <c r="B837" s="150" t="s">
        <v>120</v>
      </c>
      <c r="C837" s="150" t="s">
        <v>107</v>
      </c>
      <c r="D837" s="150" t="s">
        <v>381</v>
      </c>
      <c r="E837" s="150" t="s">
        <v>198</v>
      </c>
      <c r="F837" s="54">
        <f>F838+F843+F851</f>
        <v>39658.429229999994</v>
      </c>
      <c r="G837" s="54">
        <f>G838+G843+G851</f>
        <v>0</v>
      </c>
      <c r="H837" s="54">
        <f>H838+H843+H851</f>
        <v>0</v>
      </c>
    </row>
    <row r="838" spans="1:8" ht="99" customHeight="1">
      <c r="A838" s="76" t="s">
        <v>1149</v>
      </c>
      <c r="B838" s="53" t="s">
        <v>120</v>
      </c>
      <c r="C838" s="53" t="s">
        <v>107</v>
      </c>
      <c r="D838" s="43" t="s">
        <v>927</v>
      </c>
      <c r="E838" s="53" t="s">
        <v>198</v>
      </c>
      <c r="F838" s="41">
        <f>F839+F841</f>
        <v>17022.059999999994</v>
      </c>
      <c r="G838" s="41">
        <f t="shared" ref="G838:H838" si="218">G839+G841</f>
        <v>0</v>
      </c>
      <c r="H838" s="41">
        <f t="shared" si="218"/>
        <v>0</v>
      </c>
    </row>
    <row r="839" spans="1:8" ht="31.5" hidden="1" customHeight="1">
      <c r="A839" s="77" t="s">
        <v>758</v>
      </c>
      <c r="B839" s="43" t="s">
        <v>120</v>
      </c>
      <c r="C839" s="43" t="s">
        <v>107</v>
      </c>
      <c r="D839" s="43" t="s">
        <v>927</v>
      </c>
      <c r="E839" s="43" t="s">
        <v>759</v>
      </c>
      <c r="F839" s="348">
        <f>F840</f>
        <v>0</v>
      </c>
      <c r="G839" s="348">
        <f>G840</f>
        <v>0</v>
      </c>
      <c r="H839" s="348">
        <f>H840</f>
        <v>0</v>
      </c>
    </row>
    <row r="840" spans="1:8" ht="47.25" hidden="1" customHeight="1">
      <c r="A840" s="77" t="s">
        <v>115</v>
      </c>
      <c r="B840" s="43" t="s">
        <v>120</v>
      </c>
      <c r="C840" s="43" t="s">
        <v>107</v>
      </c>
      <c r="D840" s="43" t="s">
        <v>927</v>
      </c>
      <c r="E840" s="43" t="s">
        <v>799</v>
      </c>
      <c r="F840" s="348">
        <f>'5'!D242</f>
        <v>0</v>
      </c>
      <c r="G840" s="348">
        <f>'5'!E242</f>
        <v>0</v>
      </c>
      <c r="H840" s="348">
        <f>'5'!F242</f>
        <v>0</v>
      </c>
    </row>
    <row r="841" spans="1:8" ht="33" customHeight="1">
      <c r="A841" s="370" t="s">
        <v>758</v>
      </c>
      <c r="B841" s="43" t="s">
        <v>120</v>
      </c>
      <c r="C841" s="43" t="s">
        <v>107</v>
      </c>
      <c r="D841" s="43" t="s">
        <v>927</v>
      </c>
      <c r="E841" s="43" t="s">
        <v>759</v>
      </c>
      <c r="F841" s="348">
        <f>F842</f>
        <v>17022.059999999994</v>
      </c>
      <c r="G841" s="348">
        <f>G842</f>
        <v>0</v>
      </c>
      <c r="H841" s="348">
        <f>H842</f>
        <v>0</v>
      </c>
    </row>
    <row r="842" spans="1:8" ht="37.5" customHeight="1">
      <c r="A842" s="370" t="s">
        <v>115</v>
      </c>
      <c r="B842" s="43" t="s">
        <v>120</v>
      </c>
      <c r="C842" s="43" t="s">
        <v>107</v>
      </c>
      <c r="D842" s="43" t="s">
        <v>927</v>
      </c>
      <c r="E842" s="43" t="s">
        <v>799</v>
      </c>
      <c r="F842" s="348">
        <f>'5'!D241</f>
        <v>17022.059999999994</v>
      </c>
      <c r="G842" s="348">
        <f>'5'!E241</f>
        <v>0</v>
      </c>
      <c r="H842" s="348">
        <f>'5'!F241</f>
        <v>0</v>
      </c>
    </row>
    <row r="843" spans="1:8" ht="94.5" hidden="1" customHeight="1">
      <c r="A843" s="76" t="s">
        <v>805</v>
      </c>
      <c r="B843" s="43" t="s">
        <v>120</v>
      </c>
      <c r="C843" s="43" t="s">
        <v>107</v>
      </c>
      <c r="D843" s="53" t="s">
        <v>442</v>
      </c>
      <c r="E843" s="53" t="s">
        <v>198</v>
      </c>
      <c r="F843" s="41">
        <f t="shared" ref="F843:H844" si="219">F844</f>
        <v>0</v>
      </c>
      <c r="G843" s="41">
        <f t="shared" si="219"/>
        <v>0</v>
      </c>
      <c r="H843" s="41">
        <f t="shared" si="219"/>
        <v>0</v>
      </c>
    </row>
    <row r="844" spans="1:8" ht="47.25" hidden="1" customHeight="1">
      <c r="A844" s="77" t="s">
        <v>661</v>
      </c>
      <c r="B844" s="43" t="s">
        <v>120</v>
      </c>
      <c r="C844" s="43" t="s">
        <v>107</v>
      </c>
      <c r="D844" s="43" t="s">
        <v>442</v>
      </c>
      <c r="E844" s="43" t="s">
        <v>662</v>
      </c>
      <c r="F844" s="348">
        <f t="shared" si="219"/>
        <v>0</v>
      </c>
      <c r="G844" s="348">
        <f t="shared" si="219"/>
        <v>0</v>
      </c>
      <c r="H844" s="348">
        <f t="shared" si="219"/>
        <v>0</v>
      </c>
    </row>
    <row r="845" spans="1:8" ht="15.75" hidden="1" customHeight="1">
      <c r="A845" s="77" t="s">
        <v>663</v>
      </c>
      <c r="B845" s="43" t="s">
        <v>120</v>
      </c>
      <c r="C845" s="43" t="s">
        <v>107</v>
      </c>
      <c r="D845" s="43" t="s">
        <v>442</v>
      </c>
      <c r="E845" s="43" t="s">
        <v>664</v>
      </c>
      <c r="F845" s="348">
        <f>'5'!D243</f>
        <v>0</v>
      </c>
      <c r="G845" s="348">
        <f>'5'!E243</f>
        <v>0</v>
      </c>
      <c r="H845" s="348">
        <f>'5'!F243</f>
        <v>0</v>
      </c>
    </row>
    <row r="846" spans="1:8" ht="15.75" hidden="1" customHeight="1">
      <c r="A846" s="77"/>
      <c r="B846" s="43"/>
      <c r="C846" s="43"/>
      <c r="D846" s="43"/>
      <c r="E846" s="43"/>
      <c r="F846" s="348"/>
      <c r="G846" s="348"/>
      <c r="H846" s="348"/>
    </row>
    <row r="847" spans="1:8" ht="15.75" hidden="1" customHeight="1">
      <c r="A847" s="77"/>
      <c r="B847" s="43"/>
      <c r="C847" s="43"/>
      <c r="D847" s="43"/>
      <c r="E847" s="43"/>
      <c r="F847" s="348"/>
      <c r="G847" s="348"/>
      <c r="H847" s="348"/>
    </row>
    <row r="848" spans="1:8" ht="15.75" hidden="1" customHeight="1">
      <c r="A848" s="77"/>
      <c r="B848" s="43"/>
      <c r="C848" s="43"/>
      <c r="D848" s="43"/>
      <c r="E848" s="43"/>
      <c r="F848" s="348"/>
      <c r="G848" s="348"/>
      <c r="H848" s="348"/>
    </row>
    <row r="849" spans="1:15" ht="15.75" hidden="1" customHeight="1">
      <c r="A849" s="77"/>
      <c r="B849" s="43"/>
      <c r="C849" s="43"/>
      <c r="D849" s="43"/>
      <c r="E849" s="43"/>
      <c r="F849" s="348"/>
      <c r="G849" s="348"/>
      <c r="H849" s="348"/>
    </row>
    <row r="850" spans="1:15" ht="15.75" hidden="1" customHeight="1">
      <c r="A850" s="77"/>
      <c r="B850" s="43"/>
      <c r="C850" s="43"/>
      <c r="D850" s="43"/>
      <c r="E850" s="43"/>
      <c r="F850" s="348"/>
      <c r="G850" s="348"/>
      <c r="H850" s="348"/>
    </row>
    <row r="851" spans="1:15" ht="114" customHeight="1">
      <c r="A851" s="76" t="s">
        <v>344</v>
      </c>
      <c r="B851" s="53" t="s">
        <v>120</v>
      </c>
      <c r="C851" s="53" t="s">
        <v>107</v>
      </c>
      <c r="D851" s="43" t="s">
        <v>385</v>
      </c>
      <c r="E851" s="53" t="s">
        <v>198</v>
      </c>
      <c r="F851" s="41">
        <f>F852+F854</f>
        <v>22636.36923</v>
      </c>
      <c r="G851" s="41">
        <f t="shared" ref="G851:H851" si="220">G852+G854</f>
        <v>0</v>
      </c>
      <c r="H851" s="41">
        <f t="shared" si="220"/>
        <v>0</v>
      </c>
      <c r="I851" s="42"/>
    </row>
    <row r="852" spans="1:15" ht="37.15" customHeight="1">
      <c r="A852" s="77" t="s">
        <v>611</v>
      </c>
      <c r="B852" s="43" t="s">
        <v>120</v>
      </c>
      <c r="C852" s="43" t="s">
        <v>107</v>
      </c>
      <c r="D852" s="43" t="s">
        <v>385</v>
      </c>
      <c r="E852" s="43" t="s">
        <v>612</v>
      </c>
      <c r="F852" s="348">
        <f>F853</f>
        <v>500</v>
      </c>
      <c r="G852" s="348">
        <f>G853</f>
        <v>0</v>
      </c>
      <c r="H852" s="348">
        <f>H853</f>
        <v>0</v>
      </c>
    </row>
    <row r="853" spans="1:15" ht="50.65" customHeight="1">
      <c r="A853" s="77" t="s">
        <v>613</v>
      </c>
      <c r="B853" s="43" t="s">
        <v>120</v>
      </c>
      <c r="C853" s="43" t="s">
        <v>107</v>
      </c>
      <c r="D853" s="43" t="s">
        <v>385</v>
      </c>
      <c r="E853" s="43" t="s">
        <v>614</v>
      </c>
      <c r="F853" s="348">
        <v>500</v>
      </c>
      <c r="G853" s="348">
        <f t="shared" ref="G853:H853" si="221">G854</f>
        <v>0</v>
      </c>
      <c r="H853" s="348">
        <f t="shared" si="221"/>
        <v>0</v>
      </c>
    </row>
    <row r="854" spans="1:15" ht="30.6" customHeight="1">
      <c r="A854" s="77" t="s">
        <v>758</v>
      </c>
      <c r="B854" s="43" t="s">
        <v>120</v>
      </c>
      <c r="C854" s="43" t="s">
        <v>107</v>
      </c>
      <c r="D854" s="43" t="s">
        <v>385</v>
      </c>
      <c r="E854" s="43" t="s">
        <v>759</v>
      </c>
      <c r="F854" s="348">
        <f>F855+F856</f>
        <v>22136.36923</v>
      </c>
      <c r="G854" s="348">
        <f t="shared" ref="G854:H854" si="222">G855</f>
        <v>0</v>
      </c>
      <c r="H854" s="348">
        <f t="shared" si="222"/>
        <v>0</v>
      </c>
    </row>
    <row r="855" spans="1:15" ht="31.15" customHeight="1">
      <c r="A855" s="77" t="s">
        <v>113</v>
      </c>
      <c r="B855" s="43" t="s">
        <v>120</v>
      </c>
      <c r="C855" s="43" t="s">
        <v>107</v>
      </c>
      <c r="D855" s="43" t="s">
        <v>385</v>
      </c>
      <c r="E855" s="43" t="s">
        <v>114</v>
      </c>
      <c r="F855" s="348">
        <f>19896.28209+25.08714</f>
        <v>19921.36923</v>
      </c>
      <c r="G855" s="348">
        <f t="shared" ref="G855:H855" si="223">G856</f>
        <v>0</v>
      </c>
      <c r="H855" s="348">
        <f t="shared" si="223"/>
        <v>0</v>
      </c>
    </row>
    <row r="856" spans="1:15" ht="39" customHeight="1">
      <c r="A856" s="77" t="s">
        <v>115</v>
      </c>
      <c r="B856" s="43" t="s">
        <v>120</v>
      </c>
      <c r="C856" s="43" t="s">
        <v>107</v>
      </c>
      <c r="D856" s="43" t="s">
        <v>385</v>
      </c>
      <c r="E856" s="43" t="s">
        <v>799</v>
      </c>
      <c r="F856" s="348">
        <v>2215</v>
      </c>
      <c r="G856" s="348">
        <f>'5'!E239</f>
        <v>0</v>
      </c>
      <c r="H856" s="348">
        <f>'5'!F239</f>
        <v>0</v>
      </c>
    </row>
    <row r="857" spans="1:15" ht="94.5" hidden="1" customHeight="1">
      <c r="A857" s="75" t="s">
        <v>345</v>
      </c>
      <c r="B857" s="2" t="s">
        <v>120</v>
      </c>
      <c r="C857" s="2" t="s">
        <v>107</v>
      </c>
      <c r="D857" s="37" t="s">
        <v>386</v>
      </c>
      <c r="E857" s="2" t="s">
        <v>198</v>
      </c>
      <c r="F857" s="39"/>
      <c r="G857" s="39"/>
      <c r="H857" s="39"/>
    </row>
    <row r="858" spans="1:15" ht="31.5" hidden="1" customHeight="1">
      <c r="A858" s="74" t="s">
        <v>611</v>
      </c>
      <c r="B858" s="37" t="s">
        <v>120</v>
      </c>
      <c r="C858" s="37" t="s">
        <v>107</v>
      </c>
      <c r="D858" s="37" t="s">
        <v>386</v>
      </c>
      <c r="E858" s="37" t="s">
        <v>612</v>
      </c>
      <c r="F858" s="38"/>
      <c r="G858" s="38"/>
      <c r="H858" s="38"/>
    </row>
    <row r="859" spans="1:15" ht="47.25" hidden="1" customHeight="1">
      <c r="A859" s="74" t="s">
        <v>613</v>
      </c>
      <c r="B859" s="37" t="s">
        <v>120</v>
      </c>
      <c r="C859" s="37" t="s">
        <v>107</v>
      </c>
      <c r="D859" s="37" t="s">
        <v>386</v>
      </c>
      <c r="E859" s="37" t="s">
        <v>614</v>
      </c>
      <c r="F859" s="38"/>
      <c r="G859" s="38"/>
      <c r="H859" s="38"/>
    </row>
    <row r="860" spans="1:15" ht="31.5" hidden="1" customHeight="1">
      <c r="A860" s="74" t="s">
        <v>758</v>
      </c>
      <c r="B860" s="37" t="s">
        <v>120</v>
      </c>
      <c r="C860" s="37" t="s">
        <v>107</v>
      </c>
      <c r="D860" s="37" t="s">
        <v>386</v>
      </c>
      <c r="E860" s="37" t="s">
        <v>759</v>
      </c>
      <c r="F860" s="38"/>
      <c r="G860" s="38"/>
      <c r="H860" s="38"/>
    </row>
    <row r="861" spans="1:15" ht="31.5" hidden="1" customHeight="1">
      <c r="A861" s="74" t="s">
        <v>113</v>
      </c>
      <c r="B861" s="37" t="s">
        <v>120</v>
      </c>
      <c r="C861" s="37" t="s">
        <v>107</v>
      </c>
      <c r="D861" s="37" t="s">
        <v>386</v>
      </c>
      <c r="E861" s="37" t="s">
        <v>114</v>
      </c>
      <c r="F861" s="38"/>
      <c r="G861" s="38"/>
      <c r="H861" s="38"/>
      <c r="O861" s="40"/>
    </row>
    <row r="862" spans="1:15" s="40" customFormat="1" ht="63">
      <c r="A862" s="153" t="s">
        <v>571</v>
      </c>
      <c r="B862" s="150" t="s">
        <v>120</v>
      </c>
      <c r="C862" s="150" t="s">
        <v>107</v>
      </c>
      <c r="D862" s="150" t="s">
        <v>572</v>
      </c>
      <c r="E862" s="150" t="s">
        <v>198</v>
      </c>
      <c r="F862" s="54">
        <f>F867+F863</f>
        <v>2039.3089499999999</v>
      </c>
      <c r="G862" s="54">
        <f t="shared" ref="G862:H862" si="224">G867+G863</f>
        <v>1652.9814337095372</v>
      </c>
      <c r="H862" s="54">
        <f t="shared" si="224"/>
        <v>2206.234999379883</v>
      </c>
      <c r="O862" s="24"/>
    </row>
    <row r="863" spans="1:15" ht="63">
      <c r="A863" s="162" t="s">
        <v>1048</v>
      </c>
      <c r="B863" s="43" t="s">
        <v>120</v>
      </c>
      <c r="C863" s="43" t="s">
        <v>107</v>
      </c>
      <c r="D863" s="43" t="s">
        <v>573</v>
      </c>
      <c r="E863" s="43" t="s">
        <v>198</v>
      </c>
      <c r="F863" s="348">
        <f t="shared" ref="F863:H864" si="225">F864</f>
        <v>1018.1385399999999</v>
      </c>
      <c r="G863" s="348">
        <f t="shared" si="225"/>
        <v>1332.7989299999999</v>
      </c>
      <c r="H863" s="348">
        <f t="shared" si="225"/>
        <v>1778.8872799999997</v>
      </c>
    </row>
    <row r="864" spans="1:15" ht="31.5">
      <c r="A864" s="162" t="s">
        <v>758</v>
      </c>
      <c r="B864" s="43" t="s">
        <v>120</v>
      </c>
      <c r="C864" s="43" t="s">
        <v>107</v>
      </c>
      <c r="D864" s="43" t="s">
        <v>573</v>
      </c>
      <c r="E864" s="43" t="s">
        <v>759</v>
      </c>
      <c r="F864" s="348">
        <f t="shared" si="225"/>
        <v>1018.1385399999999</v>
      </c>
      <c r="G864" s="348">
        <f t="shared" si="225"/>
        <v>1332.7989299999999</v>
      </c>
      <c r="H864" s="348">
        <f t="shared" si="225"/>
        <v>1778.8872799999997</v>
      </c>
    </row>
    <row r="865" spans="1:15" ht="47.25">
      <c r="A865" s="77" t="s">
        <v>115</v>
      </c>
      <c r="B865" s="43" t="s">
        <v>120</v>
      </c>
      <c r="C865" s="43" t="s">
        <v>107</v>
      </c>
      <c r="D865" s="43" t="s">
        <v>573</v>
      </c>
      <c r="E865" s="43" t="s">
        <v>799</v>
      </c>
      <c r="F865" s="348">
        <f>'5'!D250</f>
        <v>1018.1385399999999</v>
      </c>
      <c r="G865" s="348">
        <f>'5'!E250</f>
        <v>1332.7989299999999</v>
      </c>
      <c r="H865" s="348">
        <f>'5'!F250</f>
        <v>1778.8872799999997</v>
      </c>
    </row>
    <row r="866" spans="1:15" ht="63">
      <c r="A866" s="162" t="s">
        <v>1049</v>
      </c>
      <c r="B866" s="43" t="s">
        <v>120</v>
      </c>
      <c r="C866" s="43" t="s">
        <v>107</v>
      </c>
      <c r="D866" s="43" t="s">
        <v>573</v>
      </c>
      <c r="E866" s="43" t="s">
        <v>198</v>
      </c>
      <c r="F866" s="348">
        <f t="shared" ref="F866:H867" si="226">F867</f>
        <v>1021.1704099999999</v>
      </c>
      <c r="G866" s="348">
        <f t="shared" si="226"/>
        <v>320.1825037095374</v>
      </c>
      <c r="H866" s="348">
        <f t="shared" si="226"/>
        <v>427.34771937988342</v>
      </c>
    </row>
    <row r="867" spans="1:15" ht="31.5">
      <c r="A867" s="162" t="s">
        <v>758</v>
      </c>
      <c r="B867" s="43" t="s">
        <v>120</v>
      </c>
      <c r="C867" s="43" t="s">
        <v>107</v>
      </c>
      <c r="D867" s="43" t="s">
        <v>573</v>
      </c>
      <c r="E867" s="43" t="s">
        <v>759</v>
      </c>
      <c r="F867" s="348">
        <f t="shared" si="226"/>
        <v>1021.1704099999999</v>
      </c>
      <c r="G867" s="348">
        <f t="shared" si="226"/>
        <v>320.1825037095374</v>
      </c>
      <c r="H867" s="348">
        <f t="shared" si="226"/>
        <v>427.34771937988342</v>
      </c>
    </row>
    <row r="868" spans="1:15" ht="34.5" customHeight="1">
      <c r="A868" s="77" t="s">
        <v>115</v>
      </c>
      <c r="B868" s="43" t="s">
        <v>120</v>
      </c>
      <c r="C868" s="43" t="s">
        <v>107</v>
      </c>
      <c r="D868" s="43" t="s">
        <v>573</v>
      </c>
      <c r="E868" s="43" t="s">
        <v>799</v>
      </c>
      <c r="F868" s="348">
        <f>'5'!D251</f>
        <v>1021.1704099999999</v>
      </c>
      <c r="G868" s="348">
        <f>'5'!E251</f>
        <v>320.1825037095374</v>
      </c>
      <c r="H868" s="348">
        <f>'5'!F251</f>
        <v>427.34771937988342</v>
      </c>
      <c r="O868" s="49"/>
    </row>
    <row r="869" spans="1:15" s="49" customFormat="1" ht="47.25">
      <c r="A869" s="81" t="s">
        <v>604</v>
      </c>
      <c r="B869" s="59" t="s">
        <v>120</v>
      </c>
      <c r="C869" s="59" t="s">
        <v>107</v>
      </c>
      <c r="D869" s="59" t="s">
        <v>2</v>
      </c>
      <c r="E869" s="59" t="s">
        <v>198</v>
      </c>
      <c r="F869" s="372">
        <f>F870</f>
        <v>0</v>
      </c>
      <c r="G869" s="372">
        <f t="shared" ref="G869:H869" si="227">G870</f>
        <v>46546.357049999999</v>
      </c>
      <c r="H869" s="372">
        <f t="shared" si="227"/>
        <v>49351.099249999999</v>
      </c>
      <c r="O869" s="24"/>
    </row>
    <row r="870" spans="1:15" ht="47.25">
      <c r="A870" s="76" t="s">
        <v>104</v>
      </c>
      <c r="B870" s="53" t="s">
        <v>120</v>
      </c>
      <c r="C870" s="53" t="s">
        <v>107</v>
      </c>
      <c r="D870" s="53" t="s">
        <v>2</v>
      </c>
      <c r="E870" s="53" t="s">
        <v>198</v>
      </c>
      <c r="F870" s="41">
        <f>F871+F874+F877</f>
        <v>0</v>
      </c>
      <c r="G870" s="41">
        <f>G871+G874+G877</f>
        <v>46546.357049999999</v>
      </c>
      <c r="H870" s="41">
        <f>H871+H874+H877</f>
        <v>49351.099249999999</v>
      </c>
      <c r="O870" s="40"/>
    </row>
    <row r="871" spans="1:15" s="40" customFormat="1" ht="78.75">
      <c r="A871" s="76" t="s">
        <v>862</v>
      </c>
      <c r="B871" s="53" t="s">
        <v>120</v>
      </c>
      <c r="C871" s="53" t="s">
        <v>107</v>
      </c>
      <c r="D871" s="53" t="s">
        <v>928</v>
      </c>
      <c r="E871" s="53" t="s">
        <v>198</v>
      </c>
      <c r="F871" s="41">
        <f>F872</f>
        <v>0</v>
      </c>
      <c r="G871" s="41">
        <f t="shared" ref="G871:H872" si="228">G872</f>
        <v>20890.3344</v>
      </c>
      <c r="H871" s="41">
        <f>H872</f>
        <v>20890.3344</v>
      </c>
      <c r="O871" s="24"/>
    </row>
    <row r="872" spans="1:15" ht="47.25">
      <c r="A872" s="77" t="s">
        <v>661</v>
      </c>
      <c r="B872" s="53" t="s">
        <v>120</v>
      </c>
      <c r="C872" s="53" t="s">
        <v>107</v>
      </c>
      <c r="D872" s="43" t="s">
        <v>928</v>
      </c>
      <c r="E872" s="43" t="s">
        <v>662</v>
      </c>
      <c r="F872" s="348">
        <f>F873</f>
        <v>0</v>
      </c>
      <c r="G872" s="348">
        <f t="shared" si="228"/>
        <v>20890.3344</v>
      </c>
      <c r="H872" s="348">
        <f t="shared" si="228"/>
        <v>20890.3344</v>
      </c>
    </row>
    <row r="873" spans="1:15">
      <c r="A873" s="77" t="s">
        <v>663</v>
      </c>
      <c r="B873" s="53" t="s">
        <v>120</v>
      </c>
      <c r="C873" s="53" t="s">
        <v>107</v>
      </c>
      <c r="D873" s="43" t="s">
        <v>928</v>
      </c>
      <c r="E873" s="43" t="s">
        <v>664</v>
      </c>
      <c r="F873" s="348">
        <v>0</v>
      </c>
      <c r="G873" s="348">
        <v>20890.3344</v>
      </c>
      <c r="H873" s="348">
        <v>20890.3344</v>
      </c>
      <c r="O873" s="40"/>
    </row>
    <row r="874" spans="1:15" s="40" customFormat="1" ht="94.5" hidden="1">
      <c r="A874" s="76" t="s">
        <v>863</v>
      </c>
      <c r="B874" s="53" t="s">
        <v>120</v>
      </c>
      <c r="C874" s="53" t="s">
        <v>107</v>
      </c>
      <c r="D874" s="53" t="s">
        <v>461</v>
      </c>
      <c r="E874" s="53" t="s">
        <v>198</v>
      </c>
      <c r="F874" s="41">
        <f>F875</f>
        <v>0</v>
      </c>
      <c r="G874" s="41">
        <f t="shared" ref="G874:H875" si="229">G875</f>
        <v>0</v>
      </c>
      <c r="H874" s="41">
        <f t="shared" si="229"/>
        <v>0</v>
      </c>
      <c r="O874" s="24"/>
    </row>
    <row r="875" spans="1:15" ht="47.25" hidden="1">
      <c r="A875" s="77" t="s">
        <v>661</v>
      </c>
      <c r="B875" s="43" t="s">
        <v>120</v>
      </c>
      <c r="C875" s="43" t="s">
        <v>107</v>
      </c>
      <c r="D875" s="43" t="s">
        <v>461</v>
      </c>
      <c r="E875" s="43" t="s">
        <v>662</v>
      </c>
      <c r="F875" s="348">
        <f>F876</f>
        <v>0</v>
      </c>
      <c r="G875" s="348">
        <f t="shared" si="229"/>
        <v>0</v>
      </c>
      <c r="H875" s="348">
        <f t="shared" si="229"/>
        <v>0</v>
      </c>
    </row>
    <row r="876" spans="1:15" hidden="1">
      <c r="A876" s="77" t="s">
        <v>663</v>
      </c>
      <c r="B876" s="43" t="s">
        <v>120</v>
      </c>
      <c r="C876" s="43" t="s">
        <v>107</v>
      </c>
      <c r="D876" s="43" t="s">
        <v>461</v>
      </c>
      <c r="E876" s="43" t="s">
        <v>664</v>
      </c>
      <c r="F876" s="348">
        <v>0</v>
      </c>
      <c r="G876" s="348">
        <v>0</v>
      </c>
      <c r="H876" s="348">
        <v>0</v>
      </c>
      <c r="O876" s="40"/>
    </row>
    <row r="877" spans="1:15" s="40" customFormat="1" ht="110.25">
      <c r="A877" s="76" t="s">
        <v>344</v>
      </c>
      <c r="B877" s="53" t="s">
        <v>120</v>
      </c>
      <c r="C877" s="53" t="s">
        <v>107</v>
      </c>
      <c r="D877" s="53" t="s">
        <v>351</v>
      </c>
      <c r="E877" s="53" t="s">
        <v>198</v>
      </c>
      <c r="F877" s="41">
        <f>F878+F880</f>
        <v>0</v>
      </c>
      <c r="G877" s="41">
        <f t="shared" ref="G877" si="230">G878+G880</f>
        <v>25656.022649999999</v>
      </c>
      <c r="H877" s="41">
        <f>H878+H880</f>
        <v>28460.76485</v>
      </c>
      <c r="O877" s="24"/>
    </row>
    <row r="878" spans="1:15" ht="31.5">
      <c r="A878" s="77" t="s">
        <v>611</v>
      </c>
      <c r="B878" s="43" t="s">
        <v>120</v>
      </c>
      <c r="C878" s="43" t="s">
        <v>107</v>
      </c>
      <c r="D878" s="43" t="s">
        <v>351</v>
      </c>
      <c r="E878" s="43" t="s">
        <v>612</v>
      </c>
      <c r="F878" s="348">
        <f>F879</f>
        <v>0</v>
      </c>
      <c r="G878" s="348">
        <f t="shared" ref="G878:H878" si="231">G879</f>
        <v>700</v>
      </c>
      <c r="H878" s="348">
        <f t="shared" si="231"/>
        <v>700</v>
      </c>
    </row>
    <row r="879" spans="1:15" ht="47.25">
      <c r="A879" s="77" t="s">
        <v>613</v>
      </c>
      <c r="B879" s="43" t="s">
        <v>120</v>
      </c>
      <c r="C879" s="43" t="s">
        <v>107</v>
      </c>
      <c r="D879" s="43" t="s">
        <v>351</v>
      </c>
      <c r="E879" s="43" t="s">
        <v>614</v>
      </c>
      <c r="F879" s="348">
        <v>0</v>
      </c>
      <c r="G879" s="348">
        <v>700</v>
      </c>
      <c r="H879" s="348">
        <v>700</v>
      </c>
    </row>
    <row r="880" spans="1:15" ht="31.5">
      <c r="A880" s="77" t="s">
        <v>758</v>
      </c>
      <c r="B880" s="43" t="s">
        <v>120</v>
      </c>
      <c r="C880" s="43" t="s">
        <v>107</v>
      </c>
      <c r="D880" s="43" t="s">
        <v>351</v>
      </c>
      <c r="E880" s="43" t="s">
        <v>759</v>
      </c>
      <c r="F880" s="348">
        <f>F881+F882</f>
        <v>0</v>
      </c>
      <c r="G880" s="348">
        <f t="shared" ref="G880" si="232">G881+G882</f>
        <v>24956.022649999999</v>
      </c>
      <c r="H880" s="348">
        <f>H881+H882</f>
        <v>27760.76485</v>
      </c>
    </row>
    <row r="881" spans="1:15" ht="31.5">
      <c r="A881" s="77" t="s">
        <v>113</v>
      </c>
      <c r="B881" s="43" t="s">
        <v>120</v>
      </c>
      <c r="C881" s="43" t="s">
        <v>107</v>
      </c>
      <c r="D881" s="43" t="s">
        <v>351</v>
      </c>
      <c r="E881" s="43" t="s">
        <v>114</v>
      </c>
      <c r="F881" s="348">
        <v>0</v>
      </c>
      <c r="G881" s="348">
        <f>23258.98636-652.96371</f>
        <v>22606.022649999999</v>
      </c>
      <c r="H881" s="348">
        <f>26542.45163-1281.68678</f>
        <v>25260.76485</v>
      </c>
    </row>
    <row r="882" spans="1:15" ht="36.75" customHeight="1">
      <c r="A882" s="77" t="s">
        <v>115</v>
      </c>
      <c r="B882" s="43" t="s">
        <v>120</v>
      </c>
      <c r="C882" s="43" t="s">
        <v>107</v>
      </c>
      <c r="D882" s="43" t="s">
        <v>351</v>
      </c>
      <c r="E882" s="43" t="s">
        <v>799</v>
      </c>
      <c r="F882" s="348">
        <v>0</v>
      </c>
      <c r="G882" s="348">
        <v>2350</v>
      </c>
      <c r="H882" s="348">
        <v>2500</v>
      </c>
    </row>
    <row r="883" spans="1:15" ht="30.75" customHeight="1">
      <c r="A883" s="87" t="s">
        <v>925</v>
      </c>
      <c r="B883" s="165" t="s">
        <v>120</v>
      </c>
      <c r="C883" s="165" t="s">
        <v>622</v>
      </c>
      <c r="D883" s="165" t="s">
        <v>926</v>
      </c>
      <c r="E883" s="165" t="s">
        <v>198</v>
      </c>
      <c r="F883" s="166">
        <f>F885</f>
        <v>2610.29</v>
      </c>
      <c r="G883" s="166">
        <f t="shared" ref="G883:H883" si="233">G885</f>
        <v>2717.473</v>
      </c>
      <c r="H883" s="166">
        <f t="shared" si="233"/>
        <v>2819.8680000000004</v>
      </c>
      <c r="O883" s="20"/>
    </row>
    <row r="884" spans="1:15" s="20" customFormat="1" ht="51" customHeight="1">
      <c r="A884" s="81" t="s">
        <v>604</v>
      </c>
      <c r="B884" s="59" t="s">
        <v>120</v>
      </c>
      <c r="C884" s="59" t="s">
        <v>622</v>
      </c>
      <c r="D884" s="59" t="s">
        <v>1</v>
      </c>
      <c r="E884" s="59" t="s">
        <v>198</v>
      </c>
      <c r="F884" s="96">
        <f>F885</f>
        <v>2610.29</v>
      </c>
      <c r="G884" s="96">
        <f t="shared" ref="G884:H884" si="234">G885</f>
        <v>2717.473</v>
      </c>
      <c r="H884" s="96">
        <f t="shared" si="234"/>
        <v>2819.8680000000004</v>
      </c>
    </row>
    <row r="885" spans="1:15" s="20" customFormat="1" ht="83.25" customHeight="1">
      <c r="A885" s="76" t="s">
        <v>773</v>
      </c>
      <c r="B885" s="59" t="s">
        <v>120</v>
      </c>
      <c r="C885" s="59" t="s">
        <v>622</v>
      </c>
      <c r="D885" s="53" t="s">
        <v>350</v>
      </c>
      <c r="E885" s="53" t="s">
        <v>198</v>
      </c>
      <c r="F885" s="41">
        <f>F886+F888</f>
        <v>2610.29</v>
      </c>
      <c r="G885" s="41">
        <f t="shared" ref="G885:H885" si="235">G886+G888</f>
        <v>2717.473</v>
      </c>
      <c r="H885" s="41">
        <f t="shared" si="235"/>
        <v>2819.8680000000004</v>
      </c>
    </row>
    <row r="886" spans="1:15" s="20" customFormat="1" ht="105.75" customHeight="1">
      <c r="A886" s="77" t="s">
        <v>605</v>
      </c>
      <c r="B886" s="59" t="s">
        <v>120</v>
      </c>
      <c r="C886" s="59" t="s">
        <v>622</v>
      </c>
      <c r="D886" s="43" t="s">
        <v>350</v>
      </c>
      <c r="E886" s="43" t="s">
        <v>606</v>
      </c>
      <c r="F886" s="348">
        <f>F887</f>
        <v>2314.6950000000002</v>
      </c>
      <c r="G886" s="348">
        <f>G887</f>
        <v>2314.6959999999999</v>
      </c>
      <c r="H886" s="348">
        <f>H887</f>
        <v>2314.6950000000002</v>
      </c>
      <c r="O886" s="24"/>
    </row>
    <row r="887" spans="1:15" ht="32.25" customHeight="1">
      <c r="A887" s="77" t="s">
        <v>607</v>
      </c>
      <c r="B887" s="59" t="s">
        <v>120</v>
      </c>
      <c r="C887" s="59" t="s">
        <v>622</v>
      </c>
      <c r="D887" s="43" t="s">
        <v>350</v>
      </c>
      <c r="E887" s="43" t="s">
        <v>608</v>
      </c>
      <c r="F887" s="348">
        <f>2163.38+151.315</f>
        <v>2314.6950000000002</v>
      </c>
      <c r="G887" s="348">
        <f>2163.381+151.315</f>
        <v>2314.6959999999999</v>
      </c>
      <c r="H887" s="348">
        <f>2163.38+151.315</f>
        <v>2314.6950000000002</v>
      </c>
    </row>
    <row r="888" spans="1:15" ht="40.15" customHeight="1">
      <c r="A888" s="77" t="s">
        <v>611</v>
      </c>
      <c r="B888" s="59" t="s">
        <v>120</v>
      </c>
      <c r="C888" s="59" t="s">
        <v>622</v>
      </c>
      <c r="D888" s="43" t="s">
        <v>350</v>
      </c>
      <c r="E888" s="43" t="s">
        <v>612</v>
      </c>
      <c r="F888" s="348">
        <f>F889</f>
        <v>295.59500000000003</v>
      </c>
      <c r="G888" s="348">
        <f>G889</f>
        <v>402.77699999999993</v>
      </c>
      <c r="H888" s="348">
        <f>H889</f>
        <v>505.173</v>
      </c>
    </row>
    <row r="889" spans="1:15" ht="55.5" customHeight="1">
      <c r="A889" s="77" t="s">
        <v>613</v>
      </c>
      <c r="B889" s="59" t="s">
        <v>120</v>
      </c>
      <c r="C889" s="59" t="s">
        <v>622</v>
      </c>
      <c r="D889" s="43" t="s">
        <v>350</v>
      </c>
      <c r="E889" s="43" t="s">
        <v>614</v>
      </c>
      <c r="F889" s="348">
        <f>443.757-148.162</f>
        <v>295.59500000000003</v>
      </c>
      <c r="G889" s="348">
        <f>541.737-138.96</f>
        <v>402.77699999999993</v>
      </c>
      <c r="H889" s="348">
        <f>101.902+541.737-138.466</f>
        <v>505.173</v>
      </c>
      <c r="O889" s="49"/>
    </row>
    <row r="890" spans="1:15" s="49" customFormat="1" ht="19.149999999999999" customHeight="1">
      <c r="A890" s="80" t="s">
        <v>806</v>
      </c>
      <c r="B890" s="30" t="s">
        <v>627</v>
      </c>
      <c r="C890" s="30" t="s">
        <v>103</v>
      </c>
      <c r="D890" s="30" t="s">
        <v>601</v>
      </c>
      <c r="E890" s="30" t="s">
        <v>198</v>
      </c>
      <c r="F890" s="31">
        <f>F891</f>
        <v>366.25202999999999</v>
      </c>
      <c r="G890" s="31">
        <f t="shared" ref="G890:H890" si="236">G891</f>
        <v>250</v>
      </c>
      <c r="H890" s="31">
        <f t="shared" si="236"/>
        <v>300</v>
      </c>
      <c r="I890" s="331"/>
      <c r="J890" s="331"/>
      <c r="K890" s="331"/>
      <c r="O890" s="24"/>
    </row>
    <row r="891" spans="1:15" ht="15.75" customHeight="1">
      <c r="A891" s="73" t="s">
        <v>807</v>
      </c>
      <c r="B891" s="34" t="s">
        <v>627</v>
      </c>
      <c r="C891" s="34" t="s">
        <v>603</v>
      </c>
      <c r="D891" s="34" t="s">
        <v>601</v>
      </c>
      <c r="E891" s="34" t="s">
        <v>198</v>
      </c>
      <c r="F891" s="35">
        <f>F893+F934+F937+F948+F951</f>
        <v>366.25202999999999</v>
      </c>
      <c r="G891" s="35">
        <f t="shared" ref="G891:H891" si="237">G893+G934+G937+G948+G951</f>
        <v>250</v>
      </c>
      <c r="H891" s="35">
        <f t="shared" si="237"/>
        <v>300</v>
      </c>
    </row>
    <row r="892" spans="1:15" ht="53.25" customHeight="1">
      <c r="A892" s="76" t="s">
        <v>510</v>
      </c>
      <c r="B892" s="53" t="s">
        <v>627</v>
      </c>
      <c r="C892" s="53" t="s">
        <v>603</v>
      </c>
      <c r="D892" s="53" t="s">
        <v>67</v>
      </c>
      <c r="E892" s="53" t="s">
        <v>198</v>
      </c>
      <c r="F892" s="41">
        <f>F893+F913+F922+F926+F933+F940+F947</f>
        <v>366.25202999999999</v>
      </c>
      <c r="G892" s="41">
        <f>G893+G913+G922+G926+G933+G940</f>
        <v>250</v>
      </c>
      <c r="H892" s="41">
        <f>H893+H913+H922+H926+H933+H940</f>
        <v>300</v>
      </c>
    </row>
    <row r="893" spans="1:15" ht="36" customHeight="1">
      <c r="A893" s="77" t="s">
        <v>808</v>
      </c>
      <c r="B893" s="43" t="s">
        <v>627</v>
      </c>
      <c r="C893" s="43" t="s">
        <v>603</v>
      </c>
      <c r="D893" s="43" t="s">
        <v>68</v>
      </c>
      <c r="E893" s="43" t="s">
        <v>198</v>
      </c>
      <c r="F893" s="348">
        <f>F894+F911</f>
        <v>250</v>
      </c>
      <c r="G893" s="348">
        <f>G894+G911</f>
        <v>250</v>
      </c>
      <c r="H893" s="348">
        <f>H894+H911</f>
        <v>300</v>
      </c>
    </row>
    <row r="894" spans="1:15" ht="39.75" customHeight="1">
      <c r="A894" s="77" t="s">
        <v>611</v>
      </c>
      <c r="B894" s="43" t="s">
        <v>627</v>
      </c>
      <c r="C894" s="43" t="s">
        <v>603</v>
      </c>
      <c r="D894" s="43" t="s">
        <v>68</v>
      </c>
      <c r="E894" s="43" t="s">
        <v>612</v>
      </c>
      <c r="F894" s="348">
        <f>F895</f>
        <v>250</v>
      </c>
      <c r="G894" s="348">
        <f>G895</f>
        <v>250</v>
      </c>
      <c r="H894" s="348">
        <f>H895</f>
        <v>300</v>
      </c>
    </row>
    <row r="895" spans="1:15" ht="52.5" customHeight="1">
      <c r="A895" s="77" t="s">
        <v>613</v>
      </c>
      <c r="B895" s="43" t="s">
        <v>627</v>
      </c>
      <c r="C895" s="43" t="s">
        <v>603</v>
      </c>
      <c r="D895" s="43" t="s">
        <v>68</v>
      </c>
      <c r="E895" s="43" t="s">
        <v>614</v>
      </c>
      <c r="F895" s="348">
        <f>'5'!D130</f>
        <v>250</v>
      </c>
      <c r="G895" s="348">
        <f>'5'!E130</f>
        <v>250</v>
      </c>
      <c r="H895" s="348">
        <f>'5'!F130</f>
        <v>300</v>
      </c>
    </row>
    <row r="896" spans="1:15" ht="47.25" hidden="1" customHeight="1">
      <c r="A896" s="81" t="s">
        <v>306</v>
      </c>
      <c r="B896" s="43" t="s">
        <v>627</v>
      </c>
      <c r="C896" s="43" t="s">
        <v>603</v>
      </c>
      <c r="D896" s="43" t="s">
        <v>68</v>
      </c>
      <c r="E896" s="59" t="s">
        <v>198</v>
      </c>
      <c r="F896" s="96"/>
      <c r="G896" s="96"/>
      <c r="H896" s="96"/>
    </row>
    <row r="897" spans="1:8" ht="78.75" hidden="1" customHeight="1">
      <c r="A897" s="76" t="s">
        <v>809</v>
      </c>
      <c r="B897" s="43" t="s">
        <v>627</v>
      </c>
      <c r="C897" s="43" t="s">
        <v>603</v>
      </c>
      <c r="D897" s="43" t="s">
        <v>68</v>
      </c>
      <c r="E897" s="53" t="s">
        <v>198</v>
      </c>
      <c r="F897" s="41"/>
      <c r="G897" s="41"/>
      <c r="H897" s="41"/>
    </row>
    <row r="898" spans="1:8" ht="31.5" hidden="1" customHeight="1">
      <c r="A898" s="77" t="s">
        <v>611</v>
      </c>
      <c r="B898" s="43" t="s">
        <v>627</v>
      </c>
      <c r="C898" s="43" t="s">
        <v>603</v>
      </c>
      <c r="D898" s="43" t="s">
        <v>68</v>
      </c>
      <c r="E898" s="43" t="s">
        <v>612</v>
      </c>
      <c r="F898" s="348"/>
      <c r="G898" s="348"/>
      <c r="H898" s="348"/>
    </row>
    <row r="899" spans="1:8" ht="63" hidden="1" customHeight="1">
      <c r="A899" s="77" t="s">
        <v>810</v>
      </c>
      <c r="B899" s="43" t="s">
        <v>627</v>
      </c>
      <c r="C899" s="43" t="s">
        <v>603</v>
      </c>
      <c r="D899" s="43" t="s">
        <v>68</v>
      </c>
      <c r="E899" s="43" t="s">
        <v>614</v>
      </c>
      <c r="F899" s="348"/>
      <c r="G899" s="348"/>
      <c r="H899" s="348"/>
    </row>
    <row r="900" spans="1:8" ht="47.25" hidden="1" customHeight="1">
      <c r="A900" s="77" t="s">
        <v>661</v>
      </c>
      <c r="B900" s="43" t="s">
        <v>627</v>
      </c>
      <c r="C900" s="43" t="s">
        <v>603</v>
      </c>
      <c r="D900" s="43" t="s">
        <v>68</v>
      </c>
      <c r="E900" s="43" t="s">
        <v>662</v>
      </c>
      <c r="F900" s="348"/>
      <c r="G900" s="348"/>
      <c r="H900" s="348"/>
    </row>
    <row r="901" spans="1:8" ht="15.75" hidden="1" customHeight="1">
      <c r="A901" s="77" t="s">
        <v>663</v>
      </c>
      <c r="B901" s="43" t="s">
        <v>627</v>
      </c>
      <c r="C901" s="43" t="s">
        <v>603</v>
      </c>
      <c r="D901" s="43" t="s">
        <v>68</v>
      </c>
      <c r="E901" s="43" t="s">
        <v>664</v>
      </c>
      <c r="F901" s="348"/>
      <c r="G901" s="348"/>
      <c r="H901" s="348"/>
    </row>
    <row r="902" spans="1:8" ht="47.25" hidden="1" customHeight="1">
      <c r="A902" s="77" t="s">
        <v>811</v>
      </c>
      <c r="B902" s="43" t="s">
        <v>627</v>
      </c>
      <c r="C902" s="43" t="s">
        <v>603</v>
      </c>
      <c r="D902" s="43" t="s">
        <v>68</v>
      </c>
      <c r="E902" s="43" t="s">
        <v>648</v>
      </c>
      <c r="F902" s="348"/>
      <c r="G902" s="348"/>
      <c r="H902" s="348"/>
    </row>
    <row r="903" spans="1:8" ht="15.75" hidden="1" customHeight="1">
      <c r="A903" s="77" t="s">
        <v>110</v>
      </c>
      <c r="B903" s="43" t="s">
        <v>627</v>
      </c>
      <c r="C903" s="43" t="s">
        <v>603</v>
      </c>
      <c r="D903" s="43" t="s">
        <v>68</v>
      </c>
      <c r="E903" s="43" t="s">
        <v>156</v>
      </c>
      <c r="F903" s="348"/>
      <c r="G903" s="348"/>
      <c r="H903" s="348"/>
    </row>
    <row r="904" spans="1:8" ht="110.25" hidden="1" customHeight="1">
      <c r="A904" s="76" t="s">
        <v>812</v>
      </c>
      <c r="B904" s="43" t="s">
        <v>627</v>
      </c>
      <c r="C904" s="43" t="s">
        <v>603</v>
      </c>
      <c r="D904" s="43" t="s">
        <v>68</v>
      </c>
      <c r="E904" s="53" t="s">
        <v>198</v>
      </c>
      <c r="F904" s="41"/>
      <c r="G904" s="41"/>
      <c r="H904" s="41"/>
    </row>
    <row r="905" spans="1:8" ht="31.5" hidden="1" customHeight="1">
      <c r="A905" s="77" t="s">
        <v>611</v>
      </c>
      <c r="B905" s="43" t="s">
        <v>627</v>
      </c>
      <c r="C905" s="43" t="s">
        <v>603</v>
      </c>
      <c r="D905" s="43" t="s">
        <v>68</v>
      </c>
      <c r="E905" s="43" t="s">
        <v>612</v>
      </c>
      <c r="F905" s="348"/>
      <c r="G905" s="348"/>
      <c r="H905" s="348"/>
    </row>
    <row r="906" spans="1:8" ht="63" hidden="1" customHeight="1">
      <c r="A906" s="77" t="s">
        <v>810</v>
      </c>
      <c r="B906" s="43" t="s">
        <v>627</v>
      </c>
      <c r="C906" s="43" t="s">
        <v>603</v>
      </c>
      <c r="D906" s="43" t="s">
        <v>68</v>
      </c>
      <c r="E906" s="43" t="s">
        <v>614</v>
      </c>
      <c r="F906" s="348"/>
      <c r="G906" s="348"/>
      <c r="H906" s="348"/>
    </row>
    <row r="907" spans="1:8" ht="47.25" hidden="1" customHeight="1">
      <c r="A907" s="77" t="s">
        <v>661</v>
      </c>
      <c r="B907" s="43" t="s">
        <v>627</v>
      </c>
      <c r="C907" s="43" t="s">
        <v>603</v>
      </c>
      <c r="D907" s="43" t="s">
        <v>68</v>
      </c>
      <c r="E907" s="43" t="s">
        <v>662</v>
      </c>
      <c r="F907" s="348"/>
      <c r="G907" s="348"/>
      <c r="H907" s="348"/>
    </row>
    <row r="908" spans="1:8" ht="15.75" hidden="1" customHeight="1">
      <c r="A908" s="77" t="s">
        <v>663</v>
      </c>
      <c r="B908" s="43" t="s">
        <v>627</v>
      </c>
      <c r="C908" s="43" t="s">
        <v>603</v>
      </c>
      <c r="D908" s="43" t="s">
        <v>68</v>
      </c>
      <c r="E908" s="43" t="s">
        <v>664</v>
      </c>
      <c r="F908" s="348"/>
      <c r="G908" s="348"/>
      <c r="H908" s="348"/>
    </row>
    <row r="909" spans="1:8" ht="47.25" hidden="1" customHeight="1">
      <c r="A909" s="77" t="s">
        <v>811</v>
      </c>
      <c r="B909" s="43" t="s">
        <v>627</v>
      </c>
      <c r="C909" s="43" t="s">
        <v>603</v>
      </c>
      <c r="D909" s="43" t="s">
        <v>68</v>
      </c>
      <c r="E909" s="43" t="s">
        <v>648</v>
      </c>
      <c r="F909" s="348">
        <f t="shared" ref="F909:H911" si="238">F910</f>
        <v>0</v>
      </c>
      <c r="G909" s="348">
        <f t="shared" si="238"/>
        <v>0</v>
      </c>
      <c r="H909" s="348">
        <f t="shared" si="238"/>
        <v>0</v>
      </c>
    </row>
    <row r="910" spans="1:8" ht="15.75" hidden="1" customHeight="1">
      <c r="A910" s="77" t="s">
        <v>110</v>
      </c>
      <c r="B910" s="43" t="s">
        <v>627</v>
      </c>
      <c r="C910" s="43" t="s">
        <v>603</v>
      </c>
      <c r="D910" s="43" t="s">
        <v>68</v>
      </c>
      <c r="E910" s="43" t="s">
        <v>156</v>
      </c>
      <c r="F910" s="348">
        <f t="shared" si="238"/>
        <v>0</v>
      </c>
      <c r="G910" s="348">
        <f t="shared" si="238"/>
        <v>0</v>
      </c>
      <c r="H910" s="348">
        <f t="shared" si="238"/>
        <v>0</v>
      </c>
    </row>
    <row r="911" spans="1:8" ht="47.25" hidden="1" customHeight="1">
      <c r="A911" s="77" t="s">
        <v>811</v>
      </c>
      <c r="B911" s="43" t="s">
        <v>627</v>
      </c>
      <c r="C911" s="43" t="s">
        <v>603</v>
      </c>
      <c r="D911" s="43" t="s">
        <v>68</v>
      </c>
      <c r="E911" s="43" t="s">
        <v>648</v>
      </c>
      <c r="F911" s="348">
        <f t="shared" si="238"/>
        <v>0</v>
      </c>
      <c r="G911" s="348">
        <f t="shared" si="238"/>
        <v>0</v>
      </c>
      <c r="H911" s="348">
        <f t="shared" si="238"/>
        <v>0</v>
      </c>
    </row>
    <row r="912" spans="1:8" ht="15.75" hidden="1" customHeight="1">
      <c r="A912" s="77" t="s">
        <v>110</v>
      </c>
      <c r="B912" s="43" t="s">
        <v>627</v>
      </c>
      <c r="C912" s="43" t="s">
        <v>603</v>
      </c>
      <c r="D912" s="43" t="s">
        <v>68</v>
      </c>
      <c r="E912" s="43" t="s">
        <v>156</v>
      </c>
      <c r="F912" s="348">
        <v>0</v>
      </c>
      <c r="G912" s="348">
        <v>0</v>
      </c>
      <c r="H912" s="348">
        <v>0</v>
      </c>
    </row>
    <row r="913" spans="1:8" ht="47.25" hidden="1" customHeight="1">
      <c r="A913" s="76" t="s">
        <v>370</v>
      </c>
      <c r="B913" s="53" t="s">
        <v>627</v>
      </c>
      <c r="C913" s="53" t="s">
        <v>603</v>
      </c>
      <c r="D913" s="53" t="s">
        <v>369</v>
      </c>
      <c r="E913" s="53" t="s">
        <v>198</v>
      </c>
      <c r="F913" s="41">
        <f>F914+F916</f>
        <v>0</v>
      </c>
      <c r="G913" s="41">
        <f>G914+G916</f>
        <v>0</v>
      </c>
      <c r="H913" s="41">
        <f>H914+H916</f>
        <v>0</v>
      </c>
    </row>
    <row r="914" spans="1:8" ht="31.5" hidden="1" customHeight="1">
      <c r="A914" s="77" t="s">
        <v>611</v>
      </c>
      <c r="B914" s="43" t="s">
        <v>627</v>
      </c>
      <c r="C914" s="43" t="s">
        <v>603</v>
      </c>
      <c r="D914" s="43" t="s">
        <v>369</v>
      </c>
      <c r="E914" s="43" t="s">
        <v>612</v>
      </c>
      <c r="F914" s="348">
        <f>F915</f>
        <v>0</v>
      </c>
      <c r="G914" s="348">
        <f>G915</f>
        <v>0</v>
      </c>
      <c r="H914" s="348">
        <f>H915</f>
        <v>0</v>
      </c>
    </row>
    <row r="915" spans="1:8" ht="47.25" hidden="1" customHeight="1">
      <c r="A915" s="77" t="s">
        <v>613</v>
      </c>
      <c r="B915" s="43" t="s">
        <v>627</v>
      </c>
      <c r="C915" s="43" t="s">
        <v>603</v>
      </c>
      <c r="D915" s="43" t="s">
        <v>369</v>
      </c>
      <c r="E915" s="43" t="s">
        <v>614</v>
      </c>
      <c r="F915" s="348">
        <v>0</v>
      </c>
      <c r="G915" s="348">
        <v>0</v>
      </c>
      <c r="H915" s="348">
        <v>0</v>
      </c>
    </row>
    <row r="916" spans="1:8" ht="47.25" hidden="1" customHeight="1">
      <c r="A916" s="77" t="s">
        <v>661</v>
      </c>
      <c r="B916" s="43" t="s">
        <v>627</v>
      </c>
      <c r="C916" s="43" t="s">
        <v>603</v>
      </c>
      <c r="D916" s="43" t="s">
        <v>369</v>
      </c>
      <c r="E916" s="43" t="s">
        <v>662</v>
      </c>
      <c r="F916" s="348">
        <f>F917</f>
        <v>0</v>
      </c>
      <c r="G916" s="348">
        <f>G917</f>
        <v>0</v>
      </c>
      <c r="H916" s="348">
        <f>H917</f>
        <v>0</v>
      </c>
    </row>
    <row r="917" spans="1:8" ht="15.75" hidden="1" customHeight="1">
      <c r="A917" s="77" t="s">
        <v>663</v>
      </c>
      <c r="B917" s="43" t="s">
        <v>627</v>
      </c>
      <c r="C917" s="43" t="s">
        <v>603</v>
      </c>
      <c r="D917" s="43" t="s">
        <v>369</v>
      </c>
      <c r="E917" s="43" t="s">
        <v>664</v>
      </c>
      <c r="F917" s="348">
        <v>0</v>
      </c>
      <c r="G917" s="348">
        <v>0</v>
      </c>
      <c r="H917" s="348">
        <v>0</v>
      </c>
    </row>
    <row r="918" spans="1:8" ht="15.75" hidden="1" customHeight="1">
      <c r="A918" s="77"/>
      <c r="B918" s="43"/>
      <c r="C918" s="43"/>
      <c r="D918" s="43"/>
      <c r="E918" s="43"/>
      <c r="F918" s="348"/>
      <c r="G918" s="348"/>
      <c r="H918" s="348"/>
    </row>
    <row r="919" spans="1:8" ht="15.75" hidden="1" customHeight="1">
      <c r="A919" s="77"/>
      <c r="B919" s="43"/>
      <c r="C919" s="43"/>
      <c r="D919" s="43"/>
      <c r="E919" s="43"/>
      <c r="F919" s="348"/>
      <c r="G919" s="348"/>
      <c r="H919" s="348"/>
    </row>
    <row r="920" spans="1:8" ht="15.75" hidden="1" customHeight="1">
      <c r="A920" s="77"/>
      <c r="B920" s="43"/>
      <c r="C920" s="43"/>
      <c r="D920" s="43"/>
      <c r="E920" s="43"/>
      <c r="F920" s="348"/>
      <c r="G920" s="348"/>
      <c r="H920" s="348"/>
    </row>
    <row r="921" spans="1:8" ht="15.75" hidden="1" customHeight="1">
      <c r="A921" s="77"/>
      <c r="B921" s="43"/>
      <c r="C921" s="43"/>
      <c r="D921" s="43"/>
      <c r="E921" s="43"/>
      <c r="F921" s="348"/>
      <c r="G921" s="348"/>
      <c r="H921" s="348"/>
    </row>
    <row r="922" spans="1:8" ht="47.25" hidden="1" customHeight="1">
      <c r="A922" s="81" t="s">
        <v>306</v>
      </c>
      <c r="B922" s="59" t="s">
        <v>627</v>
      </c>
      <c r="C922" s="59" t="s">
        <v>603</v>
      </c>
      <c r="D922" s="59" t="s">
        <v>601</v>
      </c>
      <c r="E922" s="59" t="s">
        <v>198</v>
      </c>
      <c r="F922" s="96">
        <f>F923</f>
        <v>0</v>
      </c>
      <c r="G922" s="96">
        <f t="shared" ref="F922:H924" si="239">G923</f>
        <v>0</v>
      </c>
      <c r="H922" s="96">
        <f t="shared" si="239"/>
        <v>0</v>
      </c>
    </row>
    <row r="923" spans="1:8" ht="110.25" hidden="1" customHeight="1">
      <c r="A923" s="77" t="s">
        <v>813</v>
      </c>
      <c r="B923" s="43" t="s">
        <v>627</v>
      </c>
      <c r="C923" s="43" t="s">
        <v>603</v>
      </c>
      <c r="D923" s="43" t="s">
        <v>531</v>
      </c>
      <c r="E923" s="43" t="s">
        <v>198</v>
      </c>
      <c r="F923" s="348">
        <f t="shared" si="239"/>
        <v>0</v>
      </c>
      <c r="G923" s="348">
        <f t="shared" si="239"/>
        <v>0</v>
      </c>
      <c r="H923" s="348">
        <f t="shared" si="239"/>
        <v>0</v>
      </c>
    </row>
    <row r="924" spans="1:8" ht="47.25" hidden="1" customHeight="1">
      <c r="A924" s="77" t="s">
        <v>814</v>
      </c>
      <c r="B924" s="43" t="s">
        <v>627</v>
      </c>
      <c r="C924" s="43" t="s">
        <v>603</v>
      </c>
      <c r="D924" s="43" t="s">
        <v>531</v>
      </c>
      <c r="E924" s="43" t="s">
        <v>662</v>
      </c>
      <c r="F924" s="348">
        <f t="shared" si="239"/>
        <v>0</v>
      </c>
      <c r="G924" s="348">
        <f t="shared" si="239"/>
        <v>0</v>
      </c>
      <c r="H924" s="348">
        <f t="shared" si="239"/>
        <v>0</v>
      </c>
    </row>
    <row r="925" spans="1:8" ht="15.75" hidden="1" customHeight="1">
      <c r="A925" s="77" t="s">
        <v>663</v>
      </c>
      <c r="B925" s="43" t="s">
        <v>627</v>
      </c>
      <c r="C925" s="43" t="s">
        <v>603</v>
      </c>
      <c r="D925" s="43" t="s">
        <v>531</v>
      </c>
      <c r="E925" s="43" t="s">
        <v>664</v>
      </c>
      <c r="F925" s="348"/>
      <c r="G925" s="348">
        <v>0</v>
      </c>
      <c r="H925" s="348">
        <v>0</v>
      </c>
    </row>
    <row r="926" spans="1:8" ht="47.25" hidden="1" customHeight="1">
      <c r="A926" s="81" t="s">
        <v>815</v>
      </c>
      <c r="B926" s="59" t="s">
        <v>627</v>
      </c>
      <c r="C926" s="59" t="s">
        <v>603</v>
      </c>
      <c r="D926" s="59" t="s">
        <v>601</v>
      </c>
      <c r="E926" s="59" t="s">
        <v>198</v>
      </c>
      <c r="F926" s="96">
        <f>F927+F930</f>
        <v>0</v>
      </c>
      <c r="G926" s="96">
        <f>G927+G930</f>
        <v>0</v>
      </c>
      <c r="H926" s="96">
        <f>H927+H930</f>
        <v>0</v>
      </c>
    </row>
    <row r="927" spans="1:8" ht="94.5" hidden="1" customHeight="1">
      <c r="A927" s="76" t="s">
        <v>816</v>
      </c>
      <c r="B927" s="53" t="s">
        <v>627</v>
      </c>
      <c r="C927" s="53" t="s">
        <v>603</v>
      </c>
      <c r="D927" s="53" t="s">
        <v>440</v>
      </c>
      <c r="E927" s="53" t="s">
        <v>198</v>
      </c>
      <c r="F927" s="41">
        <f t="shared" ref="F927:H928" si="240">F928</f>
        <v>0</v>
      </c>
      <c r="G927" s="41">
        <f t="shared" si="240"/>
        <v>0</v>
      </c>
      <c r="H927" s="41">
        <f t="shared" si="240"/>
        <v>0</v>
      </c>
    </row>
    <row r="928" spans="1:8" ht="31.5" hidden="1" customHeight="1">
      <c r="A928" s="77" t="s">
        <v>611</v>
      </c>
      <c r="B928" s="43" t="s">
        <v>627</v>
      </c>
      <c r="C928" s="43" t="s">
        <v>603</v>
      </c>
      <c r="D928" s="43" t="s">
        <v>440</v>
      </c>
      <c r="E928" s="43" t="s">
        <v>612</v>
      </c>
      <c r="F928" s="348">
        <f t="shared" si="240"/>
        <v>0</v>
      </c>
      <c r="G928" s="348">
        <f t="shared" si="240"/>
        <v>0</v>
      </c>
      <c r="H928" s="348">
        <f t="shared" si="240"/>
        <v>0</v>
      </c>
    </row>
    <row r="929" spans="1:8" ht="47.25" hidden="1" customHeight="1">
      <c r="A929" s="77" t="s">
        <v>613</v>
      </c>
      <c r="B929" s="43" t="s">
        <v>627</v>
      </c>
      <c r="C929" s="43" t="s">
        <v>603</v>
      </c>
      <c r="D929" s="43" t="s">
        <v>440</v>
      </c>
      <c r="E929" s="43" t="s">
        <v>614</v>
      </c>
      <c r="F929" s="348"/>
      <c r="G929" s="348"/>
      <c r="H929" s="348"/>
    </row>
    <row r="930" spans="1:8" ht="63" hidden="1" customHeight="1">
      <c r="A930" s="76" t="s">
        <v>474</v>
      </c>
      <c r="B930" s="53" t="s">
        <v>627</v>
      </c>
      <c r="C930" s="53" t="s">
        <v>603</v>
      </c>
      <c r="D930" s="53" t="s">
        <v>471</v>
      </c>
      <c r="E930" s="53" t="s">
        <v>198</v>
      </c>
      <c r="F930" s="41">
        <f t="shared" ref="F930:H931" si="241">F931</f>
        <v>0</v>
      </c>
      <c r="G930" s="41">
        <f t="shared" si="241"/>
        <v>0</v>
      </c>
      <c r="H930" s="41">
        <f t="shared" si="241"/>
        <v>0</v>
      </c>
    </row>
    <row r="931" spans="1:8" ht="31.5" hidden="1" customHeight="1">
      <c r="A931" s="77" t="s">
        <v>611</v>
      </c>
      <c r="B931" s="43" t="s">
        <v>627</v>
      </c>
      <c r="C931" s="43" t="s">
        <v>603</v>
      </c>
      <c r="D931" s="43" t="s">
        <v>471</v>
      </c>
      <c r="E931" s="43" t="s">
        <v>612</v>
      </c>
      <c r="F931" s="348">
        <f t="shared" si="241"/>
        <v>0</v>
      </c>
      <c r="G931" s="348">
        <f t="shared" si="241"/>
        <v>0</v>
      </c>
      <c r="H931" s="348">
        <f t="shared" si="241"/>
        <v>0</v>
      </c>
    </row>
    <row r="932" spans="1:8" ht="47.25" hidden="1" customHeight="1">
      <c r="A932" s="77" t="s">
        <v>613</v>
      </c>
      <c r="B932" s="43" t="s">
        <v>627</v>
      </c>
      <c r="C932" s="43" t="s">
        <v>603</v>
      </c>
      <c r="D932" s="43" t="s">
        <v>471</v>
      </c>
      <c r="E932" s="43" t="s">
        <v>614</v>
      </c>
      <c r="F932" s="348"/>
      <c r="G932" s="348"/>
      <c r="H932" s="348"/>
    </row>
    <row r="933" spans="1:8" ht="64.900000000000006" hidden="1" customHeight="1">
      <c r="A933" s="81" t="s">
        <v>466</v>
      </c>
      <c r="B933" s="59" t="s">
        <v>627</v>
      </c>
      <c r="C933" s="59" t="s">
        <v>603</v>
      </c>
      <c r="D933" s="59" t="s">
        <v>601</v>
      </c>
      <c r="E933" s="59" t="s">
        <v>198</v>
      </c>
      <c r="F933" s="96">
        <f>F934+F937</f>
        <v>0</v>
      </c>
      <c r="G933" s="96">
        <f>G934+G937</f>
        <v>0</v>
      </c>
      <c r="H933" s="96">
        <f>H934+H937</f>
        <v>0</v>
      </c>
    </row>
    <row r="934" spans="1:8" ht="97.5" hidden="1" customHeight="1">
      <c r="A934" s="76" t="s">
        <v>454</v>
      </c>
      <c r="B934" s="53" t="s">
        <v>627</v>
      </c>
      <c r="C934" s="53" t="s">
        <v>603</v>
      </c>
      <c r="D934" s="53" t="s">
        <v>441</v>
      </c>
      <c r="E934" s="53" t="s">
        <v>198</v>
      </c>
      <c r="F934" s="41">
        <f t="shared" ref="F934:H935" si="242">F935</f>
        <v>0</v>
      </c>
      <c r="G934" s="41">
        <f t="shared" si="242"/>
        <v>0</v>
      </c>
      <c r="H934" s="41">
        <f t="shared" si="242"/>
        <v>0</v>
      </c>
    </row>
    <row r="935" spans="1:8" ht="39" hidden="1" customHeight="1">
      <c r="A935" s="77" t="s">
        <v>611</v>
      </c>
      <c r="B935" s="43" t="s">
        <v>627</v>
      </c>
      <c r="C935" s="43" t="s">
        <v>603</v>
      </c>
      <c r="D935" s="43" t="s">
        <v>441</v>
      </c>
      <c r="E935" s="43" t="s">
        <v>612</v>
      </c>
      <c r="F935" s="348">
        <f t="shared" si="242"/>
        <v>0</v>
      </c>
      <c r="G935" s="348">
        <f t="shared" si="242"/>
        <v>0</v>
      </c>
      <c r="H935" s="348">
        <f t="shared" si="242"/>
        <v>0</v>
      </c>
    </row>
    <row r="936" spans="1:8" ht="54.75" hidden="1" customHeight="1">
      <c r="A936" s="77" t="s">
        <v>613</v>
      </c>
      <c r="B936" s="43" t="s">
        <v>627</v>
      </c>
      <c r="C936" s="43" t="s">
        <v>603</v>
      </c>
      <c r="D936" s="43" t="s">
        <v>441</v>
      </c>
      <c r="E936" s="43" t="s">
        <v>614</v>
      </c>
      <c r="F936" s="348">
        <f>'5'!D146</f>
        <v>0</v>
      </c>
      <c r="G936" s="348">
        <f>'5'!E146</f>
        <v>0</v>
      </c>
      <c r="H936" s="348">
        <f>'5'!F146</f>
        <v>0</v>
      </c>
    </row>
    <row r="937" spans="1:8" ht="132" hidden="1" customHeight="1">
      <c r="A937" s="76" t="s">
        <v>1050</v>
      </c>
      <c r="B937" s="53" t="s">
        <v>627</v>
      </c>
      <c r="C937" s="53" t="s">
        <v>603</v>
      </c>
      <c r="D937" s="53" t="s">
        <v>817</v>
      </c>
      <c r="E937" s="53" t="s">
        <v>198</v>
      </c>
      <c r="F937" s="41">
        <f t="shared" ref="F937:H938" si="243">F938</f>
        <v>0</v>
      </c>
      <c r="G937" s="41">
        <f t="shared" si="243"/>
        <v>0</v>
      </c>
      <c r="H937" s="41">
        <f t="shared" si="243"/>
        <v>0</v>
      </c>
    </row>
    <row r="938" spans="1:8" ht="40.15" hidden="1" customHeight="1">
      <c r="A938" s="74" t="s">
        <v>611</v>
      </c>
      <c r="B938" s="37" t="s">
        <v>627</v>
      </c>
      <c r="C938" s="37" t="s">
        <v>603</v>
      </c>
      <c r="D938" s="37" t="s">
        <v>817</v>
      </c>
      <c r="E938" s="37" t="s">
        <v>612</v>
      </c>
      <c r="F938" s="38">
        <f t="shared" si="243"/>
        <v>0</v>
      </c>
      <c r="G938" s="38">
        <f t="shared" si="243"/>
        <v>0</v>
      </c>
      <c r="H938" s="38">
        <f t="shared" si="243"/>
        <v>0</v>
      </c>
    </row>
    <row r="939" spans="1:8" ht="51" hidden="1" customHeight="1">
      <c r="A939" s="77" t="s">
        <v>613</v>
      </c>
      <c r="B939" s="43" t="s">
        <v>627</v>
      </c>
      <c r="C939" s="43" t="s">
        <v>603</v>
      </c>
      <c r="D939" s="43" t="s">
        <v>817</v>
      </c>
      <c r="E939" s="43" t="s">
        <v>614</v>
      </c>
      <c r="F939" s="348">
        <f>'5'!D147</f>
        <v>0</v>
      </c>
      <c r="G939" s="348">
        <f>'5'!E147</f>
        <v>0</v>
      </c>
      <c r="H939" s="348">
        <f>'5'!F147</f>
        <v>0</v>
      </c>
    </row>
    <row r="940" spans="1:8" ht="31.5" hidden="1" customHeight="1">
      <c r="A940" s="81" t="s">
        <v>472</v>
      </c>
      <c r="B940" s="59" t="s">
        <v>627</v>
      </c>
      <c r="C940" s="59" t="s">
        <v>603</v>
      </c>
      <c r="D940" s="59" t="s">
        <v>601</v>
      </c>
      <c r="E940" s="59" t="s">
        <v>198</v>
      </c>
      <c r="F940" s="96">
        <f>F944</f>
        <v>0</v>
      </c>
      <c r="G940" s="96">
        <f>G944</f>
        <v>0</v>
      </c>
      <c r="H940" s="96">
        <f>H944</f>
        <v>0</v>
      </c>
    </row>
    <row r="941" spans="1:8" ht="47.25" hidden="1" customHeight="1">
      <c r="A941" s="76" t="s">
        <v>818</v>
      </c>
      <c r="B941" s="43" t="s">
        <v>627</v>
      </c>
      <c r="C941" s="43" t="s">
        <v>603</v>
      </c>
      <c r="D941" s="43" t="s">
        <v>819</v>
      </c>
      <c r="E941" s="43" t="s">
        <v>198</v>
      </c>
      <c r="F941" s="348"/>
      <c r="G941" s="348"/>
      <c r="H941" s="348"/>
    </row>
    <row r="942" spans="1:8" ht="31.5" hidden="1" customHeight="1">
      <c r="A942" s="77" t="s">
        <v>611</v>
      </c>
      <c r="B942" s="43" t="s">
        <v>627</v>
      </c>
      <c r="C942" s="43" t="s">
        <v>603</v>
      </c>
      <c r="D942" s="43" t="s">
        <v>819</v>
      </c>
      <c r="E942" s="43" t="s">
        <v>612</v>
      </c>
      <c r="F942" s="348"/>
      <c r="G942" s="348"/>
      <c r="H942" s="348"/>
    </row>
    <row r="943" spans="1:8" ht="47.25" hidden="1" customHeight="1">
      <c r="A943" s="77" t="s">
        <v>613</v>
      </c>
      <c r="B943" s="43" t="s">
        <v>627</v>
      </c>
      <c r="C943" s="43" t="s">
        <v>603</v>
      </c>
      <c r="D943" s="43" t="s">
        <v>819</v>
      </c>
      <c r="E943" s="43" t="s">
        <v>614</v>
      </c>
      <c r="F943" s="348"/>
      <c r="G943" s="348"/>
      <c r="H943" s="348"/>
    </row>
    <row r="944" spans="1:8" ht="78.75" hidden="1" customHeight="1">
      <c r="A944" s="76" t="s">
        <v>476</v>
      </c>
      <c r="B944" s="53" t="s">
        <v>627</v>
      </c>
      <c r="C944" s="53" t="s">
        <v>603</v>
      </c>
      <c r="D944" s="53" t="s">
        <v>532</v>
      </c>
      <c r="E944" s="53" t="s">
        <v>198</v>
      </c>
      <c r="F944" s="41">
        <f t="shared" ref="F944:H945" si="244">F945</f>
        <v>0</v>
      </c>
      <c r="G944" s="41">
        <f t="shared" si="244"/>
        <v>0</v>
      </c>
      <c r="H944" s="41">
        <f t="shared" si="244"/>
        <v>0</v>
      </c>
    </row>
    <row r="945" spans="1:15" ht="31.5" hidden="1" customHeight="1">
      <c r="A945" s="77" t="s">
        <v>611</v>
      </c>
      <c r="B945" s="43" t="s">
        <v>627</v>
      </c>
      <c r="C945" s="43" t="s">
        <v>603</v>
      </c>
      <c r="D945" s="43" t="s">
        <v>532</v>
      </c>
      <c r="E945" s="43" t="s">
        <v>612</v>
      </c>
      <c r="F945" s="348">
        <f t="shared" si="244"/>
        <v>0</v>
      </c>
      <c r="G945" s="348">
        <f t="shared" si="244"/>
        <v>0</v>
      </c>
      <c r="H945" s="348">
        <f t="shared" si="244"/>
        <v>0</v>
      </c>
    </row>
    <row r="946" spans="1:15" ht="47.25" hidden="1" customHeight="1">
      <c r="A946" s="77" t="s">
        <v>613</v>
      </c>
      <c r="B946" s="43" t="s">
        <v>627</v>
      </c>
      <c r="C946" s="43" t="s">
        <v>603</v>
      </c>
      <c r="D946" s="43" t="s">
        <v>532</v>
      </c>
      <c r="E946" s="43" t="s">
        <v>614</v>
      </c>
      <c r="F946" s="348">
        <v>0</v>
      </c>
      <c r="G946" s="348">
        <v>0</v>
      </c>
      <c r="H946" s="348">
        <v>0</v>
      </c>
    </row>
    <row r="947" spans="1:15" ht="48.6" customHeight="1">
      <c r="A947" s="81" t="s">
        <v>356</v>
      </c>
      <c r="B947" s="59" t="s">
        <v>627</v>
      </c>
      <c r="C947" s="59" t="s">
        <v>603</v>
      </c>
      <c r="D947" s="59" t="s">
        <v>67</v>
      </c>
      <c r="E947" s="59" t="s">
        <v>198</v>
      </c>
      <c r="F947" s="96">
        <f>F948+F951</f>
        <v>116.25203</v>
      </c>
      <c r="G947" s="96">
        <f>G948+G951</f>
        <v>0</v>
      </c>
      <c r="H947" s="96">
        <f>H948+H951</f>
        <v>0</v>
      </c>
    </row>
    <row r="948" spans="1:15" ht="85.9" customHeight="1">
      <c r="A948" s="76" t="s">
        <v>1051</v>
      </c>
      <c r="B948" s="43" t="s">
        <v>627</v>
      </c>
      <c r="C948" s="43" t="s">
        <v>603</v>
      </c>
      <c r="D948" s="43" t="s">
        <v>1092</v>
      </c>
      <c r="E948" s="43" t="s">
        <v>198</v>
      </c>
      <c r="F948" s="348">
        <f t="shared" ref="F948:H949" si="245">F949</f>
        <v>115.08951</v>
      </c>
      <c r="G948" s="348">
        <f t="shared" si="245"/>
        <v>0</v>
      </c>
      <c r="H948" s="348">
        <f t="shared" si="245"/>
        <v>0</v>
      </c>
    </row>
    <row r="949" spans="1:15" ht="45" customHeight="1">
      <c r="A949" s="77" t="s">
        <v>811</v>
      </c>
      <c r="B949" s="43" t="s">
        <v>627</v>
      </c>
      <c r="C949" s="43" t="s">
        <v>603</v>
      </c>
      <c r="D949" s="43" t="s">
        <v>1092</v>
      </c>
      <c r="E949" s="43" t="s">
        <v>648</v>
      </c>
      <c r="F949" s="348">
        <f t="shared" si="245"/>
        <v>115.08951</v>
      </c>
      <c r="G949" s="348">
        <f t="shared" si="245"/>
        <v>0</v>
      </c>
      <c r="H949" s="348">
        <f t="shared" si="245"/>
        <v>0</v>
      </c>
    </row>
    <row r="950" spans="1:15" ht="19.149999999999999" customHeight="1">
      <c r="A950" s="77" t="s">
        <v>110</v>
      </c>
      <c r="B950" s="43" t="s">
        <v>627</v>
      </c>
      <c r="C950" s="43" t="s">
        <v>603</v>
      </c>
      <c r="D950" s="43" t="s">
        <v>1092</v>
      </c>
      <c r="E950" s="43" t="s">
        <v>156</v>
      </c>
      <c r="F950" s="348">
        <f>'5'!D143</f>
        <v>115.08951</v>
      </c>
      <c r="G950" s="348">
        <f>'5'!E143</f>
        <v>0</v>
      </c>
      <c r="H950" s="348">
        <f>'5'!F143</f>
        <v>0</v>
      </c>
    </row>
    <row r="951" spans="1:15" ht="94.15" customHeight="1">
      <c r="A951" s="76" t="s">
        <v>1052</v>
      </c>
      <c r="B951" s="43" t="s">
        <v>627</v>
      </c>
      <c r="C951" s="43" t="s">
        <v>603</v>
      </c>
      <c r="D951" s="43" t="s">
        <v>1093</v>
      </c>
      <c r="E951" s="43" t="s">
        <v>198</v>
      </c>
      <c r="F951" s="348">
        <f t="shared" ref="F951:H952" si="246">F952</f>
        <v>1.16252</v>
      </c>
      <c r="G951" s="348">
        <f t="shared" si="246"/>
        <v>0</v>
      </c>
      <c r="H951" s="348">
        <f t="shared" si="246"/>
        <v>0</v>
      </c>
    </row>
    <row r="952" spans="1:15" ht="49.15" customHeight="1">
      <c r="A952" s="77" t="s">
        <v>811</v>
      </c>
      <c r="B952" s="43" t="s">
        <v>627</v>
      </c>
      <c r="C952" s="43" t="s">
        <v>603</v>
      </c>
      <c r="D952" s="43" t="s">
        <v>1093</v>
      </c>
      <c r="E952" s="43" t="s">
        <v>648</v>
      </c>
      <c r="F952" s="348">
        <f t="shared" si="246"/>
        <v>1.16252</v>
      </c>
      <c r="G952" s="348">
        <f t="shared" si="246"/>
        <v>0</v>
      </c>
      <c r="H952" s="348">
        <f t="shared" si="246"/>
        <v>0</v>
      </c>
    </row>
    <row r="953" spans="1:15" ht="19.149999999999999" customHeight="1">
      <c r="A953" s="74" t="s">
        <v>110</v>
      </c>
      <c r="B953" s="37" t="s">
        <v>627</v>
      </c>
      <c r="C953" s="37" t="s">
        <v>603</v>
      </c>
      <c r="D953" s="43" t="s">
        <v>1093</v>
      </c>
      <c r="E953" s="37" t="s">
        <v>156</v>
      </c>
      <c r="F953" s="38">
        <f>'5'!D144</f>
        <v>1.16252</v>
      </c>
      <c r="G953" s="38">
        <f>'5'!E144</f>
        <v>0</v>
      </c>
      <c r="H953" s="38">
        <f>'5'!F144</f>
        <v>0</v>
      </c>
    </row>
    <row r="954" spans="1:15" ht="63" hidden="1" customHeight="1">
      <c r="A954" s="376" t="s">
        <v>820</v>
      </c>
      <c r="B954" s="51" t="s">
        <v>627</v>
      </c>
      <c r="C954" s="51" t="s">
        <v>603</v>
      </c>
      <c r="D954" s="51" t="s">
        <v>67</v>
      </c>
      <c r="E954" s="51" t="s">
        <v>198</v>
      </c>
      <c r="F954" s="52">
        <f>F955+F958</f>
        <v>0</v>
      </c>
      <c r="G954" s="52">
        <f>G955+G958</f>
        <v>0</v>
      </c>
      <c r="H954" s="52">
        <f>H955+H958</f>
        <v>0</v>
      </c>
    </row>
    <row r="955" spans="1:15" ht="94.5" hidden="1" customHeight="1">
      <c r="A955" s="75" t="s">
        <v>821</v>
      </c>
      <c r="B955" s="2" t="s">
        <v>627</v>
      </c>
      <c r="C955" s="2" t="s">
        <v>603</v>
      </c>
      <c r="D955" s="2" t="s">
        <v>822</v>
      </c>
      <c r="E955" s="2" t="s">
        <v>198</v>
      </c>
      <c r="F955" s="39">
        <f t="shared" ref="F955:H956" si="247">F956</f>
        <v>0</v>
      </c>
      <c r="G955" s="39">
        <f t="shared" si="247"/>
        <v>0</v>
      </c>
      <c r="H955" s="39">
        <f t="shared" si="247"/>
        <v>0</v>
      </c>
    </row>
    <row r="956" spans="1:15" ht="31.5" hidden="1" customHeight="1">
      <c r="A956" s="74" t="s">
        <v>611</v>
      </c>
      <c r="B956" s="37" t="s">
        <v>627</v>
      </c>
      <c r="C956" s="37" t="s">
        <v>603</v>
      </c>
      <c r="D956" s="37" t="s">
        <v>822</v>
      </c>
      <c r="E956" s="37" t="s">
        <v>612</v>
      </c>
      <c r="F956" s="38">
        <f t="shared" si="247"/>
        <v>0</v>
      </c>
      <c r="G956" s="38">
        <f t="shared" si="247"/>
        <v>0</v>
      </c>
      <c r="H956" s="38">
        <f t="shared" si="247"/>
        <v>0</v>
      </c>
    </row>
    <row r="957" spans="1:15" ht="47.25" hidden="1" customHeight="1">
      <c r="A957" s="74" t="s">
        <v>613</v>
      </c>
      <c r="B957" s="37" t="s">
        <v>627</v>
      </c>
      <c r="C957" s="37" t="s">
        <v>603</v>
      </c>
      <c r="D957" s="37" t="s">
        <v>822</v>
      </c>
      <c r="E957" s="37" t="s">
        <v>614</v>
      </c>
      <c r="F957" s="38"/>
      <c r="G957" s="38"/>
      <c r="H957" s="38"/>
    </row>
    <row r="958" spans="1:15" ht="53.25" hidden="1" customHeight="1">
      <c r="A958" s="75" t="s">
        <v>510</v>
      </c>
      <c r="B958" s="2" t="s">
        <v>627</v>
      </c>
      <c r="C958" s="2" t="s">
        <v>603</v>
      </c>
      <c r="D958" s="37" t="s">
        <v>68</v>
      </c>
      <c r="E958" s="37" t="s">
        <v>198</v>
      </c>
      <c r="F958" s="38">
        <f>F959</f>
        <v>0</v>
      </c>
      <c r="G958" s="38">
        <f t="shared" ref="G958:H959" si="248">G959</f>
        <v>0</v>
      </c>
      <c r="H958" s="38">
        <f t="shared" si="248"/>
        <v>0</v>
      </c>
    </row>
    <row r="959" spans="1:15" ht="31.5" hidden="1" customHeight="1">
      <c r="A959" s="77" t="s">
        <v>808</v>
      </c>
      <c r="B959" s="43" t="s">
        <v>627</v>
      </c>
      <c r="C959" s="43" t="s">
        <v>603</v>
      </c>
      <c r="D959" s="43" t="s">
        <v>68</v>
      </c>
      <c r="E959" s="43" t="s">
        <v>612</v>
      </c>
      <c r="F959" s="348">
        <f>F960</f>
        <v>0</v>
      </c>
      <c r="G959" s="348">
        <f t="shared" si="248"/>
        <v>0</v>
      </c>
      <c r="H959" s="348">
        <f t="shared" si="248"/>
        <v>0</v>
      </c>
    </row>
    <row r="960" spans="1:15" ht="47.25" hidden="1" customHeight="1">
      <c r="A960" s="187"/>
      <c r="B960" s="167"/>
      <c r="C960" s="167"/>
      <c r="D960" s="167"/>
      <c r="E960" s="167"/>
      <c r="F960" s="188"/>
      <c r="G960" s="188"/>
      <c r="H960" s="188"/>
      <c r="O960" s="49"/>
    </row>
    <row r="961" spans="1:15" s="49" customFormat="1" ht="49.5" customHeight="1">
      <c r="A961" s="80" t="s">
        <v>823</v>
      </c>
      <c r="B961" s="30" t="s">
        <v>638</v>
      </c>
      <c r="C961" s="30" t="s">
        <v>103</v>
      </c>
      <c r="D961" s="30" t="s">
        <v>601</v>
      </c>
      <c r="E961" s="30" t="s">
        <v>198</v>
      </c>
      <c r="F961" s="31">
        <f>F964</f>
        <v>10</v>
      </c>
      <c r="G961" s="31">
        <f t="shared" ref="G961:H961" si="249">G964</f>
        <v>10</v>
      </c>
      <c r="H961" s="31">
        <f t="shared" si="249"/>
        <v>10</v>
      </c>
      <c r="I961" s="331"/>
      <c r="J961" s="331"/>
      <c r="K961" s="331"/>
      <c r="O961" s="24"/>
    </row>
    <row r="962" spans="1:15" ht="33.75" customHeight="1">
      <c r="A962" s="77" t="s">
        <v>824</v>
      </c>
      <c r="B962" s="43" t="s">
        <v>638</v>
      </c>
      <c r="C962" s="43" t="s">
        <v>102</v>
      </c>
      <c r="D962" s="43" t="s">
        <v>601</v>
      </c>
      <c r="E962" s="43" t="s">
        <v>198</v>
      </c>
      <c r="F962" s="348">
        <f>F963+F968</f>
        <v>10</v>
      </c>
      <c r="G962" s="348">
        <f>G963+G968</f>
        <v>10</v>
      </c>
      <c r="H962" s="348">
        <f>H963+H968</f>
        <v>10</v>
      </c>
    </row>
    <row r="963" spans="1:15" ht="81.75" customHeight="1">
      <c r="A963" s="76" t="s">
        <v>998</v>
      </c>
      <c r="B963" s="53" t="s">
        <v>638</v>
      </c>
      <c r="C963" s="53" t="s">
        <v>102</v>
      </c>
      <c r="D963" s="53" t="s">
        <v>261</v>
      </c>
      <c r="E963" s="53" t="s">
        <v>198</v>
      </c>
      <c r="F963" s="41">
        <f>F964</f>
        <v>10</v>
      </c>
      <c r="G963" s="41">
        <f t="shared" ref="F963:H971" si="250">G964</f>
        <v>10</v>
      </c>
      <c r="H963" s="41">
        <f t="shared" si="250"/>
        <v>10</v>
      </c>
    </row>
    <row r="964" spans="1:15" ht="33" customHeight="1">
      <c r="A964" s="77" t="s">
        <v>825</v>
      </c>
      <c r="B964" s="43" t="s">
        <v>638</v>
      </c>
      <c r="C964" s="43" t="s">
        <v>102</v>
      </c>
      <c r="D964" s="43" t="s">
        <v>257</v>
      </c>
      <c r="E964" s="43" t="s">
        <v>198</v>
      </c>
      <c r="F964" s="348">
        <f t="shared" si="250"/>
        <v>10</v>
      </c>
      <c r="G964" s="348">
        <f t="shared" si="250"/>
        <v>10</v>
      </c>
      <c r="H964" s="348">
        <f t="shared" si="250"/>
        <v>10</v>
      </c>
    </row>
    <row r="965" spans="1:15" ht="33.75" customHeight="1">
      <c r="A965" s="77" t="s">
        <v>826</v>
      </c>
      <c r="B965" s="43" t="s">
        <v>638</v>
      </c>
      <c r="C965" s="43" t="s">
        <v>102</v>
      </c>
      <c r="D965" s="43" t="s">
        <v>257</v>
      </c>
      <c r="E965" s="43" t="s">
        <v>198</v>
      </c>
      <c r="F965" s="348">
        <f t="shared" si="250"/>
        <v>10</v>
      </c>
      <c r="G965" s="348">
        <f t="shared" si="250"/>
        <v>10</v>
      </c>
      <c r="H965" s="348">
        <f t="shared" si="250"/>
        <v>10</v>
      </c>
    </row>
    <row r="966" spans="1:15" ht="33" customHeight="1">
      <c r="A966" s="77" t="s">
        <v>116</v>
      </c>
      <c r="B966" s="43" t="s">
        <v>638</v>
      </c>
      <c r="C966" s="43" t="s">
        <v>102</v>
      </c>
      <c r="D966" s="43" t="s">
        <v>257</v>
      </c>
      <c r="E966" s="43" t="s">
        <v>827</v>
      </c>
      <c r="F966" s="348">
        <f t="shared" si="250"/>
        <v>10</v>
      </c>
      <c r="G966" s="348">
        <f t="shared" si="250"/>
        <v>10</v>
      </c>
      <c r="H966" s="348">
        <f t="shared" si="250"/>
        <v>10</v>
      </c>
    </row>
    <row r="967" spans="1:15" ht="20.25" customHeight="1">
      <c r="A967" s="77" t="s">
        <v>123</v>
      </c>
      <c r="B967" s="43" t="s">
        <v>638</v>
      </c>
      <c r="C967" s="43" t="s">
        <v>102</v>
      </c>
      <c r="D967" s="43" t="s">
        <v>257</v>
      </c>
      <c r="E967" s="43" t="s">
        <v>828</v>
      </c>
      <c r="F967" s="348">
        <f>'5'!D226</f>
        <v>10</v>
      </c>
      <c r="G967" s="348">
        <f>'5'!E226</f>
        <v>10</v>
      </c>
      <c r="H967" s="348">
        <f>'5'!F226</f>
        <v>10</v>
      </c>
    </row>
    <row r="968" spans="1:15" ht="39" hidden="1" customHeight="1">
      <c r="A968" s="111" t="s">
        <v>724</v>
      </c>
      <c r="B968" s="112" t="s">
        <v>638</v>
      </c>
      <c r="C968" s="112" t="s">
        <v>102</v>
      </c>
      <c r="D968" s="112" t="s">
        <v>2</v>
      </c>
      <c r="E968" s="112" t="s">
        <v>198</v>
      </c>
      <c r="F968" s="113">
        <f t="shared" si="250"/>
        <v>0</v>
      </c>
      <c r="G968" s="113">
        <f t="shared" si="250"/>
        <v>0</v>
      </c>
      <c r="H968" s="113">
        <f t="shared" si="250"/>
        <v>0</v>
      </c>
    </row>
    <row r="969" spans="1:15" ht="34.9" hidden="1" customHeight="1">
      <c r="A969" s="85" t="s">
        <v>825</v>
      </c>
      <c r="B969" s="64" t="s">
        <v>638</v>
      </c>
      <c r="C969" s="64" t="s">
        <v>102</v>
      </c>
      <c r="D969" s="64" t="s">
        <v>517</v>
      </c>
      <c r="E969" s="64" t="s">
        <v>198</v>
      </c>
      <c r="F969" s="50">
        <f t="shared" si="250"/>
        <v>0</v>
      </c>
      <c r="G969" s="50">
        <f t="shared" si="250"/>
        <v>0</v>
      </c>
      <c r="H969" s="50">
        <f t="shared" si="250"/>
        <v>0</v>
      </c>
    </row>
    <row r="970" spans="1:15" ht="30" hidden="1" customHeight="1">
      <c r="A970" s="85" t="s">
        <v>826</v>
      </c>
      <c r="B970" s="64" t="s">
        <v>638</v>
      </c>
      <c r="C970" s="64" t="s">
        <v>102</v>
      </c>
      <c r="D970" s="64" t="s">
        <v>517</v>
      </c>
      <c r="E970" s="64" t="s">
        <v>198</v>
      </c>
      <c r="F970" s="50">
        <f t="shared" si="250"/>
        <v>0</v>
      </c>
      <c r="G970" s="50">
        <f t="shared" si="250"/>
        <v>0</v>
      </c>
      <c r="H970" s="50">
        <f t="shared" si="250"/>
        <v>0</v>
      </c>
    </row>
    <row r="971" spans="1:15" ht="36.75" hidden="1" customHeight="1">
      <c r="A971" s="85" t="s">
        <v>116</v>
      </c>
      <c r="B971" s="64" t="s">
        <v>638</v>
      </c>
      <c r="C971" s="64" t="s">
        <v>102</v>
      </c>
      <c r="D971" s="64" t="s">
        <v>517</v>
      </c>
      <c r="E971" s="64" t="s">
        <v>827</v>
      </c>
      <c r="F971" s="50">
        <f t="shared" si="250"/>
        <v>0</v>
      </c>
      <c r="G971" s="50">
        <f t="shared" si="250"/>
        <v>0</v>
      </c>
      <c r="H971" s="50">
        <f t="shared" si="250"/>
        <v>0</v>
      </c>
    </row>
    <row r="972" spans="1:15" ht="21" hidden="1" customHeight="1">
      <c r="A972" s="85" t="s">
        <v>123</v>
      </c>
      <c r="B972" s="64" t="s">
        <v>638</v>
      </c>
      <c r="C972" s="64" t="s">
        <v>102</v>
      </c>
      <c r="D972" s="64" t="s">
        <v>517</v>
      </c>
      <c r="E972" s="64" t="s">
        <v>828</v>
      </c>
      <c r="F972" s="50">
        <v>0</v>
      </c>
      <c r="G972" s="50">
        <v>0</v>
      </c>
      <c r="H972" s="50">
        <v>0</v>
      </c>
      <c r="O972" s="49"/>
    </row>
    <row r="973" spans="1:15" s="49" customFormat="1" ht="79.150000000000006" customHeight="1">
      <c r="A973" s="80" t="s">
        <v>829</v>
      </c>
      <c r="B973" s="30" t="s">
        <v>830</v>
      </c>
      <c r="C973" s="30" t="s">
        <v>103</v>
      </c>
      <c r="D973" s="30" t="s">
        <v>601</v>
      </c>
      <c r="E973" s="30" t="s">
        <v>198</v>
      </c>
      <c r="F973" s="31">
        <f>F979+F981+F987</f>
        <v>19919.803999999996</v>
      </c>
      <c r="G973" s="31">
        <f t="shared" ref="G973" si="251">G979+G981+G987</f>
        <v>11540.454</v>
      </c>
      <c r="H973" s="31">
        <f>H979+H981+H987</f>
        <v>11440.454</v>
      </c>
      <c r="I973" s="331"/>
      <c r="J973" s="331"/>
      <c r="K973" s="331"/>
    </row>
    <row r="974" spans="1:15" s="49" customFormat="1" ht="79.5" customHeight="1">
      <c r="A974" s="153" t="s">
        <v>445</v>
      </c>
      <c r="B974" s="150" t="s">
        <v>830</v>
      </c>
      <c r="C974" s="150" t="s">
        <v>103</v>
      </c>
      <c r="D974" s="150" t="s">
        <v>261</v>
      </c>
      <c r="E974" s="150" t="s">
        <v>198</v>
      </c>
      <c r="F974" s="54">
        <f>F975+F981+F987+F990+F991</f>
        <v>19919.803999999996</v>
      </c>
      <c r="G974" s="54">
        <f>G975+G981+G987</f>
        <v>11540.454</v>
      </c>
      <c r="H974" s="54">
        <f>H975+H981+H987</f>
        <v>11440.454</v>
      </c>
      <c r="O974" s="24"/>
    </row>
    <row r="975" spans="1:15" ht="48.75" hidden="1" customHeight="1">
      <c r="A975" s="81" t="s">
        <v>831</v>
      </c>
      <c r="B975" s="59" t="s">
        <v>830</v>
      </c>
      <c r="C975" s="59" t="s">
        <v>102</v>
      </c>
      <c r="D975" s="59" t="s">
        <v>261</v>
      </c>
      <c r="E975" s="59" t="s">
        <v>198</v>
      </c>
      <c r="F975" s="96">
        <f>F976</f>
        <v>10840.454</v>
      </c>
      <c r="G975" s="96">
        <f t="shared" ref="G975:H977" si="252">G976</f>
        <v>10840.454</v>
      </c>
      <c r="H975" s="96">
        <f t="shared" si="252"/>
        <v>10840.454</v>
      </c>
    </row>
    <row r="976" spans="1:15" ht="50.25" customHeight="1">
      <c r="A976" s="76" t="s">
        <v>832</v>
      </c>
      <c r="B976" s="53" t="s">
        <v>830</v>
      </c>
      <c r="C976" s="53" t="s">
        <v>102</v>
      </c>
      <c r="D976" s="53" t="s">
        <v>254</v>
      </c>
      <c r="E976" s="53" t="s">
        <v>198</v>
      </c>
      <c r="F976" s="41">
        <f>F977</f>
        <v>10840.454</v>
      </c>
      <c r="G976" s="41">
        <f t="shared" si="252"/>
        <v>10840.454</v>
      </c>
      <c r="H976" s="41">
        <f t="shared" si="252"/>
        <v>10840.454</v>
      </c>
    </row>
    <row r="977" spans="1:15" ht="18.75" customHeight="1">
      <c r="A977" s="77" t="s">
        <v>674</v>
      </c>
      <c r="B977" s="43" t="s">
        <v>830</v>
      </c>
      <c r="C977" s="43" t="s">
        <v>102</v>
      </c>
      <c r="D977" s="43" t="s">
        <v>254</v>
      </c>
      <c r="E977" s="43" t="s">
        <v>198</v>
      </c>
      <c r="F977" s="348">
        <f>F978</f>
        <v>10840.454</v>
      </c>
      <c r="G977" s="348">
        <f t="shared" si="252"/>
        <v>10840.454</v>
      </c>
      <c r="H977" s="348">
        <f>H978</f>
        <v>10840.454</v>
      </c>
      <c r="O977" s="40"/>
    </row>
    <row r="978" spans="1:15" s="40" customFormat="1" ht="96.6" customHeight="1">
      <c r="A978" s="76" t="s">
        <v>175</v>
      </c>
      <c r="B978" s="53" t="s">
        <v>830</v>
      </c>
      <c r="C978" s="53" t="s">
        <v>102</v>
      </c>
      <c r="D978" s="53" t="s">
        <v>254</v>
      </c>
      <c r="E978" s="53" t="s">
        <v>198</v>
      </c>
      <c r="F978" s="41">
        <f>F979</f>
        <v>10840.454</v>
      </c>
      <c r="G978" s="41">
        <f>G979</f>
        <v>10840.454</v>
      </c>
      <c r="H978" s="41">
        <f>H979</f>
        <v>10840.454</v>
      </c>
      <c r="O978" s="24"/>
    </row>
    <row r="979" spans="1:15" ht="18" customHeight="1">
      <c r="A979" s="77" t="s">
        <v>833</v>
      </c>
      <c r="B979" s="43" t="s">
        <v>830</v>
      </c>
      <c r="C979" s="43" t="s">
        <v>102</v>
      </c>
      <c r="D979" s="43" t="s">
        <v>254</v>
      </c>
      <c r="E979" s="43" t="s">
        <v>834</v>
      </c>
      <c r="F979" s="348">
        <f>'5'!D227</f>
        <v>10840.454</v>
      </c>
      <c r="G979" s="348">
        <f>'5'!E227</f>
        <v>10840.454</v>
      </c>
      <c r="H979" s="348">
        <f>'5'!F227</f>
        <v>10840.454</v>
      </c>
    </row>
    <row r="980" spans="1:15" ht="51" customHeight="1">
      <c r="A980" s="76" t="s">
        <v>168</v>
      </c>
      <c r="B980" s="53" t="s">
        <v>830</v>
      </c>
      <c r="C980" s="53" t="s">
        <v>102</v>
      </c>
      <c r="D980" s="53" t="s">
        <v>255</v>
      </c>
      <c r="E980" s="53" t="s">
        <v>198</v>
      </c>
      <c r="F980" s="41">
        <f>F981</f>
        <v>7899</v>
      </c>
      <c r="G980" s="41">
        <f t="shared" ref="G980:H980" si="253">G981</f>
        <v>650</v>
      </c>
      <c r="H980" s="41">
        <f t="shared" si="253"/>
        <v>600</v>
      </c>
    </row>
    <row r="981" spans="1:15" ht="16.5" customHeight="1">
      <c r="A981" s="77" t="s">
        <v>833</v>
      </c>
      <c r="B981" s="43" t="s">
        <v>830</v>
      </c>
      <c r="C981" s="43" t="s">
        <v>102</v>
      </c>
      <c r="D981" s="43" t="s">
        <v>255</v>
      </c>
      <c r="E981" s="43" t="s">
        <v>834</v>
      </c>
      <c r="F981" s="348">
        <f>'5'!D228</f>
        <v>7899</v>
      </c>
      <c r="G981" s="348">
        <f>'5'!E228</f>
        <v>650</v>
      </c>
      <c r="H981" s="348">
        <f>'5'!F228</f>
        <v>600</v>
      </c>
    </row>
    <row r="982" spans="1:15" ht="47.25" hidden="1" customHeight="1">
      <c r="A982" s="77" t="s">
        <v>168</v>
      </c>
      <c r="B982" s="43" t="s">
        <v>830</v>
      </c>
      <c r="C982" s="43" t="s">
        <v>102</v>
      </c>
      <c r="D982" s="43" t="s">
        <v>8</v>
      </c>
      <c r="E982" s="43" t="s">
        <v>198</v>
      </c>
      <c r="F982" s="348">
        <f>F983</f>
        <v>0</v>
      </c>
      <c r="G982" s="348">
        <f>G983</f>
        <v>0</v>
      </c>
      <c r="H982" s="348">
        <f>H983</f>
        <v>0</v>
      </c>
    </row>
    <row r="983" spans="1:15" ht="15.75" hidden="1" customHeight="1">
      <c r="A983" s="77" t="s">
        <v>654</v>
      </c>
      <c r="B983" s="43" t="s">
        <v>830</v>
      </c>
      <c r="C983" s="43" t="s">
        <v>102</v>
      </c>
      <c r="D983" s="43" t="s">
        <v>8</v>
      </c>
      <c r="E983" s="43" t="s">
        <v>834</v>
      </c>
      <c r="F983" s="348"/>
      <c r="G983" s="348"/>
      <c r="H983" s="348"/>
    </row>
    <row r="984" spans="1:15" ht="33" hidden="1" customHeight="1">
      <c r="A984" s="81" t="s">
        <v>835</v>
      </c>
      <c r="B984" s="59" t="s">
        <v>830</v>
      </c>
      <c r="C984" s="59" t="s">
        <v>105</v>
      </c>
      <c r="D984" s="59" t="s">
        <v>261</v>
      </c>
      <c r="E984" s="59" t="s">
        <v>198</v>
      </c>
      <c r="F984" s="96">
        <f>F985</f>
        <v>1180.3500000000001</v>
      </c>
      <c r="G984" s="96">
        <f t="shared" ref="G984:H984" si="254">G985</f>
        <v>50</v>
      </c>
      <c r="H984" s="96">
        <f t="shared" si="254"/>
        <v>0</v>
      </c>
    </row>
    <row r="985" spans="1:15" ht="33" customHeight="1">
      <c r="A985" s="77" t="s">
        <v>222</v>
      </c>
      <c r="B985" s="43" t="s">
        <v>830</v>
      </c>
      <c r="C985" s="43" t="s">
        <v>105</v>
      </c>
      <c r="D985" s="43" t="s">
        <v>261</v>
      </c>
      <c r="E985" s="43" t="s">
        <v>198</v>
      </c>
      <c r="F985" s="348">
        <f>F986</f>
        <v>1180.3500000000001</v>
      </c>
      <c r="G985" s="348">
        <f t="shared" ref="G985:H986" si="255">G986</f>
        <v>50</v>
      </c>
      <c r="H985" s="348">
        <f t="shared" si="255"/>
        <v>0</v>
      </c>
    </row>
    <row r="986" spans="1:15" ht="18.75" customHeight="1">
      <c r="A986" s="77" t="s">
        <v>674</v>
      </c>
      <c r="B986" s="43" t="s">
        <v>830</v>
      </c>
      <c r="C986" s="43" t="s">
        <v>105</v>
      </c>
      <c r="D986" s="43" t="s">
        <v>261</v>
      </c>
      <c r="E986" s="43" t="s">
        <v>675</v>
      </c>
      <c r="F986" s="348">
        <f>F987</f>
        <v>1180.3500000000001</v>
      </c>
      <c r="G986" s="348">
        <f t="shared" si="255"/>
        <v>50</v>
      </c>
      <c r="H986" s="348">
        <f t="shared" si="255"/>
        <v>0</v>
      </c>
    </row>
    <row r="987" spans="1:15" ht="17.25" customHeight="1">
      <c r="A987" s="77" t="s">
        <v>166</v>
      </c>
      <c r="B987" s="43" t="s">
        <v>830</v>
      </c>
      <c r="C987" s="43" t="s">
        <v>105</v>
      </c>
      <c r="D987" s="43" t="s">
        <v>256</v>
      </c>
      <c r="E987" s="43" t="s">
        <v>692</v>
      </c>
      <c r="F987" s="348">
        <f>'5'!D229+'5'!D231</f>
        <v>1180.3500000000001</v>
      </c>
      <c r="G987" s="348">
        <f>'5'!E229+'5'!E231</f>
        <v>50</v>
      </c>
      <c r="H987" s="348">
        <f>'5'!F229+'5'!F231</f>
        <v>0</v>
      </c>
    </row>
    <row r="988" spans="1:15" ht="31.5" hidden="1" customHeight="1">
      <c r="A988" s="74" t="s">
        <v>835</v>
      </c>
      <c r="B988" s="37" t="s">
        <v>830</v>
      </c>
      <c r="C988" s="37" t="s">
        <v>105</v>
      </c>
      <c r="D988" s="37" t="s">
        <v>256</v>
      </c>
      <c r="E988" s="37" t="s">
        <v>692</v>
      </c>
      <c r="F988" s="348">
        <f>F989</f>
        <v>0</v>
      </c>
      <c r="G988" s="38">
        <f>G989</f>
        <v>0</v>
      </c>
      <c r="H988" s="38">
        <f>H989</f>
        <v>0</v>
      </c>
    </row>
    <row r="989" spans="1:15" ht="15.75" hidden="1" customHeight="1">
      <c r="A989" s="74" t="s">
        <v>674</v>
      </c>
      <c r="B989" s="37" t="s">
        <v>830</v>
      </c>
      <c r="C989" s="37" t="s">
        <v>105</v>
      </c>
      <c r="D989" s="37" t="s">
        <v>256</v>
      </c>
      <c r="E989" s="37" t="s">
        <v>692</v>
      </c>
      <c r="F989" s="348"/>
      <c r="G989" s="38"/>
      <c r="H989" s="38"/>
    </row>
    <row r="990" spans="1:15" ht="141.75" hidden="1" customHeight="1">
      <c r="A990" s="74" t="s">
        <v>246</v>
      </c>
      <c r="B990" s="37" t="s">
        <v>830</v>
      </c>
      <c r="C990" s="37" t="s">
        <v>105</v>
      </c>
      <c r="D990" s="37" t="s">
        <v>256</v>
      </c>
      <c r="E990" s="37" t="s">
        <v>692</v>
      </c>
      <c r="F990" s="348"/>
      <c r="G990" s="38"/>
      <c r="H990" s="38"/>
    </row>
    <row r="991" spans="1:15" ht="78.75" hidden="1" customHeight="1">
      <c r="A991" s="74" t="s">
        <v>836</v>
      </c>
      <c r="B991" s="37" t="s">
        <v>830</v>
      </c>
      <c r="C991" s="37" t="s">
        <v>105</v>
      </c>
      <c r="D991" s="37" t="s">
        <v>837</v>
      </c>
      <c r="E991" s="37" t="s">
        <v>692</v>
      </c>
      <c r="F991" s="348"/>
      <c r="G991" s="38"/>
      <c r="H991" s="38"/>
    </row>
    <row r="992" spans="1:15" ht="31.5" hidden="1" customHeight="1">
      <c r="A992" s="119" t="s">
        <v>724</v>
      </c>
      <c r="B992" s="120" t="s">
        <v>830</v>
      </c>
      <c r="C992" s="120" t="s">
        <v>103</v>
      </c>
      <c r="D992" s="120" t="s">
        <v>2</v>
      </c>
      <c r="E992" s="120" t="s">
        <v>198</v>
      </c>
      <c r="F992" s="121">
        <f>F993+F995+F997</f>
        <v>0</v>
      </c>
      <c r="G992" s="121">
        <f>G993+G995+G997</f>
        <v>0</v>
      </c>
      <c r="H992" s="121">
        <f>H993+H995+H997</f>
        <v>0</v>
      </c>
    </row>
    <row r="993" spans="1:15" ht="110.25" hidden="1" customHeight="1">
      <c r="A993" s="116" t="s">
        <v>175</v>
      </c>
      <c r="B993" s="117" t="s">
        <v>830</v>
      </c>
      <c r="C993" s="117" t="s">
        <v>102</v>
      </c>
      <c r="D993" s="117" t="s">
        <v>237</v>
      </c>
      <c r="E993" s="117" t="s">
        <v>675</v>
      </c>
      <c r="F993" s="118">
        <f>F994</f>
        <v>0</v>
      </c>
      <c r="G993" s="118">
        <f>G994</f>
        <v>0</v>
      </c>
      <c r="H993" s="118">
        <f>H994</f>
        <v>0</v>
      </c>
    </row>
    <row r="994" spans="1:15" ht="15.75" hidden="1" customHeight="1">
      <c r="A994" s="116" t="s">
        <v>833</v>
      </c>
      <c r="B994" s="117" t="s">
        <v>830</v>
      </c>
      <c r="C994" s="117" t="s">
        <v>102</v>
      </c>
      <c r="D994" s="117" t="s">
        <v>237</v>
      </c>
      <c r="E994" s="117" t="s">
        <v>834</v>
      </c>
      <c r="F994" s="118">
        <v>0</v>
      </c>
      <c r="G994" s="115">
        <f>'5'!E336</f>
        <v>0</v>
      </c>
      <c r="H994" s="115">
        <f>'5'!F336</f>
        <v>0</v>
      </c>
    </row>
    <row r="995" spans="1:15" ht="47.25" hidden="1" customHeight="1">
      <c r="A995" s="116" t="s">
        <v>168</v>
      </c>
      <c r="B995" s="117" t="s">
        <v>830</v>
      </c>
      <c r="C995" s="117" t="s">
        <v>102</v>
      </c>
      <c r="D995" s="117" t="s">
        <v>518</v>
      </c>
      <c r="E995" s="117" t="s">
        <v>675</v>
      </c>
      <c r="F995" s="118">
        <f>F996</f>
        <v>0</v>
      </c>
      <c r="G995" s="118">
        <f>G996</f>
        <v>0</v>
      </c>
      <c r="H995" s="118">
        <f>H996</f>
        <v>0</v>
      </c>
    </row>
    <row r="996" spans="1:15" ht="15.75" hidden="1" customHeight="1">
      <c r="A996" s="116" t="s">
        <v>833</v>
      </c>
      <c r="B996" s="117" t="s">
        <v>830</v>
      </c>
      <c r="C996" s="117" t="s">
        <v>102</v>
      </c>
      <c r="D996" s="117" t="s">
        <v>518</v>
      </c>
      <c r="E996" s="117" t="s">
        <v>834</v>
      </c>
      <c r="F996" s="118">
        <v>0</v>
      </c>
      <c r="G996" s="118">
        <f>'5'!E337</f>
        <v>0</v>
      </c>
      <c r="H996" s="118">
        <f>'5'!F337</f>
        <v>0</v>
      </c>
    </row>
    <row r="997" spans="1:15" ht="31.5" hidden="1" customHeight="1">
      <c r="A997" s="116" t="s">
        <v>835</v>
      </c>
      <c r="B997" s="117" t="s">
        <v>830</v>
      </c>
      <c r="C997" s="117" t="s">
        <v>105</v>
      </c>
      <c r="D997" s="117" t="s">
        <v>519</v>
      </c>
      <c r="E997" s="117" t="s">
        <v>675</v>
      </c>
      <c r="F997" s="118">
        <f>F998</f>
        <v>0</v>
      </c>
      <c r="G997" s="118">
        <f>G998</f>
        <v>0</v>
      </c>
      <c r="H997" s="118">
        <f>H998</f>
        <v>0</v>
      </c>
    </row>
    <row r="998" spans="1:15" ht="15.75" hidden="1" customHeight="1">
      <c r="A998" s="116" t="s">
        <v>166</v>
      </c>
      <c r="B998" s="117" t="s">
        <v>830</v>
      </c>
      <c r="C998" s="117" t="s">
        <v>105</v>
      </c>
      <c r="D998" s="117" t="s">
        <v>519</v>
      </c>
      <c r="E998" s="117" t="s">
        <v>692</v>
      </c>
      <c r="F998" s="118">
        <v>0</v>
      </c>
      <c r="G998" s="118">
        <f>'5'!E338</f>
        <v>0</v>
      </c>
      <c r="H998" s="118">
        <f>'5'!F338</f>
        <v>0</v>
      </c>
      <c r="O998" s="49"/>
    </row>
    <row r="999" spans="1:15" s="49" customFormat="1" ht="20.25" customHeight="1">
      <c r="A999" s="46" t="s">
        <v>514</v>
      </c>
      <c r="B999" s="34"/>
      <c r="C999" s="34"/>
      <c r="D999" s="34"/>
      <c r="E999" s="34"/>
      <c r="F999" s="35">
        <v>0</v>
      </c>
      <c r="G999" s="65">
        <f>'5'!E339</f>
        <v>10733.266275000002</v>
      </c>
      <c r="H999" s="65">
        <f>'5'!F339</f>
        <v>22757.532550000004</v>
      </c>
      <c r="I999" s="331"/>
      <c r="J999" s="331"/>
      <c r="K999" s="331"/>
      <c r="O999" s="24"/>
    </row>
    <row r="1000" spans="1:15" ht="18" customHeight="1">
      <c r="A1000" s="3" t="s">
        <v>125</v>
      </c>
      <c r="B1000" s="375"/>
      <c r="C1000" s="375"/>
      <c r="D1000" s="375"/>
      <c r="E1000" s="375"/>
      <c r="F1000" s="52">
        <f>F973+F961+F890+F799+F700+F413+F403+F339+F247+F231+F13</f>
        <v>1078241.3671951515</v>
      </c>
      <c r="G1000" s="52">
        <f>G13+G231+G247+G339+G403+G413+G700+G799+G890+G961+G973+G999</f>
        <v>938077.19989901269</v>
      </c>
      <c r="H1000" s="52">
        <f>H13+H231+H247+H339+H403+H413+H700+H799+H890+H961+H973+H999</f>
        <v>1000450.9043812489</v>
      </c>
    </row>
    <row r="1001" spans="1:15">
      <c r="A1001" s="66"/>
      <c r="B1001" s="66"/>
      <c r="C1001" s="67"/>
      <c r="D1001" s="68"/>
      <c r="E1001" s="67"/>
      <c r="F1001" s="89"/>
      <c r="G1001" s="90"/>
      <c r="H1001" s="90"/>
    </row>
    <row r="1002" spans="1:15">
      <c r="D1002" s="69"/>
      <c r="E1002" s="70"/>
      <c r="F1002" s="97"/>
      <c r="G1002" s="97"/>
      <c r="H1002" s="97"/>
    </row>
    <row r="1003" spans="1:15">
      <c r="D1003" s="139"/>
      <c r="E1003" s="140"/>
      <c r="F1003" s="163"/>
      <c r="G1003" s="163"/>
      <c r="H1003" s="163"/>
    </row>
    <row r="1004" spans="1:15">
      <c r="A1004" s="91"/>
      <c r="B1004" s="24"/>
      <c r="C1004" s="24"/>
      <c r="D1004" s="142"/>
      <c r="E1004" s="143"/>
      <c r="F1004" s="164"/>
      <c r="G1004" s="164"/>
      <c r="H1004" s="164"/>
    </row>
    <row r="1005" spans="1:15">
      <c r="A1005" s="91"/>
      <c r="B1005" s="24"/>
      <c r="C1005" s="24"/>
      <c r="D1005" s="145"/>
      <c r="E1005" s="145"/>
      <c r="F1005" s="5"/>
      <c r="G1005" s="5"/>
      <c r="H1005" s="5"/>
    </row>
    <row r="1006" spans="1:15" ht="15">
      <c r="A1006" s="91"/>
      <c r="B1006" s="24"/>
      <c r="C1006" s="24"/>
      <c r="D1006" s="144"/>
      <c r="E1006" s="144"/>
      <c r="F1006" s="146"/>
      <c r="G1006" s="146"/>
      <c r="H1006" s="146"/>
    </row>
    <row r="1007" spans="1:15" ht="15">
      <c r="A1007" s="91"/>
      <c r="B1007" s="24"/>
      <c r="C1007" s="24"/>
      <c r="D1007" s="144"/>
      <c r="E1007" s="144"/>
      <c r="F1007" s="144"/>
      <c r="G1007" s="144"/>
      <c r="H1007" s="144"/>
    </row>
    <row r="1008" spans="1:15" ht="15">
      <c r="A1008" s="91"/>
      <c r="B1008" s="24"/>
      <c r="C1008" s="24"/>
      <c r="D1008" s="144"/>
      <c r="E1008" s="147"/>
      <c r="F1008" s="144"/>
      <c r="G1008" s="147"/>
      <c r="H1008" s="147"/>
    </row>
    <row r="1009" spans="4:8">
      <c r="D1009" s="141"/>
      <c r="E1009" s="141"/>
      <c r="F1009" s="42"/>
      <c r="G1009" s="42"/>
      <c r="H1009" s="42"/>
    </row>
    <row r="1010" spans="4:8">
      <c r="D1010" s="141"/>
      <c r="E1010" s="141"/>
      <c r="F1010" s="42"/>
      <c r="G1010" s="42"/>
      <c r="H1010" s="42"/>
    </row>
    <row r="1011" spans="4:8">
      <c r="D1011" s="141"/>
      <c r="E1011" s="141"/>
      <c r="F1011" s="138"/>
      <c r="G1011" s="138"/>
      <c r="H1011" s="138"/>
    </row>
    <row r="1012" spans="4:8">
      <c r="F1012" s="42"/>
      <c r="G1012" s="42"/>
      <c r="H1012" s="42"/>
    </row>
    <row r="1013" spans="4:8">
      <c r="F1013" s="42"/>
      <c r="G1013" s="42"/>
      <c r="H1013" s="42"/>
    </row>
  </sheetData>
  <autoFilter ref="A10:H281"/>
  <mergeCells count="15">
    <mergeCell ref="A1:H1"/>
    <mergeCell ref="A2:H2"/>
    <mergeCell ref="A3:H3"/>
    <mergeCell ref="A4:H4"/>
    <mergeCell ref="A6:H6"/>
    <mergeCell ref="A7:H7"/>
    <mergeCell ref="A8:H8"/>
    <mergeCell ref="A10:A11"/>
    <mergeCell ref="B10:B11"/>
    <mergeCell ref="C10:C11"/>
    <mergeCell ref="D10:D11"/>
    <mergeCell ref="E10:E11"/>
    <mergeCell ref="F10:F11"/>
    <mergeCell ref="G10:G11"/>
    <mergeCell ref="H10:H11"/>
  </mergeCells>
  <pageMargins left="0.7" right="0.7" top="0.75" bottom="0.75" header="0.3" footer="0.3"/>
  <pageSetup paperSize="9" scale="63" orientation="portrait" r:id="rId1"/>
  <rowBreaks count="1" manualBreakCount="1">
    <brk id="3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033"/>
  <sheetViews>
    <sheetView view="pageBreakPreview" topLeftCell="A469" zoomScaleSheetLayoutView="100" workbookViewId="0">
      <selection activeCell="E387" sqref="E387"/>
    </sheetView>
  </sheetViews>
  <sheetFormatPr defaultColWidth="8.7109375" defaultRowHeight="15.75"/>
  <cols>
    <col min="1" max="1" width="43.28515625" style="189" customWidth="1"/>
    <col min="2" max="2" width="5.42578125" style="13" customWidth="1"/>
    <col min="3" max="3" width="4.7109375" style="13" customWidth="1"/>
    <col min="4" max="4" width="5.28515625" style="13" customWidth="1"/>
    <col min="5" max="5" width="15.85546875" style="13" customWidth="1"/>
    <col min="6" max="6" width="5.28515625" style="13" customWidth="1"/>
    <col min="7" max="7" width="17.7109375" style="13" customWidth="1"/>
    <col min="8" max="8" width="20.140625" style="13" customWidth="1"/>
    <col min="9" max="9" width="17.28515625" style="13" customWidth="1"/>
    <col min="10" max="10" width="17.28515625" style="13" bestFit="1" customWidth="1"/>
    <col min="11" max="11" width="16.28515625" style="13" customWidth="1"/>
    <col min="12" max="12" width="20" style="13" customWidth="1"/>
    <col min="13" max="13" width="16.28515625" style="13" customWidth="1"/>
    <col min="14" max="15" width="17" style="13" customWidth="1"/>
    <col min="16" max="16384" width="8.7109375" style="13"/>
  </cols>
  <sheetData>
    <row r="1" spans="1:13">
      <c r="B1" s="373"/>
      <c r="C1" s="373"/>
      <c r="D1" s="373"/>
      <c r="F1" s="373"/>
      <c r="G1" s="373"/>
      <c r="H1" s="397" t="s">
        <v>838</v>
      </c>
      <c r="I1" s="397"/>
    </row>
    <row r="2" spans="1:13">
      <c r="A2" s="400" t="s">
        <v>195</v>
      </c>
      <c r="B2" s="400"/>
      <c r="C2" s="400"/>
      <c r="D2" s="400"/>
      <c r="E2" s="400"/>
      <c r="F2" s="400"/>
      <c r="G2" s="400"/>
      <c r="H2" s="400"/>
      <c r="I2" s="400"/>
    </row>
    <row r="3" spans="1:13">
      <c r="A3" s="397" t="s">
        <v>214</v>
      </c>
      <c r="B3" s="397"/>
      <c r="C3" s="397"/>
      <c r="D3" s="397"/>
      <c r="E3" s="397"/>
      <c r="F3" s="397"/>
      <c r="G3" s="397"/>
      <c r="H3" s="397"/>
      <c r="I3" s="397"/>
    </row>
    <row r="4" spans="1:13">
      <c r="A4" s="397" t="s">
        <v>1152</v>
      </c>
      <c r="B4" s="397"/>
      <c r="C4" s="397"/>
      <c r="D4" s="397"/>
      <c r="E4" s="397"/>
      <c r="F4" s="397"/>
      <c r="G4" s="397"/>
      <c r="H4" s="397"/>
      <c r="I4" s="397"/>
    </row>
    <row r="6" spans="1:13">
      <c r="A6" s="401" t="s">
        <v>197</v>
      </c>
      <c r="B6" s="401"/>
      <c r="C6" s="401"/>
      <c r="D6" s="401"/>
      <c r="E6" s="401"/>
      <c r="F6" s="401"/>
      <c r="G6" s="401"/>
      <c r="H6" s="401"/>
      <c r="I6" s="401"/>
    </row>
    <row r="7" spans="1:13" ht="35.65" customHeight="1">
      <c r="A7" s="395" t="s">
        <v>1024</v>
      </c>
      <c r="B7" s="395"/>
      <c r="C7" s="395"/>
      <c r="D7" s="395"/>
      <c r="E7" s="395"/>
      <c r="F7" s="395"/>
      <c r="G7" s="395"/>
      <c r="H7" s="395"/>
      <c r="I7" s="395"/>
    </row>
    <row r="9" spans="1:13">
      <c r="I9" s="373" t="s">
        <v>96</v>
      </c>
    </row>
    <row r="10" spans="1:13" ht="15" customHeight="1">
      <c r="A10" s="399" t="s">
        <v>182</v>
      </c>
      <c r="B10" s="396" t="s">
        <v>839</v>
      </c>
      <c r="C10" s="396" t="s">
        <v>99</v>
      </c>
      <c r="D10" s="396" t="s">
        <v>100</v>
      </c>
      <c r="E10" s="396" t="s">
        <v>183</v>
      </c>
      <c r="F10" s="396" t="s">
        <v>840</v>
      </c>
      <c r="G10" s="396" t="s">
        <v>841</v>
      </c>
      <c r="H10" s="396" t="s">
        <v>887</v>
      </c>
      <c r="I10" s="396" t="s">
        <v>1025</v>
      </c>
    </row>
    <row r="11" spans="1:13" ht="57.75" customHeight="1">
      <c r="A11" s="399"/>
      <c r="B11" s="396"/>
      <c r="C11" s="396"/>
      <c r="D11" s="396"/>
      <c r="E11" s="396"/>
      <c r="F11" s="396"/>
      <c r="G11" s="396"/>
      <c r="H11" s="396"/>
      <c r="I11" s="396"/>
    </row>
    <row r="12" spans="1:13" ht="34.5" customHeight="1">
      <c r="A12" s="80" t="s">
        <v>842</v>
      </c>
      <c r="B12" s="190">
        <v>951</v>
      </c>
      <c r="C12" s="190" t="s">
        <v>103</v>
      </c>
      <c r="D12" s="190" t="s">
        <v>103</v>
      </c>
      <c r="E12" s="190" t="s">
        <v>601</v>
      </c>
      <c r="F12" s="190" t="s">
        <v>198</v>
      </c>
      <c r="G12" s="31">
        <f>G13+G152+G157+G176+G192+G283+G342+G352+G422+G528+G604+G651+G522</f>
        <v>254919.85777</v>
      </c>
      <c r="H12" s="31">
        <f>H13+H152+H157+H176+H192+H283+H342+H352+H422+H528+H604+H651+H522</f>
        <v>207166.47872381055</v>
      </c>
      <c r="I12" s="31">
        <f>I13+I152+I157+I176+I192+I283+I342+I352+I422+I528+I604+I651+I522</f>
        <v>223925.08092604653</v>
      </c>
      <c r="J12" s="90"/>
      <c r="K12" s="90"/>
      <c r="L12" s="90"/>
      <c r="M12" s="90"/>
    </row>
    <row r="13" spans="1:13" ht="32.25" customHeight="1">
      <c r="A13" s="73" t="s">
        <v>600</v>
      </c>
      <c r="B13" s="191">
        <v>951</v>
      </c>
      <c r="C13" s="191" t="s">
        <v>102</v>
      </c>
      <c r="D13" s="191" t="s">
        <v>103</v>
      </c>
      <c r="E13" s="191" t="s">
        <v>601</v>
      </c>
      <c r="F13" s="191" t="s">
        <v>198</v>
      </c>
      <c r="G13" s="35">
        <f>G14+G20+G30+G37+G43+G34</f>
        <v>79961.564999999988</v>
      </c>
      <c r="H13" s="35">
        <f>H14+H20+H30+H37+H43+H34</f>
        <v>70794.879939999999</v>
      </c>
      <c r="I13" s="35">
        <f t="shared" ref="I13" si="0">I14+I20+I30+I37+I43+I34</f>
        <v>66919.685240000006</v>
      </c>
      <c r="J13" s="90"/>
      <c r="K13" s="90"/>
      <c r="L13" s="90"/>
      <c r="M13" s="90"/>
    </row>
    <row r="14" spans="1:13" ht="47.25" customHeight="1">
      <c r="A14" s="77" t="s">
        <v>602</v>
      </c>
      <c r="B14" s="58">
        <v>951</v>
      </c>
      <c r="C14" s="43" t="s">
        <v>102</v>
      </c>
      <c r="D14" s="43" t="s">
        <v>603</v>
      </c>
      <c r="E14" s="43" t="s">
        <v>601</v>
      </c>
      <c r="F14" s="43" t="s">
        <v>198</v>
      </c>
      <c r="G14" s="348">
        <f>G15</f>
        <v>3270.7910000000002</v>
      </c>
      <c r="H14" s="348">
        <f>H15</f>
        <v>3433.2802999999999</v>
      </c>
      <c r="I14" s="348">
        <f>I15</f>
        <v>3603.8943800000002</v>
      </c>
      <c r="M14" s="90"/>
    </row>
    <row r="15" spans="1:13" ht="36" customHeight="1">
      <c r="A15" s="77" t="s">
        <v>604</v>
      </c>
      <c r="B15" s="58">
        <v>951</v>
      </c>
      <c r="C15" s="43" t="s">
        <v>102</v>
      </c>
      <c r="D15" s="43" t="s">
        <v>603</v>
      </c>
      <c r="E15" s="43" t="s">
        <v>1</v>
      </c>
      <c r="F15" s="43" t="s">
        <v>198</v>
      </c>
      <c r="G15" s="348">
        <f t="shared" ref="G15:I18" si="1">G16</f>
        <v>3270.7910000000002</v>
      </c>
      <c r="H15" s="348">
        <f t="shared" si="1"/>
        <v>3433.2802999999999</v>
      </c>
      <c r="I15" s="348">
        <f t="shared" si="1"/>
        <v>3603.8943800000002</v>
      </c>
    </row>
    <row r="16" spans="1:13" ht="45.75" customHeight="1">
      <c r="A16" s="77" t="s">
        <v>104</v>
      </c>
      <c r="B16" s="58">
        <v>951</v>
      </c>
      <c r="C16" s="43" t="s">
        <v>102</v>
      </c>
      <c r="D16" s="43" t="s">
        <v>603</v>
      </c>
      <c r="E16" s="43" t="s">
        <v>2</v>
      </c>
      <c r="F16" s="43" t="s">
        <v>198</v>
      </c>
      <c r="G16" s="348">
        <f t="shared" si="1"/>
        <v>3270.7910000000002</v>
      </c>
      <c r="H16" s="348">
        <f t="shared" si="1"/>
        <v>3433.2802999999999</v>
      </c>
      <c r="I16" s="348">
        <f t="shared" si="1"/>
        <v>3603.8943800000002</v>
      </c>
    </row>
    <row r="17" spans="1:9" ht="16.5" customHeight="1">
      <c r="A17" s="77" t="s">
        <v>203</v>
      </c>
      <c r="B17" s="58">
        <v>951</v>
      </c>
      <c r="C17" s="43" t="s">
        <v>102</v>
      </c>
      <c r="D17" s="43" t="s">
        <v>603</v>
      </c>
      <c r="E17" s="43" t="s">
        <v>3</v>
      </c>
      <c r="F17" s="43" t="s">
        <v>198</v>
      </c>
      <c r="G17" s="348">
        <f t="shared" si="1"/>
        <v>3270.7910000000002</v>
      </c>
      <c r="H17" s="348">
        <f t="shared" si="1"/>
        <v>3433.2802999999999</v>
      </c>
      <c r="I17" s="348">
        <f t="shared" si="1"/>
        <v>3603.8943800000002</v>
      </c>
    </row>
    <row r="18" spans="1:9" ht="98.25" customHeight="1">
      <c r="A18" s="77" t="s">
        <v>605</v>
      </c>
      <c r="B18" s="58">
        <v>951</v>
      </c>
      <c r="C18" s="43" t="s">
        <v>102</v>
      </c>
      <c r="D18" s="43" t="s">
        <v>603</v>
      </c>
      <c r="E18" s="43" t="s">
        <v>3</v>
      </c>
      <c r="F18" s="43" t="s">
        <v>606</v>
      </c>
      <c r="G18" s="348">
        <f t="shared" si="1"/>
        <v>3270.7910000000002</v>
      </c>
      <c r="H18" s="348">
        <f t="shared" si="1"/>
        <v>3433.2802999999999</v>
      </c>
      <c r="I18" s="348">
        <f t="shared" si="1"/>
        <v>3603.8943800000002</v>
      </c>
    </row>
    <row r="19" spans="1:9" ht="30.6" customHeight="1">
      <c r="A19" s="77" t="s">
        <v>607</v>
      </c>
      <c r="B19" s="58">
        <v>951</v>
      </c>
      <c r="C19" s="43" t="s">
        <v>102</v>
      </c>
      <c r="D19" s="43" t="s">
        <v>603</v>
      </c>
      <c r="E19" s="43" t="s">
        <v>3</v>
      </c>
      <c r="F19" s="43" t="s">
        <v>608</v>
      </c>
      <c r="G19" s="348">
        <f>'5'!D269</f>
        <v>3270.7910000000002</v>
      </c>
      <c r="H19" s="348">
        <f>'5'!E269</f>
        <v>3433.2802999999999</v>
      </c>
      <c r="I19" s="348">
        <f>'5'!F269</f>
        <v>3603.8943800000002</v>
      </c>
    </row>
    <row r="20" spans="1:9" ht="84.75" customHeight="1">
      <c r="A20" s="77" t="s">
        <v>619</v>
      </c>
      <c r="B20" s="58">
        <v>951</v>
      </c>
      <c r="C20" s="43" t="s">
        <v>102</v>
      </c>
      <c r="D20" s="43" t="s">
        <v>107</v>
      </c>
      <c r="E20" s="43" t="s">
        <v>601</v>
      </c>
      <c r="F20" s="43" t="s">
        <v>198</v>
      </c>
      <c r="G20" s="348">
        <f>G21</f>
        <v>47864.262999999999</v>
      </c>
      <c r="H20" s="348">
        <f t="shared" ref="H20:I22" si="2">H21</f>
        <v>48575.828640000007</v>
      </c>
      <c r="I20" s="348">
        <f t="shared" si="2"/>
        <v>44032.761859999999</v>
      </c>
    </row>
    <row r="21" spans="1:9" ht="35.25" customHeight="1">
      <c r="A21" s="77" t="s">
        <v>604</v>
      </c>
      <c r="B21" s="58">
        <v>951</v>
      </c>
      <c r="C21" s="43" t="s">
        <v>102</v>
      </c>
      <c r="D21" s="43" t="s">
        <v>107</v>
      </c>
      <c r="E21" s="43" t="s">
        <v>1</v>
      </c>
      <c r="F21" s="43" t="s">
        <v>198</v>
      </c>
      <c r="G21" s="348">
        <f>G22</f>
        <v>47864.262999999999</v>
      </c>
      <c r="H21" s="348">
        <f t="shared" si="2"/>
        <v>48575.828640000007</v>
      </c>
      <c r="I21" s="348">
        <f t="shared" si="2"/>
        <v>44032.761859999999</v>
      </c>
    </row>
    <row r="22" spans="1:9" ht="50.25" customHeight="1">
      <c r="A22" s="77" t="s">
        <v>104</v>
      </c>
      <c r="B22" s="58">
        <v>951</v>
      </c>
      <c r="C22" s="43" t="s">
        <v>102</v>
      </c>
      <c r="D22" s="43" t="s">
        <v>107</v>
      </c>
      <c r="E22" s="43" t="s">
        <v>2</v>
      </c>
      <c r="F22" s="43" t="s">
        <v>198</v>
      </c>
      <c r="G22" s="348">
        <f>G23</f>
        <v>47864.262999999999</v>
      </c>
      <c r="H22" s="348">
        <f t="shared" si="2"/>
        <v>48575.828640000007</v>
      </c>
      <c r="I22" s="348">
        <f t="shared" si="2"/>
        <v>44032.761859999999</v>
      </c>
    </row>
    <row r="23" spans="1:9" ht="45" customHeight="1">
      <c r="A23" s="77" t="s">
        <v>106</v>
      </c>
      <c r="B23" s="58">
        <v>951</v>
      </c>
      <c r="C23" s="43" t="s">
        <v>102</v>
      </c>
      <c r="D23" s="43" t="s">
        <v>107</v>
      </c>
      <c r="E23" s="43" t="s">
        <v>5</v>
      </c>
      <c r="F23" s="43" t="s">
        <v>198</v>
      </c>
      <c r="G23" s="348">
        <f>G24+G26+G28</f>
        <v>47864.262999999999</v>
      </c>
      <c r="H23" s="348">
        <f>H24+H26+H28</f>
        <v>48575.828640000007</v>
      </c>
      <c r="I23" s="348">
        <f>I24+I26+I28</f>
        <v>44032.761859999999</v>
      </c>
    </row>
    <row r="24" spans="1:9" ht="96" customHeight="1">
      <c r="A24" s="77" t="s">
        <v>605</v>
      </c>
      <c r="B24" s="58">
        <v>951</v>
      </c>
      <c r="C24" s="43" t="s">
        <v>102</v>
      </c>
      <c r="D24" s="43" t="s">
        <v>107</v>
      </c>
      <c r="E24" s="43" t="s">
        <v>5</v>
      </c>
      <c r="F24" s="43" t="s">
        <v>606</v>
      </c>
      <c r="G24" s="348">
        <f>G25</f>
        <v>35925.663</v>
      </c>
      <c r="H24" s="348">
        <f>H25</f>
        <v>37294.226000000002</v>
      </c>
      <c r="I24" s="348">
        <f>I25</f>
        <v>38731.216999999997</v>
      </c>
    </row>
    <row r="25" spans="1:9" ht="31.15" customHeight="1">
      <c r="A25" s="77" t="s">
        <v>607</v>
      </c>
      <c r="B25" s="58">
        <v>951</v>
      </c>
      <c r="C25" s="43" t="s">
        <v>102</v>
      </c>
      <c r="D25" s="43" t="s">
        <v>107</v>
      </c>
      <c r="E25" s="43" t="s">
        <v>5</v>
      </c>
      <c r="F25" s="43" t="s">
        <v>608</v>
      </c>
      <c r="G25" s="348">
        <f>'3'!F40</f>
        <v>35925.663</v>
      </c>
      <c r="H25" s="348">
        <f>'3'!G40</f>
        <v>37294.226000000002</v>
      </c>
      <c r="I25" s="348">
        <f>'3'!H40</f>
        <v>38731.216999999997</v>
      </c>
    </row>
    <row r="26" spans="1:9" ht="31.5">
      <c r="A26" s="77" t="s">
        <v>611</v>
      </c>
      <c r="B26" s="58">
        <v>951</v>
      </c>
      <c r="C26" s="43" t="s">
        <v>102</v>
      </c>
      <c r="D26" s="43" t="s">
        <v>107</v>
      </c>
      <c r="E26" s="43" t="s">
        <v>5</v>
      </c>
      <c r="F26" s="43" t="s">
        <v>612</v>
      </c>
      <c r="G26" s="348">
        <f>G27</f>
        <v>11427.6</v>
      </c>
      <c r="H26" s="348">
        <f>H27</f>
        <v>10770.602640000001</v>
      </c>
      <c r="I26" s="348">
        <f>I27</f>
        <v>4790.5448599999991</v>
      </c>
    </row>
    <row r="27" spans="1:9" ht="47.25">
      <c r="A27" s="77" t="s">
        <v>613</v>
      </c>
      <c r="B27" s="58">
        <v>951</v>
      </c>
      <c r="C27" s="43" t="s">
        <v>102</v>
      </c>
      <c r="D27" s="43" t="s">
        <v>107</v>
      </c>
      <c r="E27" s="43" t="s">
        <v>5</v>
      </c>
      <c r="F27" s="43" t="s">
        <v>614</v>
      </c>
      <c r="G27" s="348">
        <f>'3'!F42</f>
        <v>11427.6</v>
      </c>
      <c r="H27" s="348">
        <f>'3'!G42</f>
        <v>10770.602640000001</v>
      </c>
      <c r="I27" s="348">
        <f>'3'!H42</f>
        <v>4790.5448599999991</v>
      </c>
    </row>
    <row r="28" spans="1:9">
      <c r="A28" s="77" t="s">
        <v>615</v>
      </c>
      <c r="B28" s="58">
        <v>951</v>
      </c>
      <c r="C28" s="43" t="s">
        <v>102</v>
      </c>
      <c r="D28" s="43" t="s">
        <v>107</v>
      </c>
      <c r="E28" s="43" t="s">
        <v>5</v>
      </c>
      <c r="F28" s="43" t="s">
        <v>616</v>
      </c>
      <c r="G28" s="348">
        <f>G29</f>
        <v>511</v>
      </c>
      <c r="H28" s="348">
        <f>H29</f>
        <v>511</v>
      </c>
      <c r="I28" s="348">
        <f>I29</f>
        <v>511</v>
      </c>
    </row>
    <row r="29" spans="1:9">
      <c r="A29" s="77" t="s">
        <v>617</v>
      </c>
      <c r="B29" s="58">
        <v>951</v>
      </c>
      <c r="C29" s="43" t="s">
        <v>102</v>
      </c>
      <c r="D29" s="43" t="s">
        <v>107</v>
      </c>
      <c r="E29" s="43" t="s">
        <v>5</v>
      </c>
      <c r="F29" s="43" t="s">
        <v>618</v>
      </c>
      <c r="G29" s="348">
        <f>'3'!F44</f>
        <v>511</v>
      </c>
      <c r="H29" s="348">
        <f>'3'!G44</f>
        <v>511</v>
      </c>
      <c r="I29" s="348">
        <f>'3'!H44</f>
        <v>511</v>
      </c>
    </row>
    <row r="30" spans="1:9" ht="31.5" hidden="1">
      <c r="A30" s="175" t="s">
        <v>633</v>
      </c>
      <c r="B30" s="192">
        <v>951</v>
      </c>
      <c r="C30" s="193" t="s">
        <v>102</v>
      </c>
      <c r="D30" s="193" t="s">
        <v>187</v>
      </c>
      <c r="E30" s="193" t="s">
        <v>242</v>
      </c>
      <c r="F30" s="193"/>
      <c r="G30" s="176">
        <f t="shared" ref="G30:I32" si="3">G31</f>
        <v>0</v>
      </c>
      <c r="H30" s="176">
        <f t="shared" si="3"/>
        <v>0</v>
      </c>
      <c r="I30" s="176">
        <f t="shared" si="3"/>
        <v>0</v>
      </c>
    </row>
    <row r="31" spans="1:9" ht="31.5" hidden="1">
      <c r="A31" s="177" t="s">
        <v>634</v>
      </c>
      <c r="B31" s="192">
        <v>951</v>
      </c>
      <c r="C31" s="193" t="s">
        <v>102</v>
      </c>
      <c r="D31" s="193" t="s">
        <v>187</v>
      </c>
      <c r="E31" s="193" t="s">
        <v>242</v>
      </c>
      <c r="F31" s="193"/>
      <c r="G31" s="178">
        <f t="shared" si="3"/>
        <v>0</v>
      </c>
      <c r="H31" s="178">
        <f t="shared" si="3"/>
        <v>0</v>
      </c>
      <c r="I31" s="178">
        <f t="shared" si="3"/>
        <v>0</v>
      </c>
    </row>
    <row r="32" spans="1:9" ht="47.25" hidden="1">
      <c r="A32" s="177" t="s">
        <v>104</v>
      </c>
      <c r="B32" s="192">
        <v>951</v>
      </c>
      <c r="C32" s="193" t="s">
        <v>102</v>
      </c>
      <c r="D32" s="193" t="s">
        <v>187</v>
      </c>
      <c r="E32" s="193" t="s">
        <v>242</v>
      </c>
      <c r="F32" s="193"/>
      <c r="G32" s="178">
        <f t="shared" si="3"/>
        <v>0</v>
      </c>
      <c r="H32" s="178">
        <f t="shared" si="3"/>
        <v>0</v>
      </c>
      <c r="I32" s="178">
        <f t="shared" si="3"/>
        <v>0</v>
      </c>
    </row>
    <row r="33" spans="1:10" ht="31.5" hidden="1">
      <c r="A33" s="177" t="s">
        <v>241</v>
      </c>
      <c r="B33" s="192">
        <v>951</v>
      </c>
      <c r="C33" s="193" t="s">
        <v>102</v>
      </c>
      <c r="D33" s="193" t="s">
        <v>187</v>
      </c>
      <c r="E33" s="193" t="s">
        <v>242</v>
      </c>
      <c r="F33" s="193"/>
      <c r="G33" s="178">
        <v>0</v>
      </c>
      <c r="H33" s="178">
        <v>0</v>
      </c>
      <c r="I33" s="178">
        <v>0</v>
      </c>
    </row>
    <row r="34" spans="1:10" ht="51.75" customHeight="1">
      <c r="A34" s="194" t="s">
        <v>360</v>
      </c>
      <c r="B34" s="195" t="s">
        <v>111</v>
      </c>
      <c r="C34" s="196" t="s">
        <v>102</v>
      </c>
      <c r="D34" s="196" t="s">
        <v>620</v>
      </c>
      <c r="E34" s="196" t="s">
        <v>223</v>
      </c>
      <c r="F34" s="196" t="s">
        <v>198</v>
      </c>
      <c r="G34" s="197">
        <f t="shared" ref="G34:I35" si="4">G35</f>
        <v>13.552</v>
      </c>
      <c r="H34" s="197">
        <f t="shared" si="4"/>
        <v>109.01200000000001</v>
      </c>
      <c r="I34" s="197">
        <f t="shared" si="4"/>
        <v>17.384</v>
      </c>
    </row>
    <row r="35" spans="1:10" ht="31.5">
      <c r="A35" s="77" t="s">
        <v>611</v>
      </c>
      <c r="B35" s="58" t="s">
        <v>111</v>
      </c>
      <c r="C35" s="43" t="s">
        <v>102</v>
      </c>
      <c r="D35" s="43" t="s">
        <v>620</v>
      </c>
      <c r="E35" s="43" t="s">
        <v>223</v>
      </c>
      <c r="F35" s="43" t="s">
        <v>612</v>
      </c>
      <c r="G35" s="348">
        <f t="shared" si="4"/>
        <v>13.552</v>
      </c>
      <c r="H35" s="348">
        <f t="shared" si="4"/>
        <v>109.01200000000001</v>
      </c>
      <c r="I35" s="348">
        <f t="shared" si="4"/>
        <v>17.384</v>
      </c>
    </row>
    <row r="36" spans="1:10" ht="47.25">
      <c r="A36" s="77" t="s">
        <v>613</v>
      </c>
      <c r="B36" s="58" t="s">
        <v>111</v>
      </c>
      <c r="C36" s="43" t="s">
        <v>102</v>
      </c>
      <c r="D36" s="43" t="s">
        <v>620</v>
      </c>
      <c r="E36" s="43" t="s">
        <v>223</v>
      </c>
      <c r="F36" s="43" t="s">
        <v>614</v>
      </c>
      <c r="G36" s="348">
        <f>'5'!D325</f>
        <v>13.552</v>
      </c>
      <c r="H36" s="348">
        <f>'5'!E325</f>
        <v>109.01200000000001</v>
      </c>
      <c r="I36" s="348">
        <f>'5'!F325</f>
        <v>17.384</v>
      </c>
    </row>
    <row r="37" spans="1:10">
      <c r="A37" s="194" t="s">
        <v>626</v>
      </c>
      <c r="B37" s="195" t="s">
        <v>111</v>
      </c>
      <c r="C37" s="196" t="s">
        <v>102</v>
      </c>
      <c r="D37" s="196" t="s">
        <v>627</v>
      </c>
      <c r="E37" s="196" t="s">
        <v>601</v>
      </c>
      <c r="F37" s="196" t="s">
        <v>198</v>
      </c>
      <c r="G37" s="197">
        <f t="shared" ref="G37:I41" si="5">G38</f>
        <v>9478.0640000000003</v>
      </c>
      <c r="H37" s="197">
        <f t="shared" si="5"/>
        <v>3000</v>
      </c>
      <c r="I37" s="197">
        <f t="shared" si="5"/>
        <v>3000</v>
      </c>
    </row>
    <row r="38" spans="1:10" ht="47.25">
      <c r="A38" s="161" t="s">
        <v>604</v>
      </c>
      <c r="B38" s="58" t="s">
        <v>111</v>
      </c>
      <c r="C38" s="43" t="s">
        <v>102</v>
      </c>
      <c r="D38" s="43" t="s">
        <v>627</v>
      </c>
      <c r="E38" s="160" t="s">
        <v>1</v>
      </c>
      <c r="F38" s="160" t="s">
        <v>198</v>
      </c>
      <c r="G38" s="348">
        <f t="shared" si="5"/>
        <v>9478.0640000000003</v>
      </c>
      <c r="H38" s="348">
        <f t="shared" si="5"/>
        <v>3000</v>
      </c>
      <c r="I38" s="348">
        <f t="shared" si="5"/>
        <v>3000</v>
      </c>
    </row>
    <row r="39" spans="1:10" ht="45.75" customHeight="1">
      <c r="A39" s="161" t="s">
        <v>104</v>
      </c>
      <c r="B39" s="58" t="s">
        <v>111</v>
      </c>
      <c r="C39" s="43" t="s">
        <v>102</v>
      </c>
      <c r="D39" s="43" t="s">
        <v>627</v>
      </c>
      <c r="E39" s="160" t="s">
        <v>2</v>
      </c>
      <c r="F39" s="160" t="s">
        <v>198</v>
      </c>
      <c r="G39" s="348">
        <f t="shared" si="5"/>
        <v>9478.0640000000003</v>
      </c>
      <c r="H39" s="348">
        <f t="shared" si="5"/>
        <v>3000</v>
      </c>
      <c r="I39" s="348">
        <f t="shared" si="5"/>
        <v>3000</v>
      </c>
    </row>
    <row r="40" spans="1:10" ht="31.5">
      <c r="A40" s="161" t="s">
        <v>280</v>
      </c>
      <c r="B40" s="58" t="s">
        <v>111</v>
      </c>
      <c r="C40" s="43" t="s">
        <v>102</v>
      </c>
      <c r="D40" s="43" t="s">
        <v>627</v>
      </c>
      <c r="E40" s="43" t="s">
        <v>281</v>
      </c>
      <c r="F40" s="160" t="s">
        <v>198</v>
      </c>
      <c r="G40" s="348">
        <f t="shared" si="5"/>
        <v>9478.0640000000003</v>
      </c>
      <c r="H40" s="348">
        <f t="shared" si="5"/>
        <v>3000</v>
      </c>
      <c r="I40" s="348">
        <f t="shared" si="5"/>
        <v>3000</v>
      </c>
    </row>
    <row r="41" spans="1:10">
      <c r="A41" s="161" t="s">
        <v>615</v>
      </c>
      <c r="B41" s="58" t="s">
        <v>111</v>
      </c>
      <c r="C41" s="43" t="s">
        <v>102</v>
      </c>
      <c r="D41" s="43" t="s">
        <v>627</v>
      </c>
      <c r="E41" s="43" t="s">
        <v>281</v>
      </c>
      <c r="F41" s="160" t="s">
        <v>616</v>
      </c>
      <c r="G41" s="348">
        <f t="shared" si="5"/>
        <v>9478.0640000000003</v>
      </c>
      <c r="H41" s="348">
        <f t="shared" si="5"/>
        <v>3000</v>
      </c>
      <c r="I41" s="348">
        <f t="shared" si="5"/>
        <v>3000</v>
      </c>
    </row>
    <row r="42" spans="1:10">
      <c r="A42" s="161" t="s">
        <v>631</v>
      </c>
      <c r="B42" s="58" t="s">
        <v>111</v>
      </c>
      <c r="C42" s="43" t="s">
        <v>102</v>
      </c>
      <c r="D42" s="43" t="s">
        <v>627</v>
      </c>
      <c r="E42" s="43" t="s">
        <v>281</v>
      </c>
      <c r="F42" s="160" t="s">
        <v>632</v>
      </c>
      <c r="G42" s="348">
        <f>'5'!D298</f>
        <v>9478.0640000000003</v>
      </c>
      <c r="H42" s="348">
        <f>'5'!E298</f>
        <v>3000</v>
      </c>
      <c r="I42" s="348">
        <f>'5'!F298</f>
        <v>3000</v>
      </c>
    </row>
    <row r="43" spans="1:10" ht="17.100000000000001" customHeight="1">
      <c r="A43" s="194" t="s">
        <v>637</v>
      </c>
      <c r="B43" s="195">
        <v>951</v>
      </c>
      <c r="C43" s="196" t="s">
        <v>102</v>
      </c>
      <c r="D43" s="196" t="s">
        <v>638</v>
      </c>
      <c r="E43" s="196" t="s">
        <v>601</v>
      </c>
      <c r="F43" s="196" t="s">
        <v>198</v>
      </c>
      <c r="G43" s="197">
        <f>G44+G78+G128+G146+G72+G149+G165+G173</f>
        <v>19334.894999999997</v>
      </c>
      <c r="H43" s="197">
        <f>H44+H78+H128+H146+H72+H149+H96+H165+H173</f>
        <v>15676.758999999998</v>
      </c>
      <c r="I43" s="197">
        <f>I44+I78+I128+I146+I72+I149+I96+I165+I173</f>
        <v>16265.644999999999</v>
      </c>
      <c r="J43" s="90"/>
    </row>
    <row r="44" spans="1:10" ht="16.5" customHeight="1">
      <c r="A44" s="77" t="s">
        <v>639</v>
      </c>
      <c r="B44" s="58">
        <v>951</v>
      </c>
      <c r="C44" s="43" t="s">
        <v>102</v>
      </c>
      <c r="D44" s="43" t="s">
        <v>638</v>
      </c>
      <c r="E44" s="43" t="s">
        <v>601</v>
      </c>
      <c r="F44" s="43" t="s">
        <v>198</v>
      </c>
      <c r="G44" s="348">
        <f>G45+G50+G55+G60+G65+G70+G101</f>
        <v>8268.7889999999989</v>
      </c>
      <c r="H44" s="348">
        <f>H45+H50+H55+H60+H65+H70+H101</f>
        <v>7359.6989999999996</v>
      </c>
      <c r="I44" s="348">
        <f>I45+I50+I55+I60+I65+I70+I101</f>
        <v>7543.744999999999</v>
      </c>
    </row>
    <row r="45" spans="1:10" ht="63" customHeight="1">
      <c r="A45" s="76" t="s">
        <v>640</v>
      </c>
      <c r="B45" s="61">
        <v>951</v>
      </c>
      <c r="C45" s="53" t="s">
        <v>102</v>
      </c>
      <c r="D45" s="53" t="s">
        <v>638</v>
      </c>
      <c r="E45" s="53" t="s">
        <v>7</v>
      </c>
      <c r="F45" s="53" t="s">
        <v>198</v>
      </c>
      <c r="G45" s="41">
        <f>G46+G48</f>
        <v>1112.9279999999999</v>
      </c>
      <c r="H45" s="41">
        <f t="shared" ref="H45:I45" si="6">H46+H48</f>
        <v>1158.722</v>
      </c>
      <c r="I45" s="41">
        <f t="shared" si="6"/>
        <v>1202.471</v>
      </c>
    </row>
    <row r="46" spans="1:10" ht="93.75" customHeight="1">
      <c r="A46" s="77" t="s">
        <v>605</v>
      </c>
      <c r="B46" s="58">
        <v>951</v>
      </c>
      <c r="C46" s="43" t="s">
        <v>102</v>
      </c>
      <c r="D46" s="43" t="s">
        <v>638</v>
      </c>
      <c r="E46" s="43" t="s">
        <v>7</v>
      </c>
      <c r="F46" s="43" t="s">
        <v>606</v>
      </c>
      <c r="G46" s="348">
        <f>G47</f>
        <v>1085.6959999999999</v>
      </c>
      <c r="H46" s="348">
        <f>H47</f>
        <v>1085.6959999999999</v>
      </c>
      <c r="I46" s="348">
        <f>I47</f>
        <v>1085.6959999999999</v>
      </c>
    </row>
    <row r="47" spans="1:10" ht="29.65" customHeight="1">
      <c r="A47" s="77" t="s">
        <v>607</v>
      </c>
      <c r="B47" s="58">
        <v>951</v>
      </c>
      <c r="C47" s="43" t="s">
        <v>102</v>
      </c>
      <c r="D47" s="43" t="s">
        <v>638</v>
      </c>
      <c r="E47" s="43" t="s">
        <v>7</v>
      </c>
      <c r="F47" s="43" t="s">
        <v>608</v>
      </c>
      <c r="G47" s="348">
        <f>'3'!F90</f>
        <v>1085.6959999999999</v>
      </c>
      <c r="H47" s="348">
        <f>'3'!G90</f>
        <v>1085.6959999999999</v>
      </c>
      <c r="I47" s="348">
        <f>'3'!H90</f>
        <v>1085.6959999999999</v>
      </c>
    </row>
    <row r="48" spans="1:10" ht="32.1" customHeight="1">
      <c r="A48" s="77" t="s">
        <v>611</v>
      </c>
      <c r="B48" s="58">
        <v>951</v>
      </c>
      <c r="C48" s="43" t="s">
        <v>102</v>
      </c>
      <c r="D48" s="43" t="s">
        <v>638</v>
      </c>
      <c r="E48" s="43" t="s">
        <v>7</v>
      </c>
      <c r="F48" s="43" t="s">
        <v>612</v>
      </c>
      <c r="G48" s="348">
        <f>G49</f>
        <v>27.232000000000003</v>
      </c>
      <c r="H48" s="348">
        <f>H49</f>
        <v>73.02600000000001</v>
      </c>
      <c r="I48" s="348">
        <f>I49</f>
        <v>116.77500000000001</v>
      </c>
    </row>
    <row r="49" spans="1:9" ht="45.75" customHeight="1">
      <c r="A49" s="77" t="s">
        <v>613</v>
      </c>
      <c r="B49" s="58">
        <v>951</v>
      </c>
      <c r="C49" s="43" t="s">
        <v>102</v>
      </c>
      <c r="D49" s="43" t="s">
        <v>638</v>
      </c>
      <c r="E49" s="43" t="s">
        <v>7</v>
      </c>
      <c r="F49" s="43" t="s">
        <v>614</v>
      </c>
      <c r="G49" s="348">
        <f>'3'!F92</f>
        <v>27.232000000000003</v>
      </c>
      <c r="H49" s="348">
        <f>'3'!G92</f>
        <v>73.02600000000001</v>
      </c>
      <c r="I49" s="348">
        <f>'3'!H92</f>
        <v>116.77500000000001</v>
      </c>
    </row>
    <row r="50" spans="1:9" ht="54" customHeight="1">
      <c r="A50" s="76" t="s">
        <v>641</v>
      </c>
      <c r="B50" s="61">
        <v>951</v>
      </c>
      <c r="C50" s="53" t="s">
        <v>102</v>
      </c>
      <c r="D50" s="53" t="s">
        <v>638</v>
      </c>
      <c r="E50" s="53" t="s">
        <v>397</v>
      </c>
      <c r="F50" s="53" t="s">
        <v>198</v>
      </c>
      <c r="G50" s="41">
        <f>G51+G53</f>
        <v>1702.3340000000001</v>
      </c>
      <c r="H50" s="41">
        <f t="shared" ref="H50:I50" si="7">H51+H53</f>
        <v>1769.2260000000001</v>
      </c>
      <c r="I50" s="41">
        <f t="shared" si="7"/>
        <v>1830.0200000000002</v>
      </c>
    </row>
    <row r="51" spans="1:9" ht="93.75" customHeight="1">
      <c r="A51" s="77" t="s">
        <v>605</v>
      </c>
      <c r="B51" s="58" t="s">
        <v>111</v>
      </c>
      <c r="C51" s="43" t="s">
        <v>102</v>
      </c>
      <c r="D51" s="43" t="s">
        <v>638</v>
      </c>
      <c r="E51" s="43" t="s">
        <v>397</v>
      </c>
      <c r="F51" s="43" t="s">
        <v>606</v>
      </c>
      <c r="G51" s="348">
        <f>G52</f>
        <v>1702.3340000000001</v>
      </c>
      <c r="H51" s="348">
        <f>H52</f>
        <v>1769.2260000000001</v>
      </c>
      <c r="I51" s="348">
        <f>I52</f>
        <v>1830.0200000000002</v>
      </c>
    </row>
    <row r="52" spans="1:9" ht="47.25">
      <c r="A52" s="77" t="s">
        <v>607</v>
      </c>
      <c r="B52" s="58" t="s">
        <v>111</v>
      </c>
      <c r="C52" s="43" t="s">
        <v>102</v>
      </c>
      <c r="D52" s="43" t="s">
        <v>638</v>
      </c>
      <c r="E52" s="43" t="s">
        <v>397</v>
      </c>
      <c r="F52" s="43" t="s">
        <v>608</v>
      </c>
      <c r="G52" s="348">
        <f>'3'!F95</f>
        <v>1702.3340000000001</v>
      </c>
      <c r="H52" s="348">
        <f>'3'!G95</f>
        <v>1769.2260000000001</v>
      </c>
      <c r="I52" s="348">
        <f>'3'!H95</f>
        <v>1830.0200000000002</v>
      </c>
    </row>
    <row r="53" spans="1:9" ht="31.5" hidden="1" customHeight="1">
      <c r="A53" s="77" t="s">
        <v>611</v>
      </c>
      <c r="B53" s="58">
        <v>951</v>
      </c>
      <c r="C53" s="43" t="s">
        <v>102</v>
      </c>
      <c r="D53" s="43" t="s">
        <v>638</v>
      </c>
      <c r="E53" s="43" t="s">
        <v>397</v>
      </c>
      <c r="F53" s="43" t="s">
        <v>612</v>
      </c>
      <c r="G53" s="348">
        <f>G54</f>
        <v>0</v>
      </c>
      <c r="H53" s="348">
        <f>H54</f>
        <v>0</v>
      </c>
      <c r="I53" s="348">
        <f>I54</f>
        <v>0</v>
      </c>
    </row>
    <row r="54" spans="1:9" ht="47.25" hidden="1" customHeight="1">
      <c r="A54" s="77" t="s">
        <v>613</v>
      </c>
      <c r="B54" s="58">
        <v>951</v>
      </c>
      <c r="C54" s="43" t="s">
        <v>102</v>
      </c>
      <c r="D54" s="43" t="s">
        <v>638</v>
      </c>
      <c r="E54" s="43" t="s">
        <v>397</v>
      </c>
      <c r="F54" s="43" t="s">
        <v>614</v>
      </c>
      <c r="G54" s="348">
        <v>0</v>
      </c>
      <c r="H54" s="348">
        <v>0</v>
      </c>
      <c r="I54" s="348">
        <v>0</v>
      </c>
    </row>
    <row r="55" spans="1:9" ht="49.5" customHeight="1">
      <c r="A55" s="76" t="s">
        <v>642</v>
      </c>
      <c r="B55" s="61" t="s">
        <v>111</v>
      </c>
      <c r="C55" s="53" t="s">
        <v>102</v>
      </c>
      <c r="D55" s="53" t="s">
        <v>638</v>
      </c>
      <c r="E55" s="53" t="s">
        <v>397</v>
      </c>
      <c r="F55" s="53" t="s">
        <v>198</v>
      </c>
      <c r="G55" s="41">
        <f>G56+G58</f>
        <v>1197.2910000000002</v>
      </c>
      <c r="H55" s="41">
        <f t="shared" ref="H55:I55" si="8">H56+H58</f>
        <v>1256.5540000000001</v>
      </c>
      <c r="I55" s="41">
        <f t="shared" si="8"/>
        <v>1316.7930000000001</v>
      </c>
    </row>
    <row r="56" spans="1:9" ht="96" customHeight="1">
      <c r="A56" s="77" t="s">
        <v>605</v>
      </c>
      <c r="B56" s="58" t="s">
        <v>111</v>
      </c>
      <c r="C56" s="43" t="s">
        <v>102</v>
      </c>
      <c r="D56" s="43" t="s">
        <v>638</v>
      </c>
      <c r="E56" s="43" t="s">
        <v>397</v>
      </c>
      <c r="F56" s="43" t="s">
        <v>606</v>
      </c>
      <c r="G56" s="348">
        <f>G57</f>
        <v>1197.2910000000002</v>
      </c>
      <c r="H56" s="348">
        <f>H57</f>
        <v>1256.5540000000001</v>
      </c>
      <c r="I56" s="348">
        <f>I57</f>
        <v>1316.7930000000001</v>
      </c>
    </row>
    <row r="57" spans="1:9" ht="47.25">
      <c r="A57" s="77" t="s">
        <v>607</v>
      </c>
      <c r="B57" s="58">
        <v>951</v>
      </c>
      <c r="C57" s="43" t="s">
        <v>102</v>
      </c>
      <c r="D57" s="43" t="s">
        <v>638</v>
      </c>
      <c r="E57" s="43" t="s">
        <v>397</v>
      </c>
      <c r="F57" s="43" t="s">
        <v>608</v>
      </c>
      <c r="G57" s="348">
        <f>'3'!F100</f>
        <v>1197.2910000000002</v>
      </c>
      <c r="H57" s="348">
        <f>'3'!G100</f>
        <v>1256.5540000000001</v>
      </c>
      <c r="I57" s="348">
        <f>'3'!H100</f>
        <v>1316.7930000000001</v>
      </c>
    </row>
    <row r="58" spans="1:9" ht="31.5" hidden="1" customHeight="1">
      <c r="A58" s="77" t="s">
        <v>611</v>
      </c>
      <c r="B58" s="58">
        <v>951</v>
      </c>
      <c r="C58" s="43" t="s">
        <v>102</v>
      </c>
      <c r="D58" s="43" t="s">
        <v>638</v>
      </c>
      <c r="E58" s="43" t="s">
        <v>397</v>
      </c>
      <c r="F58" s="43" t="s">
        <v>612</v>
      </c>
      <c r="G58" s="348">
        <f>G59</f>
        <v>0</v>
      </c>
      <c r="H58" s="348">
        <f>H59</f>
        <v>0</v>
      </c>
      <c r="I58" s="348">
        <f>I59</f>
        <v>0</v>
      </c>
    </row>
    <row r="59" spans="1:9" ht="47.25" hidden="1" customHeight="1">
      <c r="A59" s="77" t="s">
        <v>613</v>
      </c>
      <c r="B59" s="58">
        <v>951</v>
      </c>
      <c r="C59" s="43" t="s">
        <v>102</v>
      </c>
      <c r="D59" s="43" t="s">
        <v>638</v>
      </c>
      <c r="E59" s="43" t="s">
        <v>397</v>
      </c>
      <c r="F59" s="43" t="s">
        <v>614</v>
      </c>
      <c r="G59" s="348">
        <v>0</v>
      </c>
      <c r="H59" s="348">
        <v>0</v>
      </c>
      <c r="I59" s="348">
        <v>0</v>
      </c>
    </row>
    <row r="60" spans="1:9" ht="111.75" customHeight="1">
      <c r="A60" s="76" t="s">
        <v>643</v>
      </c>
      <c r="B60" s="61">
        <v>951</v>
      </c>
      <c r="C60" s="53" t="s">
        <v>102</v>
      </c>
      <c r="D60" s="53" t="s">
        <v>638</v>
      </c>
      <c r="E60" s="53" t="s">
        <v>644</v>
      </c>
      <c r="F60" s="53" t="s">
        <v>198</v>
      </c>
      <c r="G60" s="41">
        <f>G61+G63</f>
        <v>2693.587</v>
      </c>
      <c r="H60" s="41">
        <f>H61+H63</f>
        <v>2693.587</v>
      </c>
      <c r="I60" s="41">
        <f>I61+I63</f>
        <v>2693.587</v>
      </c>
    </row>
    <row r="61" spans="1:9" ht="97.5" customHeight="1">
      <c r="A61" s="77" t="s">
        <v>605</v>
      </c>
      <c r="B61" s="58">
        <v>951</v>
      </c>
      <c r="C61" s="43" t="s">
        <v>102</v>
      </c>
      <c r="D61" s="43" t="s">
        <v>638</v>
      </c>
      <c r="E61" s="43" t="s">
        <v>644</v>
      </c>
      <c r="F61" s="43" t="s">
        <v>606</v>
      </c>
      <c r="G61" s="348">
        <f>G62</f>
        <v>2358.5709999999999</v>
      </c>
      <c r="H61" s="348">
        <f>H62</f>
        <v>2358.5709999999999</v>
      </c>
      <c r="I61" s="348">
        <f>I62</f>
        <v>2358.5709999999999</v>
      </c>
    </row>
    <row r="62" spans="1:9" ht="47.25">
      <c r="A62" s="77" t="s">
        <v>607</v>
      </c>
      <c r="B62" s="58">
        <v>951</v>
      </c>
      <c r="C62" s="43" t="s">
        <v>102</v>
      </c>
      <c r="D62" s="43" t="s">
        <v>638</v>
      </c>
      <c r="E62" s="43" t="s">
        <v>644</v>
      </c>
      <c r="F62" s="43" t="s">
        <v>608</v>
      </c>
      <c r="G62" s="348">
        <f>'3'!F105</f>
        <v>2358.5709999999999</v>
      </c>
      <c r="H62" s="348">
        <f>'3'!G105</f>
        <v>2358.5709999999999</v>
      </c>
      <c r="I62" s="348">
        <f>'3'!H105</f>
        <v>2358.5709999999999</v>
      </c>
    </row>
    <row r="63" spans="1:9" ht="30.75" customHeight="1">
      <c r="A63" s="77" t="s">
        <v>611</v>
      </c>
      <c r="B63" s="58">
        <v>951</v>
      </c>
      <c r="C63" s="43" t="s">
        <v>102</v>
      </c>
      <c r="D63" s="43" t="s">
        <v>638</v>
      </c>
      <c r="E63" s="43" t="s">
        <v>644</v>
      </c>
      <c r="F63" s="43" t="s">
        <v>612</v>
      </c>
      <c r="G63" s="348">
        <f>G64</f>
        <v>335.01600000000002</v>
      </c>
      <c r="H63" s="348">
        <f>H64</f>
        <v>335.01600000000002</v>
      </c>
      <c r="I63" s="348">
        <f>I64</f>
        <v>335.01600000000002</v>
      </c>
    </row>
    <row r="64" spans="1:9" ht="47.25">
      <c r="A64" s="77" t="s">
        <v>613</v>
      </c>
      <c r="B64" s="58">
        <v>951</v>
      </c>
      <c r="C64" s="43" t="s">
        <v>102</v>
      </c>
      <c r="D64" s="43" t="s">
        <v>638</v>
      </c>
      <c r="E64" s="43" t="s">
        <v>644</v>
      </c>
      <c r="F64" s="43" t="s">
        <v>614</v>
      </c>
      <c r="G64" s="348">
        <f>'3'!F107</f>
        <v>335.01600000000002</v>
      </c>
      <c r="H64" s="348">
        <f>'3'!G107</f>
        <v>335.01600000000002</v>
      </c>
      <c r="I64" s="348">
        <f>'3'!H107</f>
        <v>335.01600000000002</v>
      </c>
    </row>
    <row r="65" spans="1:9" ht="79.5" customHeight="1">
      <c r="A65" s="76" t="s">
        <v>974</v>
      </c>
      <c r="B65" s="61">
        <v>951</v>
      </c>
      <c r="C65" s="53" t="s">
        <v>102</v>
      </c>
      <c r="D65" s="53" t="s">
        <v>638</v>
      </c>
      <c r="E65" s="53" t="s">
        <v>645</v>
      </c>
      <c r="F65" s="53" t="s">
        <v>198</v>
      </c>
      <c r="G65" s="41">
        <f>G68+G66</f>
        <v>461.44500000000005</v>
      </c>
      <c r="H65" s="41">
        <f t="shared" ref="H65:I65" si="9">H68+H66</f>
        <v>481.61</v>
      </c>
      <c r="I65" s="41">
        <f t="shared" si="9"/>
        <v>500.87400000000002</v>
      </c>
    </row>
    <row r="66" spans="1:9" ht="96" customHeight="1">
      <c r="A66" s="77" t="s">
        <v>605</v>
      </c>
      <c r="B66" s="58">
        <v>951</v>
      </c>
      <c r="C66" s="43" t="s">
        <v>102</v>
      </c>
      <c r="D66" s="43" t="s">
        <v>638</v>
      </c>
      <c r="E66" s="43" t="s">
        <v>645</v>
      </c>
      <c r="F66" s="43" t="s">
        <v>606</v>
      </c>
      <c r="G66" s="41">
        <f>G67</f>
        <v>194.41789</v>
      </c>
      <c r="H66" s="41">
        <f>H67</f>
        <v>0</v>
      </c>
      <c r="I66" s="41">
        <f>I67</f>
        <v>0</v>
      </c>
    </row>
    <row r="67" spans="1:9" ht="46.5" customHeight="1">
      <c r="A67" s="74" t="s">
        <v>607</v>
      </c>
      <c r="B67" s="47">
        <v>951</v>
      </c>
      <c r="C67" s="37" t="s">
        <v>102</v>
      </c>
      <c r="D67" s="37" t="s">
        <v>638</v>
      </c>
      <c r="E67" s="37" t="s">
        <v>645</v>
      </c>
      <c r="F67" s="37" t="s">
        <v>608</v>
      </c>
      <c r="G67" s="348">
        <f>'3'!F109</f>
        <v>194.41789</v>
      </c>
      <c r="H67" s="38">
        <f>'3'!G109</f>
        <v>0</v>
      </c>
      <c r="I67" s="38">
        <f>'3'!H109</f>
        <v>0</v>
      </c>
    </row>
    <row r="68" spans="1:9" ht="31.5">
      <c r="A68" s="74" t="s">
        <v>611</v>
      </c>
      <c r="B68" s="47">
        <v>951</v>
      </c>
      <c r="C68" s="37" t="s">
        <v>102</v>
      </c>
      <c r="D68" s="37" t="s">
        <v>638</v>
      </c>
      <c r="E68" s="37" t="s">
        <v>645</v>
      </c>
      <c r="F68" s="37" t="s">
        <v>612</v>
      </c>
      <c r="G68" s="348">
        <f>G69</f>
        <v>267.02711000000005</v>
      </c>
      <c r="H68" s="38">
        <f>H69</f>
        <v>481.61</v>
      </c>
      <c r="I68" s="38">
        <f>I69</f>
        <v>500.87400000000002</v>
      </c>
    </row>
    <row r="69" spans="1:9" ht="47.25">
      <c r="A69" s="77" t="s">
        <v>613</v>
      </c>
      <c r="B69" s="58">
        <v>951</v>
      </c>
      <c r="C69" s="43" t="s">
        <v>102</v>
      </c>
      <c r="D69" s="43" t="s">
        <v>638</v>
      </c>
      <c r="E69" s="43" t="s">
        <v>645</v>
      </c>
      <c r="F69" s="43" t="s">
        <v>614</v>
      </c>
      <c r="G69" s="348">
        <f>'3'!F111</f>
        <v>267.02711000000005</v>
      </c>
      <c r="H69" s="348">
        <f>'3'!G111</f>
        <v>481.61</v>
      </c>
      <c r="I69" s="348">
        <f>'3'!H111</f>
        <v>500.87400000000002</v>
      </c>
    </row>
    <row r="70" spans="1:9" s="199" customFormat="1" ht="31.5" hidden="1">
      <c r="A70" s="153" t="s">
        <v>396</v>
      </c>
      <c r="B70" s="198">
        <v>951</v>
      </c>
      <c r="C70" s="150" t="s">
        <v>102</v>
      </c>
      <c r="D70" s="150" t="s">
        <v>638</v>
      </c>
      <c r="E70" s="150" t="s">
        <v>398</v>
      </c>
      <c r="F70" s="150" t="s">
        <v>198</v>
      </c>
      <c r="G70" s="54">
        <f>G71</f>
        <v>0</v>
      </c>
      <c r="H70" s="54">
        <f>H71</f>
        <v>0</v>
      </c>
      <c r="I70" s="54">
        <f>I71</f>
        <v>0</v>
      </c>
    </row>
    <row r="71" spans="1:9" ht="47.25" hidden="1">
      <c r="A71" s="77" t="s">
        <v>613</v>
      </c>
      <c r="B71" s="58">
        <v>951</v>
      </c>
      <c r="C71" s="43" t="s">
        <v>102</v>
      </c>
      <c r="D71" s="43" t="s">
        <v>638</v>
      </c>
      <c r="E71" s="43" t="s">
        <v>398</v>
      </c>
      <c r="F71" s="43" t="s">
        <v>614</v>
      </c>
      <c r="G71" s="348"/>
      <c r="H71" s="348"/>
      <c r="I71" s="348"/>
    </row>
    <row r="72" spans="1:9" ht="78.75" hidden="1" customHeight="1">
      <c r="A72" s="76" t="s">
        <v>210</v>
      </c>
      <c r="B72" s="58">
        <v>951</v>
      </c>
      <c r="C72" s="43" t="s">
        <v>102</v>
      </c>
      <c r="D72" s="43" t="s">
        <v>638</v>
      </c>
      <c r="E72" s="53" t="s">
        <v>17</v>
      </c>
      <c r="F72" s="53" t="s">
        <v>198</v>
      </c>
      <c r="G72" s="41">
        <f>G73+G74</f>
        <v>0</v>
      </c>
      <c r="H72" s="41">
        <f>H73+H74</f>
        <v>0</v>
      </c>
      <c r="I72" s="41">
        <f>I73+I74</f>
        <v>0</v>
      </c>
    </row>
    <row r="73" spans="1:9" ht="94.5" hidden="1" customHeight="1">
      <c r="A73" s="161" t="s">
        <v>652</v>
      </c>
      <c r="B73" s="58">
        <v>951</v>
      </c>
      <c r="C73" s="43" t="s">
        <v>102</v>
      </c>
      <c r="D73" s="43" t="s">
        <v>638</v>
      </c>
      <c r="E73" s="43" t="s">
        <v>225</v>
      </c>
      <c r="F73" s="43" t="s">
        <v>651</v>
      </c>
      <c r="G73" s="348"/>
      <c r="H73" s="348"/>
      <c r="I73" s="348"/>
    </row>
    <row r="74" spans="1:9" ht="94.5" hidden="1" customHeight="1">
      <c r="A74" s="161" t="s">
        <v>843</v>
      </c>
      <c r="B74" s="58">
        <v>951</v>
      </c>
      <c r="C74" s="43" t="s">
        <v>102</v>
      </c>
      <c r="D74" s="43" t="s">
        <v>638</v>
      </c>
      <c r="E74" s="43" t="s">
        <v>74</v>
      </c>
      <c r="F74" s="43" t="s">
        <v>651</v>
      </c>
      <c r="G74" s="348"/>
      <c r="H74" s="348"/>
      <c r="I74" s="348"/>
    </row>
    <row r="75" spans="1:9" s="200" customFormat="1" ht="78.75" hidden="1">
      <c r="A75" s="76" t="s">
        <v>378</v>
      </c>
      <c r="B75" s="58">
        <v>951</v>
      </c>
      <c r="C75" s="53" t="s">
        <v>102</v>
      </c>
      <c r="D75" s="53" t="s">
        <v>638</v>
      </c>
      <c r="E75" s="53" t="s">
        <v>379</v>
      </c>
      <c r="F75" s="53" t="s">
        <v>198</v>
      </c>
      <c r="G75" s="41">
        <f t="shared" ref="G75:I76" si="10">G76</f>
        <v>0</v>
      </c>
      <c r="H75" s="41">
        <f t="shared" si="10"/>
        <v>0</v>
      </c>
      <c r="I75" s="41">
        <f t="shared" si="10"/>
        <v>0</v>
      </c>
    </row>
    <row r="76" spans="1:9" ht="94.5" hidden="1" customHeight="1">
      <c r="A76" s="77" t="s">
        <v>605</v>
      </c>
      <c r="B76" s="58">
        <v>951</v>
      </c>
      <c r="C76" s="43" t="s">
        <v>102</v>
      </c>
      <c r="D76" s="43" t="s">
        <v>638</v>
      </c>
      <c r="E76" s="43" t="s">
        <v>379</v>
      </c>
      <c r="F76" s="43" t="s">
        <v>606</v>
      </c>
      <c r="G76" s="348">
        <f t="shared" si="10"/>
        <v>0</v>
      </c>
      <c r="H76" s="348">
        <f t="shared" si="10"/>
        <v>0</v>
      </c>
      <c r="I76" s="348">
        <f t="shared" si="10"/>
        <v>0</v>
      </c>
    </row>
    <row r="77" spans="1:9" ht="47.25" hidden="1">
      <c r="A77" s="77" t="s">
        <v>607</v>
      </c>
      <c r="B77" s="58">
        <v>951</v>
      </c>
      <c r="C77" s="43" t="s">
        <v>102</v>
      </c>
      <c r="D77" s="43" t="s">
        <v>638</v>
      </c>
      <c r="E77" s="43" t="s">
        <v>379</v>
      </c>
      <c r="F77" s="43" t="s">
        <v>608</v>
      </c>
      <c r="G77" s="348"/>
      <c r="H77" s="348"/>
      <c r="I77" s="348"/>
    </row>
    <row r="78" spans="1:9" ht="30.75" customHeight="1">
      <c r="A78" s="153" t="s">
        <v>604</v>
      </c>
      <c r="B78" s="60">
        <v>951</v>
      </c>
      <c r="C78" s="59" t="s">
        <v>102</v>
      </c>
      <c r="D78" s="59" t="s">
        <v>638</v>
      </c>
      <c r="E78" s="59" t="s">
        <v>1</v>
      </c>
      <c r="F78" s="59" t="s">
        <v>198</v>
      </c>
      <c r="G78" s="96">
        <f>G79</f>
        <v>10867.106</v>
      </c>
      <c r="H78" s="96">
        <f>H79</f>
        <v>8158.0599999999995</v>
      </c>
      <c r="I78" s="96">
        <f>I79</f>
        <v>8540.9</v>
      </c>
    </row>
    <row r="79" spans="1:9" ht="53.25" customHeight="1">
      <c r="A79" s="77" t="s">
        <v>104</v>
      </c>
      <c r="B79" s="58">
        <v>951</v>
      </c>
      <c r="C79" s="43" t="s">
        <v>102</v>
      </c>
      <c r="D79" s="43" t="s">
        <v>638</v>
      </c>
      <c r="E79" s="43" t="s">
        <v>2</v>
      </c>
      <c r="F79" s="43" t="s">
        <v>198</v>
      </c>
      <c r="G79" s="348">
        <f>G80+G85+G113+G116+G119+G122+G125+G88+G91+G96</f>
        <v>10867.106</v>
      </c>
      <c r="H79" s="348">
        <f>H80+H85+H88+H91+H113+H116+H119+H122+H125</f>
        <v>8158.0599999999995</v>
      </c>
      <c r="I79" s="348">
        <f>I80+I85+I88+I91+I113+I116+I119+I122+I125</f>
        <v>8540.9</v>
      </c>
    </row>
    <row r="80" spans="1:9" ht="53.25" customHeight="1">
      <c r="A80" s="77" t="s">
        <v>653</v>
      </c>
      <c r="B80" s="58">
        <v>951</v>
      </c>
      <c r="C80" s="43" t="s">
        <v>102</v>
      </c>
      <c r="D80" s="43" t="s">
        <v>638</v>
      </c>
      <c r="E80" s="43" t="s">
        <v>5</v>
      </c>
      <c r="F80" s="43" t="s">
        <v>198</v>
      </c>
      <c r="G80" s="348">
        <f>G81+G83</f>
        <v>7603.4699999999993</v>
      </c>
      <c r="H80" s="348">
        <f>H81+H83</f>
        <v>7968.0599999999995</v>
      </c>
      <c r="I80" s="348">
        <f>I81+I83</f>
        <v>8350.9</v>
      </c>
    </row>
    <row r="81" spans="1:9" ht="94.5" customHeight="1">
      <c r="A81" s="77" t="s">
        <v>605</v>
      </c>
      <c r="B81" s="58">
        <v>951</v>
      </c>
      <c r="C81" s="43" t="s">
        <v>102</v>
      </c>
      <c r="D81" s="43" t="s">
        <v>638</v>
      </c>
      <c r="E81" s="43" t="s">
        <v>5</v>
      </c>
      <c r="F81" s="43" t="s">
        <v>606</v>
      </c>
      <c r="G81" s="348">
        <f>G82</f>
        <v>7387.82</v>
      </c>
      <c r="H81" s="348">
        <f>H82</f>
        <v>7752.41</v>
      </c>
      <c r="I81" s="348">
        <f>I82</f>
        <v>8135.25</v>
      </c>
    </row>
    <row r="82" spans="1:9" ht="47.25">
      <c r="A82" s="77" t="s">
        <v>607</v>
      </c>
      <c r="B82" s="58">
        <v>951</v>
      </c>
      <c r="C82" s="43" t="s">
        <v>102</v>
      </c>
      <c r="D82" s="43" t="s">
        <v>638</v>
      </c>
      <c r="E82" s="43" t="s">
        <v>5</v>
      </c>
      <c r="F82" s="43" t="s">
        <v>608</v>
      </c>
      <c r="G82" s="348">
        <f>'3'!F129</f>
        <v>7387.82</v>
      </c>
      <c r="H82" s="348">
        <f>'3'!G129</f>
        <v>7752.41</v>
      </c>
      <c r="I82" s="348">
        <f>'3'!H129</f>
        <v>8135.25</v>
      </c>
    </row>
    <row r="83" spans="1:9" ht="31.5">
      <c r="A83" s="77" t="s">
        <v>611</v>
      </c>
      <c r="B83" s="58">
        <v>951</v>
      </c>
      <c r="C83" s="43" t="s">
        <v>102</v>
      </c>
      <c r="D83" s="43" t="s">
        <v>638</v>
      </c>
      <c r="E83" s="43" t="s">
        <v>5</v>
      </c>
      <c r="F83" s="43" t="s">
        <v>612</v>
      </c>
      <c r="G83" s="348">
        <f>G84</f>
        <v>215.65</v>
      </c>
      <c r="H83" s="348">
        <f>H84</f>
        <v>215.65</v>
      </c>
      <c r="I83" s="348">
        <f>I84</f>
        <v>215.65</v>
      </c>
    </row>
    <row r="84" spans="1:9" ht="51.75" customHeight="1">
      <c r="A84" s="77" t="s">
        <v>613</v>
      </c>
      <c r="B84" s="58">
        <v>951</v>
      </c>
      <c r="C84" s="43" t="s">
        <v>102</v>
      </c>
      <c r="D84" s="43" t="s">
        <v>638</v>
      </c>
      <c r="E84" s="43" t="s">
        <v>5</v>
      </c>
      <c r="F84" s="43" t="s">
        <v>614</v>
      </c>
      <c r="G84" s="348">
        <f>'3'!F131</f>
        <v>215.65</v>
      </c>
      <c r="H84" s="348">
        <f>'3'!G131</f>
        <v>215.65</v>
      </c>
      <c r="I84" s="348">
        <f>'3'!H131</f>
        <v>215.65</v>
      </c>
    </row>
    <row r="85" spans="1:9" ht="15.75" hidden="1" customHeight="1">
      <c r="A85" s="76" t="s">
        <v>654</v>
      </c>
      <c r="B85" s="61">
        <v>951</v>
      </c>
      <c r="C85" s="53" t="s">
        <v>102</v>
      </c>
      <c r="D85" s="53" t="s">
        <v>638</v>
      </c>
      <c r="E85" s="53" t="s">
        <v>8</v>
      </c>
      <c r="F85" s="53" t="s">
        <v>198</v>
      </c>
      <c r="G85" s="41">
        <f t="shared" ref="G85:I86" si="11">G86</f>
        <v>0</v>
      </c>
      <c r="H85" s="41">
        <f t="shared" si="11"/>
        <v>0</v>
      </c>
      <c r="I85" s="41">
        <f t="shared" si="11"/>
        <v>0</v>
      </c>
    </row>
    <row r="86" spans="1:9" ht="15.75" hidden="1" customHeight="1">
      <c r="A86" s="77" t="s">
        <v>615</v>
      </c>
      <c r="B86" s="58">
        <v>951</v>
      </c>
      <c r="C86" s="43" t="s">
        <v>102</v>
      </c>
      <c r="D86" s="43" t="s">
        <v>638</v>
      </c>
      <c r="E86" s="43" t="s">
        <v>8</v>
      </c>
      <c r="F86" s="43" t="s">
        <v>616</v>
      </c>
      <c r="G86" s="348">
        <f t="shared" si="11"/>
        <v>0</v>
      </c>
      <c r="H86" s="348">
        <f t="shared" si="11"/>
        <v>0</v>
      </c>
      <c r="I86" s="348">
        <f t="shared" si="11"/>
        <v>0</v>
      </c>
    </row>
    <row r="87" spans="1:9" ht="15.75" hidden="1" customHeight="1">
      <c r="A87" s="77" t="s">
        <v>654</v>
      </c>
      <c r="B87" s="58">
        <v>951</v>
      </c>
      <c r="C87" s="43" t="s">
        <v>102</v>
      </c>
      <c r="D87" s="43" t="s">
        <v>638</v>
      </c>
      <c r="E87" s="43" t="s">
        <v>8</v>
      </c>
      <c r="F87" s="43" t="s">
        <v>655</v>
      </c>
      <c r="G87" s="348">
        <f>'5'!D274</f>
        <v>0</v>
      </c>
      <c r="H87" s="348">
        <f>'5'!E274</f>
        <v>0</v>
      </c>
      <c r="I87" s="348">
        <f>'5'!F274</f>
        <v>0</v>
      </c>
    </row>
    <row r="88" spans="1:9" ht="66" customHeight="1">
      <c r="A88" s="76" t="s">
        <v>656</v>
      </c>
      <c r="B88" s="61">
        <v>951</v>
      </c>
      <c r="C88" s="53" t="s">
        <v>102</v>
      </c>
      <c r="D88" s="53" t="s">
        <v>638</v>
      </c>
      <c r="E88" s="53" t="s">
        <v>9</v>
      </c>
      <c r="F88" s="53" t="s">
        <v>198</v>
      </c>
      <c r="G88" s="41">
        <f t="shared" ref="G88:I89" si="12">G89</f>
        <v>500</v>
      </c>
      <c r="H88" s="41">
        <f t="shared" si="12"/>
        <v>50</v>
      </c>
      <c r="I88" s="41">
        <f t="shared" si="12"/>
        <v>50</v>
      </c>
    </row>
    <row r="89" spans="1:9" ht="31.5">
      <c r="A89" s="77" t="s">
        <v>611</v>
      </c>
      <c r="B89" s="58">
        <v>951</v>
      </c>
      <c r="C89" s="43" t="s">
        <v>102</v>
      </c>
      <c r="D89" s="43" t="s">
        <v>638</v>
      </c>
      <c r="E89" s="43" t="s">
        <v>9</v>
      </c>
      <c r="F89" s="43" t="s">
        <v>612</v>
      </c>
      <c r="G89" s="348">
        <f t="shared" si="12"/>
        <v>500</v>
      </c>
      <c r="H89" s="348">
        <f t="shared" si="12"/>
        <v>50</v>
      </c>
      <c r="I89" s="348">
        <f t="shared" si="12"/>
        <v>50</v>
      </c>
    </row>
    <row r="90" spans="1:9" ht="52.5" customHeight="1">
      <c r="A90" s="77" t="s">
        <v>613</v>
      </c>
      <c r="B90" s="58">
        <v>951</v>
      </c>
      <c r="C90" s="43" t="s">
        <v>102</v>
      </c>
      <c r="D90" s="43" t="s">
        <v>638</v>
      </c>
      <c r="E90" s="43" t="s">
        <v>9</v>
      </c>
      <c r="F90" s="43" t="s">
        <v>614</v>
      </c>
      <c r="G90" s="348">
        <f>'5'!D276</f>
        <v>500</v>
      </c>
      <c r="H90" s="348">
        <f>'5'!E276</f>
        <v>50</v>
      </c>
      <c r="I90" s="348">
        <f>'5'!F276</f>
        <v>50</v>
      </c>
    </row>
    <row r="91" spans="1:9" ht="20.25" customHeight="1">
      <c r="A91" s="76" t="s">
        <v>249</v>
      </c>
      <c r="B91" s="61" t="s">
        <v>111</v>
      </c>
      <c r="C91" s="53" t="s">
        <v>102</v>
      </c>
      <c r="D91" s="53" t="s">
        <v>638</v>
      </c>
      <c r="E91" s="53" t="s">
        <v>250</v>
      </c>
      <c r="F91" s="53" t="s">
        <v>198</v>
      </c>
      <c r="G91" s="41">
        <f>G92+G94</f>
        <v>2092.62</v>
      </c>
      <c r="H91" s="41">
        <f t="shared" ref="H91:I91" si="13">H92+H94</f>
        <v>60</v>
      </c>
      <c r="I91" s="41">
        <f t="shared" si="13"/>
        <v>60</v>
      </c>
    </row>
    <row r="92" spans="1:9" ht="34.15" customHeight="1">
      <c r="A92" s="77" t="s">
        <v>611</v>
      </c>
      <c r="B92" s="58" t="s">
        <v>111</v>
      </c>
      <c r="C92" s="43" t="s">
        <v>102</v>
      </c>
      <c r="D92" s="43" t="s">
        <v>638</v>
      </c>
      <c r="E92" s="43" t="s">
        <v>250</v>
      </c>
      <c r="F92" s="43" t="s">
        <v>612</v>
      </c>
      <c r="G92" s="348">
        <f>G93</f>
        <v>2092.62</v>
      </c>
      <c r="H92" s="348">
        <f>H93</f>
        <v>60</v>
      </c>
      <c r="I92" s="348">
        <f>I93</f>
        <v>60</v>
      </c>
    </row>
    <row r="93" spans="1:9" ht="51" customHeight="1">
      <c r="A93" s="77" t="s">
        <v>613</v>
      </c>
      <c r="B93" s="58" t="s">
        <v>111</v>
      </c>
      <c r="C93" s="43" t="s">
        <v>102</v>
      </c>
      <c r="D93" s="43" t="s">
        <v>638</v>
      </c>
      <c r="E93" s="43" t="s">
        <v>250</v>
      </c>
      <c r="F93" s="43" t="s">
        <v>614</v>
      </c>
      <c r="G93" s="348">
        <f>'5'!D294</f>
        <v>2092.62</v>
      </c>
      <c r="H93" s="348">
        <f>'5'!E294</f>
        <v>60</v>
      </c>
      <c r="I93" s="348">
        <f>'5'!F294</f>
        <v>60</v>
      </c>
    </row>
    <row r="94" spans="1:9" ht="15.75" hidden="1" customHeight="1">
      <c r="A94" s="77" t="s">
        <v>615</v>
      </c>
      <c r="B94" s="58" t="s">
        <v>111</v>
      </c>
      <c r="C94" s="43" t="s">
        <v>102</v>
      </c>
      <c r="D94" s="43" t="s">
        <v>638</v>
      </c>
      <c r="E94" s="43" t="s">
        <v>250</v>
      </c>
      <c r="F94" s="43" t="s">
        <v>616</v>
      </c>
      <c r="G94" s="348">
        <f>G95</f>
        <v>0</v>
      </c>
      <c r="H94" s="348">
        <f>H95</f>
        <v>0</v>
      </c>
      <c r="I94" s="348">
        <f>I95</f>
        <v>0</v>
      </c>
    </row>
    <row r="95" spans="1:9" hidden="1">
      <c r="A95" s="77" t="s">
        <v>617</v>
      </c>
      <c r="B95" s="58" t="s">
        <v>111</v>
      </c>
      <c r="C95" s="43" t="s">
        <v>102</v>
      </c>
      <c r="D95" s="43" t="s">
        <v>638</v>
      </c>
      <c r="E95" s="43" t="s">
        <v>250</v>
      </c>
      <c r="F95" s="43" t="s">
        <v>618</v>
      </c>
      <c r="G95" s="348"/>
      <c r="H95" s="348"/>
      <c r="I95" s="348"/>
    </row>
    <row r="96" spans="1:9" ht="94.5" customHeight="1">
      <c r="A96" s="76" t="s">
        <v>482</v>
      </c>
      <c r="B96" s="61" t="s">
        <v>111</v>
      </c>
      <c r="C96" s="53" t="s">
        <v>102</v>
      </c>
      <c r="D96" s="53" t="s">
        <v>638</v>
      </c>
      <c r="E96" s="43" t="s">
        <v>483</v>
      </c>
      <c r="F96" s="53" t="s">
        <v>198</v>
      </c>
      <c r="G96" s="41">
        <f>G97+G99</f>
        <v>91.015999999999991</v>
      </c>
      <c r="H96" s="41">
        <f>H97+H99</f>
        <v>0</v>
      </c>
      <c r="I96" s="41">
        <f>I97+I99</f>
        <v>0</v>
      </c>
    </row>
    <row r="97" spans="1:9" ht="31.5" customHeight="1">
      <c r="A97" s="77" t="s">
        <v>611</v>
      </c>
      <c r="B97" s="58" t="s">
        <v>111</v>
      </c>
      <c r="C97" s="43" t="s">
        <v>102</v>
      </c>
      <c r="D97" s="43" t="s">
        <v>638</v>
      </c>
      <c r="E97" s="43" t="s">
        <v>483</v>
      </c>
      <c r="F97" s="43" t="s">
        <v>612</v>
      </c>
      <c r="G97" s="348">
        <f>G98</f>
        <v>91.015999999999991</v>
      </c>
      <c r="H97" s="348">
        <f>H98</f>
        <v>0</v>
      </c>
      <c r="I97" s="348">
        <f>I98</f>
        <v>0</v>
      </c>
    </row>
    <row r="98" spans="1:9" ht="47.25" customHeight="1">
      <c r="A98" s="77" t="s">
        <v>613</v>
      </c>
      <c r="B98" s="58" t="s">
        <v>111</v>
      </c>
      <c r="C98" s="43" t="s">
        <v>102</v>
      </c>
      <c r="D98" s="43" t="s">
        <v>638</v>
      </c>
      <c r="E98" s="43" t="s">
        <v>483</v>
      </c>
      <c r="F98" s="43" t="s">
        <v>614</v>
      </c>
      <c r="G98" s="348">
        <f>'5'!D303</f>
        <v>91.015999999999991</v>
      </c>
      <c r="H98" s="348">
        <v>0</v>
      </c>
      <c r="I98" s="348">
        <v>0</v>
      </c>
    </row>
    <row r="99" spans="1:9" ht="15.75" hidden="1" customHeight="1">
      <c r="A99" s="77" t="s">
        <v>615</v>
      </c>
      <c r="B99" s="58" t="s">
        <v>111</v>
      </c>
      <c r="C99" s="43" t="s">
        <v>102</v>
      </c>
      <c r="D99" s="43" t="s">
        <v>638</v>
      </c>
      <c r="E99" s="43" t="s">
        <v>274</v>
      </c>
      <c r="F99" s="43" t="s">
        <v>616</v>
      </c>
      <c r="G99" s="348">
        <f>G100</f>
        <v>0</v>
      </c>
      <c r="H99" s="348">
        <f>H100</f>
        <v>0</v>
      </c>
      <c r="I99" s="348">
        <f>I100</f>
        <v>0</v>
      </c>
    </row>
    <row r="100" spans="1:9" ht="15.75" hidden="1" customHeight="1">
      <c r="A100" s="77" t="s">
        <v>617</v>
      </c>
      <c r="B100" s="58" t="s">
        <v>111</v>
      </c>
      <c r="C100" s="43" t="s">
        <v>102</v>
      </c>
      <c r="D100" s="43" t="s">
        <v>638</v>
      </c>
      <c r="E100" s="43" t="s">
        <v>274</v>
      </c>
      <c r="F100" s="43" t="s">
        <v>618</v>
      </c>
      <c r="G100" s="348"/>
      <c r="H100" s="348"/>
      <c r="I100" s="348"/>
    </row>
    <row r="101" spans="1:9" ht="78.75" customHeight="1">
      <c r="A101" s="153" t="s">
        <v>657</v>
      </c>
      <c r="B101" s="198" t="s">
        <v>111</v>
      </c>
      <c r="C101" s="150" t="s">
        <v>102</v>
      </c>
      <c r="D101" s="150" t="s">
        <v>638</v>
      </c>
      <c r="E101" s="150" t="s">
        <v>601</v>
      </c>
      <c r="F101" s="150" t="s">
        <v>198</v>
      </c>
      <c r="G101" s="54">
        <f>G102</f>
        <v>1101.2040000000002</v>
      </c>
      <c r="H101" s="54">
        <f t="shared" ref="H101:I103" si="14">H102</f>
        <v>0</v>
      </c>
      <c r="I101" s="54">
        <f t="shared" si="14"/>
        <v>0</v>
      </c>
    </row>
    <row r="102" spans="1:9" ht="32.25" customHeight="1">
      <c r="A102" s="77" t="s">
        <v>634</v>
      </c>
      <c r="B102" s="58" t="s">
        <v>111</v>
      </c>
      <c r="C102" s="43" t="s">
        <v>102</v>
      </c>
      <c r="D102" s="43" t="s">
        <v>638</v>
      </c>
      <c r="E102" s="43" t="s">
        <v>1</v>
      </c>
      <c r="F102" s="43" t="s">
        <v>198</v>
      </c>
      <c r="G102" s="348">
        <f>G103</f>
        <v>1101.2040000000002</v>
      </c>
      <c r="H102" s="348">
        <f t="shared" si="14"/>
        <v>0</v>
      </c>
      <c r="I102" s="348">
        <f t="shared" si="14"/>
        <v>0</v>
      </c>
    </row>
    <row r="103" spans="1:9" ht="47.25" customHeight="1">
      <c r="A103" s="77" t="s">
        <v>104</v>
      </c>
      <c r="B103" s="58" t="s">
        <v>111</v>
      </c>
      <c r="C103" s="43" t="s">
        <v>102</v>
      </c>
      <c r="D103" s="43" t="s">
        <v>638</v>
      </c>
      <c r="E103" s="43" t="s">
        <v>2</v>
      </c>
      <c r="F103" s="43" t="s">
        <v>198</v>
      </c>
      <c r="G103" s="348">
        <f>G104</f>
        <v>1101.2040000000002</v>
      </c>
      <c r="H103" s="348">
        <f t="shared" si="14"/>
        <v>0</v>
      </c>
      <c r="I103" s="348">
        <f t="shared" si="14"/>
        <v>0</v>
      </c>
    </row>
    <row r="104" spans="1:9" ht="85.5" customHeight="1">
      <c r="A104" s="77" t="s">
        <v>443</v>
      </c>
      <c r="B104" s="58" t="s">
        <v>111</v>
      </c>
      <c r="C104" s="43" t="s">
        <v>102</v>
      </c>
      <c r="D104" s="43" t="s">
        <v>638</v>
      </c>
      <c r="E104" s="43" t="s">
        <v>928</v>
      </c>
      <c r="F104" s="43" t="s">
        <v>198</v>
      </c>
      <c r="G104" s="348">
        <f>G106+G108</f>
        <v>1101.2040000000002</v>
      </c>
      <c r="H104" s="348">
        <f>H106+H108</f>
        <v>0</v>
      </c>
      <c r="I104" s="348">
        <f>I106+I108</f>
        <v>0</v>
      </c>
    </row>
    <row r="105" spans="1:9" ht="93" customHeight="1">
      <c r="A105" s="77" t="s">
        <v>605</v>
      </c>
      <c r="B105" s="58" t="s">
        <v>111</v>
      </c>
      <c r="C105" s="43" t="s">
        <v>102</v>
      </c>
      <c r="D105" s="43" t="s">
        <v>638</v>
      </c>
      <c r="E105" s="58" t="s">
        <v>928</v>
      </c>
      <c r="F105" s="43" t="s">
        <v>606</v>
      </c>
      <c r="G105" s="348">
        <f>G106</f>
        <v>634.60400000000004</v>
      </c>
      <c r="H105" s="348">
        <f>H106</f>
        <v>0</v>
      </c>
      <c r="I105" s="348">
        <f>I106</f>
        <v>0</v>
      </c>
    </row>
    <row r="106" spans="1:9" ht="31.9" customHeight="1">
      <c r="A106" s="77" t="s">
        <v>607</v>
      </c>
      <c r="B106" s="58" t="s">
        <v>111</v>
      </c>
      <c r="C106" s="43" t="s">
        <v>102</v>
      </c>
      <c r="D106" s="43" t="s">
        <v>638</v>
      </c>
      <c r="E106" s="58" t="s">
        <v>928</v>
      </c>
      <c r="F106" s="43" t="s">
        <v>608</v>
      </c>
      <c r="G106" s="348">
        <f>'3'!F155</f>
        <v>634.60400000000004</v>
      </c>
      <c r="H106" s="348">
        <f>'3'!G155</f>
        <v>0</v>
      </c>
      <c r="I106" s="348">
        <f>'3'!H155</f>
        <v>0</v>
      </c>
    </row>
    <row r="107" spans="1:9" ht="31.5">
      <c r="A107" s="77" t="s">
        <v>611</v>
      </c>
      <c r="B107" s="58" t="s">
        <v>111</v>
      </c>
      <c r="C107" s="43" t="s">
        <v>102</v>
      </c>
      <c r="D107" s="43" t="s">
        <v>638</v>
      </c>
      <c r="E107" s="58" t="s">
        <v>928</v>
      </c>
      <c r="F107" s="43" t="s">
        <v>612</v>
      </c>
      <c r="G107" s="348">
        <f>G108</f>
        <v>466.6</v>
      </c>
      <c r="H107" s="348">
        <f>H108</f>
        <v>0</v>
      </c>
      <c r="I107" s="348">
        <f>I108</f>
        <v>0</v>
      </c>
    </row>
    <row r="108" spans="1:9" ht="46.5" customHeight="1">
      <c r="A108" s="77" t="s">
        <v>613</v>
      </c>
      <c r="B108" s="58" t="s">
        <v>111</v>
      </c>
      <c r="C108" s="43" t="s">
        <v>102</v>
      </c>
      <c r="D108" s="43" t="s">
        <v>638</v>
      </c>
      <c r="E108" s="58" t="s">
        <v>928</v>
      </c>
      <c r="F108" s="43" t="s">
        <v>614</v>
      </c>
      <c r="G108" s="348">
        <f>'3'!F157</f>
        <v>466.6</v>
      </c>
      <c r="H108" s="348">
        <f>'3'!G157</f>
        <v>0</v>
      </c>
      <c r="I108" s="348">
        <f>'3'!H157</f>
        <v>0</v>
      </c>
    </row>
    <row r="109" spans="1:9" ht="31.5" hidden="1" customHeight="1">
      <c r="A109" s="77" t="s">
        <v>634</v>
      </c>
      <c r="B109" s="58" t="s">
        <v>111</v>
      </c>
      <c r="C109" s="43" t="s">
        <v>102</v>
      </c>
      <c r="D109" s="43" t="s">
        <v>638</v>
      </c>
      <c r="E109" s="43" t="s">
        <v>1</v>
      </c>
      <c r="F109" s="348" t="str">
        <f>F110</f>
        <v>000</v>
      </c>
      <c r="G109" s="348">
        <f>G110</f>
        <v>0</v>
      </c>
      <c r="H109" s="348">
        <f t="shared" ref="H109:I111" si="15">H110</f>
        <v>0</v>
      </c>
      <c r="I109" s="348">
        <f t="shared" si="15"/>
        <v>0</v>
      </c>
    </row>
    <row r="110" spans="1:9" ht="47.25" hidden="1" customHeight="1">
      <c r="A110" s="77" t="s">
        <v>104</v>
      </c>
      <c r="B110" s="58" t="s">
        <v>111</v>
      </c>
      <c r="C110" s="43" t="s">
        <v>102</v>
      </c>
      <c r="D110" s="43" t="s">
        <v>638</v>
      </c>
      <c r="E110" s="43" t="s">
        <v>2</v>
      </c>
      <c r="F110" s="43" t="s">
        <v>198</v>
      </c>
      <c r="G110" s="348">
        <f>G111</f>
        <v>0</v>
      </c>
      <c r="H110" s="348">
        <f t="shared" si="15"/>
        <v>0</v>
      </c>
      <c r="I110" s="348">
        <f t="shared" si="15"/>
        <v>0</v>
      </c>
    </row>
    <row r="111" spans="1:9" ht="94.5" hidden="1" customHeight="1">
      <c r="A111" s="77" t="s">
        <v>605</v>
      </c>
      <c r="B111" s="58" t="s">
        <v>111</v>
      </c>
      <c r="C111" s="43" t="s">
        <v>102</v>
      </c>
      <c r="D111" s="43" t="s">
        <v>638</v>
      </c>
      <c r="E111" s="43" t="s">
        <v>461</v>
      </c>
      <c r="F111" s="43" t="s">
        <v>606</v>
      </c>
      <c r="G111" s="348">
        <f>G112</f>
        <v>0</v>
      </c>
      <c r="H111" s="348">
        <f t="shared" si="15"/>
        <v>0</v>
      </c>
      <c r="I111" s="348">
        <f t="shared" si="15"/>
        <v>0</v>
      </c>
    </row>
    <row r="112" spans="1:9" ht="47.25" hidden="1" customHeight="1">
      <c r="A112" s="77" t="s">
        <v>607</v>
      </c>
      <c r="B112" s="58" t="s">
        <v>111</v>
      </c>
      <c r="C112" s="43" t="s">
        <v>102</v>
      </c>
      <c r="D112" s="43" t="s">
        <v>638</v>
      </c>
      <c r="E112" s="43" t="s">
        <v>461</v>
      </c>
      <c r="F112" s="43" t="s">
        <v>608</v>
      </c>
      <c r="G112" s="348"/>
      <c r="H112" s="348"/>
      <c r="I112" s="348"/>
    </row>
    <row r="113" spans="1:9" ht="47.25" hidden="1" customHeight="1">
      <c r="A113" s="76" t="s">
        <v>367</v>
      </c>
      <c r="B113" s="61" t="s">
        <v>111</v>
      </c>
      <c r="C113" s="53" t="s">
        <v>102</v>
      </c>
      <c r="D113" s="53" t="s">
        <v>638</v>
      </c>
      <c r="E113" s="53" t="s">
        <v>368</v>
      </c>
      <c r="F113" s="53" t="s">
        <v>198</v>
      </c>
      <c r="G113" s="41">
        <f t="shared" ref="G113:I114" si="16">G114</f>
        <v>0</v>
      </c>
      <c r="H113" s="41">
        <f t="shared" si="16"/>
        <v>0</v>
      </c>
      <c r="I113" s="41">
        <f t="shared" si="16"/>
        <v>0</v>
      </c>
    </row>
    <row r="114" spans="1:9" ht="31.5" hidden="1" customHeight="1">
      <c r="A114" s="77" t="s">
        <v>611</v>
      </c>
      <c r="B114" s="58" t="s">
        <v>111</v>
      </c>
      <c r="C114" s="43" t="s">
        <v>102</v>
      </c>
      <c r="D114" s="43" t="s">
        <v>638</v>
      </c>
      <c r="E114" s="43" t="s">
        <v>368</v>
      </c>
      <c r="F114" s="43" t="s">
        <v>612</v>
      </c>
      <c r="G114" s="348">
        <f t="shared" si="16"/>
        <v>0</v>
      </c>
      <c r="H114" s="348">
        <f t="shared" si="16"/>
        <v>0</v>
      </c>
      <c r="I114" s="348">
        <f t="shared" si="16"/>
        <v>0</v>
      </c>
    </row>
    <row r="115" spans="1:9" ht="47.25" hidden="1" customHeight="1">
      <c r="A115" s="77" t="s">
        <v>613</v>
      </c>
      <c r="B115" s="58" t="s">
        <v>111</v>
      </c>
      <c r="C115" s="43" t="s">
        <v>102</v>
      </c>
      <c r="D115" s="43" t="s">
        <v>638</v>
      </c>
      <c r="E115" s="43" t="s">
        <v>368</v>
      </c>
      <c r="F115" s="43" t="s">
        <v>614</v>
      </c>
      <c r="G115" s="348"/>
      <c r="H115" s="348"/>
      <c r="I115" s="348"/>
    </row>
    <row r="116" spans="1:9" ht="31.5" hidden="1">
      <c r="A116" s="153" t="s">
        <v>434</v>
      </c>
      <c r="B116" s="198" t="s">
        <v>111</v>
      </c>
      <c r="C116" s="150" t="s">
        <v>102</v>
      </c>
      <c r="D116" s="150" t="s">
        <v>638</v>
      </c>
      <c r="E116" s="150" t="s">
        <v>435</v>
      </c>
      <c r="F116" s="150" t="s">
        <v>198</v>
      </c>
      <c r="G116" s="54">
        <f t="shared" ref="G116:I117" si="17">G117</f>
        <v>0</v>
      </c>
      <c r="H116" s="54">
        <f t="shared" si="17"/>
        <v>0</v>
      </c>
      <c r="I116" s="54">
        <f t="shared" si="17"/>
        <v>0</v>
      </c>
    </row>
    <row r="117" spans="1:9" ht="31.5" hidden="1" customHeight="1">
      <c r="A117" s="77" t="s">
        <v>611</v>
      </c>
      <c r="B117" s="58" t="s">
        <v>111</v>
      </c>
      <c r="C117" s="43" t="s">
        <v>102</v>
      </c>
      <c r="D117" s="43" t="s">
        <v>638</v>
      </c>
      <c r="E117" s="43" t="s">
        <v>435</v>
      </c>
      <c r="F117" s="43" t="s">
        <v>612</v>
      </c>
      <c r="G117" s="348">
        <f t="shared" si="17"/>
        <v>0</v>
      </c>
      <c r="H117" s="348">
        <f t="shared" si="17"/>
        <v>0</v>
      </c>
      <c r="I117" s="348">
        <f t="shared" si="17"/>
        <v>0</v>
      </c>
    </row>
    <row r="118" spans="1:9" ht="47.25" hidden="1" customHeight="1">
      <c r="A118" s="77" t="s">
        <v>613</v>
      </c>
      <c r="B118" s="58" t="s">
        <v>111</v>
      </c>
      <c r="C118" s="43" t="s">
        <v>102</v>
      </c>
      <c r="D118" s="43" t="s">
        <v>638</v>
      </c>
      <c r="E118" s="43" t="s">
        <v>435</v>
      </c>
      <c r="F118" s="43" t="s">
        <v>614</v>
      </c>
      <c r="G118" s="348">
        <f>'5'!D308</f>
        <v>0</v>
      </c>
      <c r="H118" s="348">
        <f>'5'!E308</f>
        <v>0</v>
      </c>
      <c r="I118" s="348">
        <f>'5'!F308</f>
        <v>0</v>
      </c>
    </row>
    <row r="119" spans="1:9" ht="94.5" hidden="1" customHeight="1">
      <c r="A119" s="76" t="s">
        <v>482</v>
      </c>
      <c r="B119" s="58" t="s">
        <v>111</v>
      </c>
      <c r="C119" s="53" t="s">
        <v>102</v>
      </c>
      <c r="D119" s="53" t="s">
        <v>638</v>
      </c>
      <c r="E119" s="53" t="s">
        <v>483</v>
      </c>
      <c r="F119" s="53" t="s">
        <v>198</v>
      </c>
      <c r="G119" s="41">
        <f t="shared" ref="G119:I120" si="18">G120</f>
        <v>0</v>
      </c>
      <c r="H119" s="41">
        <f t="shared" si="18"/>
        <v>0</v>
      </c>
      <c r="I119" s="41">
        <f t="shared" si="18"/>
        <v>0</v>
      </c>
    </row>
    <row r="120" spans="1:9" ht="31.5" hidden="1" customHeight="1">
      <c r="A120" s="77" t="s">
        <v>611</v>
      </c>
      <c r="B120" s="58" t="s">
        <v>111</v>
      </c>
      <c r="C120" s="43" t="s">
        <v>102</v>
      </c>
      <c r="D120" s="43" t="s">
        <v>638</v>
      </c>
      <c r="E120" s="43" t="s">
        <v>483</v>
      </c>
      <c r="F120" s="43" t="s">
        <v>612</v>
      </c>
      <c r="G120" s="348">
        <f t="shared" si="18"/>
        <v>0</v>
      </c>
      <c r="H120" s="348">
        <f t="shared" si="18"/>
        <v>0</v>
      </c>
      <c r="I120" s="348">
        <f t="shared" si="18"/>
        <v>0</v>
      </c>
    </row>
    <row r="121" spans="1:9" ht="47.25" hidden="1" customHeight="1">
      <c r="A121" s="77" t="s">
        <v>613</v>
      </c>
      <c r="B121" s="58" t="s">
        <v>111</v>
      </c>
      <c r="C121" s="43" t="s">
        <v>102</v>
      </c>
      <c r="D121" s="43" t="s">
        <v>638</v>
      </c>
      <c r="E121" s="43" t="s">
        <v>483</v>
      </c>
      <c r="F121" s="43" t="s">
        <v>614</v>
      </c>
      <c r="G121" s="348"/>
      <c r="H121" s="348"/>
      <c r="I121" s="348"/>
    </row>
    <row r="122" spans="1:9" ht="70.5" customHeight="1">
      <c r="A122" s="76" t="s">
        <v>484</v>
      </c>
      <c r="B122" s="58" t="s">
        <v>111</v>
      </c>
      <c r="C122" s="53" t="s">
        <v>102</v>
      </c>
      <c r="D122" s="53" t="s">
        <v>638</v>
      </c>
      <c r="E122" s="53" t="s">
        <v>485</v>
      </c>
      <c r="F122" s="53" t="s">
        <v>198</v>
      </c>
      <c r="G122" s="41">
        <f t="shared" ref="G122:I123" si="19">G123</f>
        <v>580</v>
      </c>
      <c r="H122" s="41">
        <f t="shared" si="19"/>
        <v>80</v>
      </c>
      <c r="I122" s="41">
        <f t="shared" si="19"/>
        <v>80</v>
      </c>
    </row>
    <row r="123" spans="1:9" ht="35.25" customHeight="1">
      <c r="A123" s="77" t="s">
        <v>611</v>
      </c>
      <c r="B123" s="58" t="s">
        <v>111</v>
      </c>
      <c r="C123" s="43" t="s">
        <v>102</v>
      </c>
      <c r="D123" s="43" t="s">
        <v>638</v>
      </c>
      <c r="E123" s="43" t="s">
        <v>485</v>
      </c>
      <c r="F123" s="43" t="s">
        <v>612</v>
      </c>
      <c r="G123" s="348">
        <f t="shared" si="19"/>
        <v>580</v>
      </c>
      <c r="H123" s="348">
        <f t="shared" si="19"/>
        <v>80</v>
      </c>
      <c r="I123" s="348">
        <f t="shared" si="19"/>
        <v>80</v>
      </c>
    </row>
    <row r="124" spans="1:9" ht="51" customHeight="1">
      <c r="A124" s="77" t="s">
        <v>613</v>
      </c>
      <c r="B124" s="58" t="s">
        <v>111</v>
      </c>
      <c r="C124" s="43" t="s">
        <v>102</v>
      </c>
      <c r="D124" s="43" t="s">
        <v>638</v>
      </c>
      <c r="E124" s="43" t="s">
        <v>485</v>
      </c>
      <c r="F124" s="43" t="s">
        <v>614</v>
      </c>
      <c r="G124" s="348">
        <f>'5'!D309</f>
        <v>580</v>
      </c>
      <c r="H124" s="348">
        <f>'5'!E309</f>
        <v>80</v>
      </c>
      <c r="I124" s="348">
        <f>'5'!F309</f>
        <v>80</v>
      </c>
    </row>
    <row r="125" spans="1:9" ht="63" hidden="1" customHeight="1">
      <c r="A125" s="76" t="s">
        <v>550</v>
      </c>
      <c r="B125" s="58" t="s">
        <v>111</v>
      </c>
      <c r="C125" s="43" t="s">
        <v>102</v>
      </c>
      <c r="D125" s="43" t="s">
        <v>638</v>
      </c>
      <c r="E125" s="43" t="s">
        <v>485</v>
      </c>
      <c r="F125" s="53" t="s">
        <v>198</v>
      </c>
      <c r="G125" s="41">
        <f t="shared" ref="G125:I126" si="20">G126</f>
        <v>0</v>
      </c>
      <c r="H125" s="41">
        <f t="shared" si="20"/>
        <v>0</v>
      </c>
      <c r="I125" s="41">
        <f t="shared" si="20"/>
        <v>0</v>
      </c>
    </row>
    <row r="126" spans="1:9" ht="31.5" hidden="1" customHeight="1">
      <c r="A126" s="77" t="s">
        <v>611</v>
      </c>
      <c r="B126" s="58" t="s">
        <v>111</v>
      </c>
      <c r="C126" s="43" t="s">
        <v>102</v>
      </c>
      <c r="D126" s="43" t="s">
        <v>638</v>
      </c>
      <c r="E126" s="43" t="s">
        <v>485</v>
      </c>
      <c r="F126" s="43" t="s">
        <v>612</v>
      </c>
      <c r="G126" s="348">
        <f t="shared" si="20"/>
        <v>0</v>
      </c>
      <c r="H126" s="348">
        <f t="shared" si="20"/>
        <v>0</v>
      </c>
      <c r="I126" s="348">
        <f t="shared" si="20"/>
        <v>0</v>
      </c>
    </row>
    <row r="127" spans="1:9" ht="47.25" hidden="1" customHeight="1">
      <c r="A127" s="77" t="s">
        <v>613</v>
      </c>
      <c r="B127" s="58" t="s">
        <v>111</v>
      </c>
      <c r="C127" s="43" t="s">
        <v>102</v>
      </c>
      <c r="D127" s="43" t="s">
        <v>638</v>
      </c>
      <c r="E127" s="43" t="s">
        <v>485</v>
      </c>
      <c r="F127" s="43" t="s">
        <v>614</v>
      </c>
      <c r="G127" s="348">
        <v>0</v>
      </c>
      <c r="H127" s="348">
        <v>0</v>
      </c>
      <c r="I127" s="348">
        <v>0</v>
      </c>
    </row>
    <row r="128" spans="1:9" ht="48" customHeight="1">
      <c r="A128" s="76" t="s">
        <v>658</v>
      </c>
      <c r="B128" s="61">
        <v>951</v>
      </c>
      <c r="C128" s="53" t="s">
        <v>102</v>
      </c>
      <c r="D128" s="53" t="s">
        <v>638</v>
      </c>
      <c r="E128" s="53" t="s">
        <v>18</v>
      </c>
      <c r="F128" s="53" t="s">
        <v>198</v>
      </c>
      <c r="G128" s="41">
        <f>G132+G140+G129+G143</f>
        <v>120</v>
      </c>
      <c r="H128" s="41">
        <f>H132+H140+H129+H143</f>
        <v>120</v>
      </c>
      <c r="I128" s="41">
        <f>I132+I140+I129+I143</f>
        <v>140</v>
      </c>
    </row>
    <row r="129" spans="1:9" ht="31.5" hidden="1" customHeight="1">
      <c r="A129" s="86" t="s">
        <v>659</v>
      </c>
      <c r="B129" s="61">
        <v>951</v>
      </c>
      <c r="C129" s="53" t="s">
        <v>102</v>
      </c>
      <c r="D129" s="53" t="s">
        <v>638</v>
      </c>
      <c r="E129" s="58" t="s">
        <v>19</v>
      </c>
      <c r="F129" s="43" t="s">
        <v>198</v>
      </c>
      <c r="G129" s="348">
        <f t="shared" ref="G129:I130" si="21">G130</f>
        <v>0</v>
      </c>
      <c r="H129" s="348">
        <f t="shared" si="21"/>
        <v>0</v>
      </c>
      <c r="I129" s="348">
        <f t="shared" si="21"/>
        <v>0</v>
      </c>
    </row>
    <row r="130" spans="1:9" ht="31.5" hidden="1" customHeight="1">
      <c r="A130" s="77" t="s">
        <v>611</v>
      </c>
      <c r="B130" s="61">
        <v>951</v>
      </c>
      <c r="C130" s="53" t="s">
        <v>102</v>
      </c>
      <c r="D130" s="53" t="s">
        <v>638</v>
      </c>
      <c r="E130" s="58" t="s">
        <v>19</v>
      </c>
      <c r="F130" s="43" t="s">
        <v>612</v>
      </c>
      <c r="G130" s="348">
        <f t="shared" si="21"/>
        <v>0</v>
      </c>
      <c r="H130" s="348">
        <f t="shared" si="21"/>
        <v>0</v>
      </c>
      <c r="I130" s="348">
        <f t="shared" si="21"/>
        <v>0</v>
      </c>
    </row>
    <row r="131" spans="1:9" ht="47.25" hidden="1" customHeight="1">
      <c r="A131" s="77" t="s">
        <v>613</v>
      </c>
      <c r="B131" s="61">
        <v>951</v>
      </c>
      <c r="C131" s="53" t="s">
        <v>102</v>
      </c>
      <c r="D131" s="53" t="s">
        <v>638</v>
      </c>
      <c r="E131" s="58" t="s">
        <v>19</v>
      </c>
      <c r="F131" s="43" t="s">
        <v>614</v>
      </c>
      <c r="G131" s="348"/>
      <c r="H131" s="348"/>
      <c r="I131" s="348"/>
    </row>
    <row r="132" spans="1:9" ht="47.25" hidden="1" customHeight="1">
      <c r="A132" s="86" t="s">
        <v>159</v>
      </c>
      <c r="B132" s="61">
        <v>951</v>
      </c>
      <c r="C132" s="53" t="s">
        <v>102</v>
      </c>
      <c r="D132" s="53" t="s">
        <v>638</v>
      </c>
      <c r="E132" s="58" t="s">
        <v>31</v>
      </c>
      <c r="F132" s="43" t="s">
        <v>198</v>
      </c>
      <c r="G132" s="348">
        <f>G133</f>
        <v>0</v>
      </c>
      <c r="H132" s="348">
        <f t="shared" ref="H132:I135" si="22">H133</f>
        <v>0</v>
      </c>
      <c r="I132" s="348">
        <f t="shared" si="22"/>
        <v>0</v>
      </c>
    </row>
    <row r="133" spans="1:9" ht="63" hidden="1" customHeight="1">
      <c r="A133" s="76" t="s">
        <v>660</v>
      </c>
      <c r="B133" s="61">
        <v>951</v>
      </c>
      <c r="C133" s="53" t="s">
        <v>102</v>
      </c>
      <c r="D133" s="53" t="s">
        <v>638</v>
      </c>
      <c r="E133" s="53" t="s">
        <v>601</v>
      </c>
      <c r="F133" s="53" t="s">
        <v>198</v>
      </c>
      <c r="G133" s="41">
        <f>G134+G137</f>
        <v>0</v>
      </c>
      <c r="H133" s="41">
        <f>H134+H137</f>
        <v>0</v>
      </c>
      <c r="I133" s="41">
        <f>I134+I137</f>
        <v>0</v>
      </c>
    </row>
    <row r="134" spans="1:9" ht="94.5" hidden="1" customHeight="1">
      <c r="A134" s="77" t="s">
        <v>1038</v>
      </c>
      <c r="B134" s="58">
        <v>951</v>
      </c>
      <c r="C134" s="43" t="s">
        <v>102</v>
      </c>
      <c r="D134" s="43" t="s">
        <v>638</v>
      </c>
      <c r="E134" s="43" t="s">
        <v>346</v>
      </c>
      <c r="F134" s="43" t="s">
        <v>198</v>
      </c>
      <c r="G134" s="348">
        <f>G135</f>
        <v>0</v>
      </c>
      <c r="H134" s="348">
        <f t="shared" si="22"/>
        <v>0</v>
      </c>
      <c r="I134" s="348">
        <f t="shared" si="22"/>
        <v>0</v>
      </c>
    </row>
    <row r="135" spans="1:9" ht="47.25" hidden="1" customHeight="1">
      <c r="A135" s="77" t="s">
        <v>661</v>
      </c>
      <c r="B135" s="58">
        <v>951</v>
      </c>
      <c r="C135" s="43" t="s">
        <v>102</v>
      </c>
      <c r="D135" s="43" t="s">
        <v>638</v>
      </c>
      <c r="E135" s="43" t="s">
        <v>346</v>
      </c>
      <c r="F135" s="43" t="s">
        <v>662</v>
      </c>
      <c r="G135" s="348">
        <f>G136</f>
        <v>0</v>
      </c>
      <c r="H135" s="348">
        <f t="shared" si="22"/>
        <v>0</v>
      </c>
      <c r="I135" s="348">
        <f t="shared" si="22"/>
        <v>0</v>
      </c>
    </row>
    <row r="136" spans="1:9" ht="15.75" hidden="1" customHeight="1">
      <c r="A136" s="77" t="s">
        <v>663</v>
      </c>
      <c r="B136" s="58">
        <v>951</v>
      </c>
      <c r="C136" s="43" t="s">
        <v>102</v>
      </c>
      <c r="D136" s="43" t="s">
        <v>638</v>
      </c>
      <c r="E136" s="43" t="s">
        <v>346</v>
      </c>
      <c r="F136" s="43" t="s">
        <v>664</v>
      </c>
      <c r="G136" s="348"/>
      <c r="H136" s="348"/>
      <c r="I136" s="348"/>
    </row>
    <row r="137" spans="1:9" ht="110.25" hidden="1" customHeight="1">
      <c r="A137" s="77" t="s">
        <v>1039</v>
      </c>
      <c r="B137" s="58">
        <v>951</v>
      </c>
      <c r="C137" s="43" t="s">
        <v>102</v>
      </c>
      <c r="D137" s="43" t="s">
        <v>638</v>
      </c>
      <c r="E137" s="43" t="s">
        <v>529</v>
      </c>
      <c r="F137" s="43" t="s">
        <v>198</v>
      </c>
      <c r="G137" s="348">
        <f t="shared" ref="G137:I138" si="23">G138</f>
        <v>0</v>
      </c>
      <c r="H137" s="348">
        <f t="shared" si="23"/>
        <v>0</v>
      </c>
      <c r="I137" s="348">
        <f t="shared" si="23"/>
        <v>0</v>
      </c>
    </row>
    <row r="138" spans="1:9" ht="47.25" hidden="1" customHeight="1">
      <c r="A138" s="77" t="s">
        <v>661</v>
      </c>
      <c r="B138" s="58">
        <v>951</v>
      </c>
      <c r="C138" s="43" t="s">
        <v>102</v>
      </c>
      <c r="D138" s="43" t="s">
        <v>638</v>
      </c>
      <c r="E138" s="43" t="s">
        <v>529</v>
      </c>
      <c r="F138" s="43" t="s">
        <v>662</v>
      </c>
      <c r="G138" s="348">
        <f t="shared" si="23"/>
        <v>0</v>
      </c>
      <c r="H138" s="348">
        <f t="shared" si="23"/>
        <v>0</v>
      </c>
      <c r="I138" s="348">
        <f t="shared" si="23"/>
        <v>0</v>
      </c>
    </row>
    <row r="139" spans="1:9" ht="15.75" hidden="1" customHeight="1">
      <c r="A139" s="77" t="s">
        <v>663</v>
      </c>
      <c r="B139" s="58">
        <v>951</v>
      </c>
      <c r="C139" s="43" t="s">
        <v>102</v>
      </c>
      <c r="D139" s="43" t="s">
        <v>638</v>
      </c>
      <c r="E139" s="43" t="s">
        <v>529</v>
      </c>
      <c r="F139" s="43" t="s">
        <v>664</v>
      </c>
      <c r="G139" s="348"/>
      <c r="H139" s="348"/>
      <c r="I139" s="348"/>
    </row>
    <row r="140" spans="1:9" ht="94.5" hidden="1" customHeight="1">
      <c r="A140" s="76" t="s">
        <v>352</v>
      </c>
      <c r="B140" s="61">
        <v>951</v>
      </c>
      <c r="C140" s="53" t="s">
        <v>102</v>
      </c>
      <c r="D140" s="53" t="s">
        <v>638</v>
      </c>
      <c r="E140" s="53" t="s">
        <v>347</v>
      </c>
      <c r="F140" s="53" t="s">
        <v>198</v>
      </c>
      <c r="G140" s="41">
        <f t="shared" ref="G140:I141" si="24">G141</f>
        <v>0</v>
      </c>
      <c r="H140" s="41">
        <f t="shared" si="24"/>
        <v>0</v>
      </c>
      <c r="I140" s="41">
        <f t="shared" si="24"/>
        <v>0</v>
      </c>
    </row>
    <row r="141" spans="1:9" ht="31.5" hidden="1" customHeight="1">
      <c r="A141" s="77" t="s">
        <v>611</v>
      </c>
      <c r="B141" s="58">
        <v>951</v>
      </c>
      <c r="C141" s="43" t="s">
        <v>102</v>
      </c>
      <c r="D141" s="43" t="s">
        <v>638</v>
      </c>
      <c r="E141" s="43" t="s">
        <v>347</v>
      </c>
      <c r="F141" s="43" t="s">
        <v>612</v>
      </c>
      <c r="G141" s="348">
        <f t="shared" si="24"/>
        <v>0</v>
      </c>
      <c r="H141" s="348">
        <f t="shared" si="24"/>
        <v>0</v>
      </c>
      <c r="I141" s="348">
        <f t="shared" si="24"/>
        <v>0</v>
      </c>
    </row>
    <row r="142" spans="1:9" ht="47.25" hidden="1" customHeight="1">
      <c r="A142" s="77" t="s">
        <v>613</v>
      </c>
      <c r="B142" s="58">
        <v>951</v>
      </c>
      <c r="C142" s="43" t="s">
        <v>102</v>
      </c>
      <c r="D142" s="43" t="s">
        <v>638</v>
      </c>
      <c r="E142" s="43" t="s">
        <v>347</v>
      </c>
      <c r="F142" s="43" t="s">
        <v>614</v>
      </c>
      <c r="G142" s="348"/>
      <c r="H142" s="348"/>
      <c r="I142" s="348"/>
    </row>
    <row r="143" spans="1:9" ht="36.75" customHeight="1">
      <c r="A143" s="86" t="s">
        <v>665</v>
      </c>
      <c r="B143" s="58">
        <v>951</v>
      </c>
      <c r="C143" s="43" t="s">
        <v>102</v>
      </c>
      <c r="D143" s="43" t="s">
        <v>638</v>
      </c>
      <c r="E143" s="43" t="s">
        <v>21</v>
      </c>
      <c r="F143" s="43" t="s">
        <v>198</v>
      </c>
      <c r="G143" s="348">
        <f t="shared" ref="G143:I144" si="25">G144</f>
        <v>120</v>
      </c>
      <c r="H143" s="348">
        <f t="shared" si="25"/>
        <v>120</v>
      </c>
      <c r="I143" s="348">
        <f t="shared" si="25"/>
        <v>140</v>
      </c>
    </row>
    <row r="144" spans="1:9" ht="36" customHeight="1">
      <c r="A144" s="77" t="s">
        <v>611</v>
      </c>
      <c r="B144" s="58">
        <v>951</v>
      </c>
      <c r="C144" s="43" t="s">
        <v>102</v>
      </c>
      <c r="D144" s="43" t="s">
        <v>638</v>
      </c>
      <c r="E144" s="43" t="s">
        <v>348</v>
      </c>
      <c r="F144" s="43" t="s">
        <v>612</v>
      </c>
      <c r="G144" s="348">
        <f t="shared" si="25"/>
        <v>120</v>
      </c>
      <c r="H144" s="348">
        <f t="shared" si="25"/>
        <v>120</v>
      </c>
      <c r="I144" s="348">
        <f t="shared" si="25"/>
        <v>140</v>
      </c>
    </row>
    <row r="145" spans="1:9" ht="50.25" customHeight="1">
      <c r="A145" s="77" t="s">
        <v>613</v>
      </c>
      <c r="B145" s="58">
        <v>951</v>
      </c>
      <c r="C145" s="43" t="s">
        <v>102</v>
      </c>
      <c r="D145" s="43" t="s">
        <v>638</v>
      </c>
      <c r="E145" s="43" t="s">
        <v>348</v>
      </c>
      <c r="F145" s="43" t="s">
        <v>614</v>
      </c>
      <c r="G145" s="348">
        <f>'5'!D104</f>
        <v>120</v>
      </c>
      <c r="H145" s="348">
        <f>'5'!E104</f>
        <v>120</v>
      </c>
      <c r="I145" s="348">
        <f>'5'!F104</f>
        <v>140</v>
      </c>
    </row>
    <row r="146" spans="1:9" ht="78.75">
      <c r="A146" s="76" t="s">
        <v>544</v>
      </c>
      <c r="B146" s="61">
        <v>951</v>
      </c>
      <c r="C146" s="53" t="s">
        <v>102</v>
      </c>
      <c r="D146" s="53" t="s">
        <v>638</v>
      </c>
      <c r="E146" s="53" t="s">
        <v>22</v>
      </c>
      <c r="F146" s="53" t="s">
        <v>198</v>
      </c>
      <c r="G146" s="41">
        <f t="shared" ref="G146:I147" si="26">G147</f>
        <v>39</v>
      </c>
      <c r="H146" s="41">
        <f t="shared" si="26"/>
        <v>39</v>
      </c>
      <c r="I146" s="41">
        <f t="shared" si="26"/>
        <v>41</v>
      </c>
    </row>
    <row r="147" spans="1:9" ht="39.75" customHeight="1">
      <c r="A147" s="77" t="s">
        <v>611</v>
      </c>
      <c r="B147" s="58">
        <v>951</v>
      </c>
      <c r="C147" s="43" t="s">
        <v>102</v>
      </c>
      <c r="D147" s="43" t="s">
        <v>638</v>
      </c>
      <c r="E147" s="43" t="s">
        <v>23</v>
      </c>
      <c r="F147" s="43" t="s">
        <v>612</v>
      </c>
      <c r="G147" s="348">
        <f t="shared" si="26"/>
        <v>39</v>
      </c>
      <c r="H147" s="348">
        <f t="shared" si="26"/>
        <v>39</v>
      </c>
      <c r="I147" s="348">
        <f t="shared" si="26"/>
        <v>41</v>
      </c>
    </row>
    <row r="148" spans="1:9" ht="48.75" customHeight="1">
      <c r="A148" s="77" t="s">
        <v>613</v>
      </c>
      <c r="B148" s="58">
        <v>951</v>
      </c>
      <c r="C148" s="43" t="s">
        <v>102</v>
      </c>
      <c r="D148" s="43" t="s">
        <v>638</v>
      </c>
      <c r="E148" s="43" t="s">
        <v>23</v>
      </c>
      <c r="F148" s="43" t="s">
        <v>614</v>
      </c>
      <c r="G148" s="348">
        <f>'5'!D125</f>
        <v>39</v>
      </c>
      <c r="H148" s="348">
        <f>'5'!E125</f>
        <v>39</v>
      </c>
      <c r="I148" s="348">
        <f>'5'!F125</f>
        <v>41</v>
      </c>
    </row>
    <row r="149" spans="1:9" ht="87.75" customHeight="1">
      <c r="A149" s="76" t="s">
        <v>528</v>
      </c>
      <c r="B149" s="61" t="s">
        <v>111</v>
      </c>
      <c r="C149" s="53" t="s">
        <v>102</v>
      </c>
      <c r="D149" s="53" t="s">
        <v>638</v>
      </c>
      <c r="E149" s="53" t="s">
        <v>282</v>
      </c>
      <c r="F149" s="53" t="s">
        <v>198</v>
      </c>
      <c r="G149" s="41">
        <f t="shared" ref="G149:I150" si="27">G150</f>
        <v>20</v>
      </c>
      <c r="H149" s="41">
        <f t="shared" si="27"/>
        <v>0</v>
      </c>
      <c r="I149" s="41">
        <f t="shared" si="27"/>
        <v>0</v>
      </c>
    </row>
    <row r="150" spans="1:9" ht="69.75" customHeight="1">
      <c r="A150" s="77" t="s">
        <v>283</v>
      </c>
      <c r="B150" s="61" t="s">
        <v>111</v>
      </c>
      <c r="C150" s="43" t="s">
        <v>102</v>
      </c>
      <c r="D150" s="43" t="s">
        <v>638</v>
      </c>
      <c r="E150" s="43" t="s">
        <v>284</v>
      </c>
      <c r="F150" s="43" t="s">
        <v>612</v>
      </c>
      <c r="G150" s="348">
        <f t="shared" si="27"/>
        <v>20</v>
      </c>
      <c r="H150" s="348">
        <f t="shared" si="27"/>
        <v>0</v>
      </c>
      <c r="I150" s="348">
        <f t="shared" si="27"/>
        <v>0</v>
      </c>
    </row>
    <row r="151" spans="1:9" ht="35.25" customHeight="1">
      <c r="A151" s="77" t="s">
        <v>669</v>
      </c>
      <c r="B151" s="61" t="s">
        <v>111</v>
      </c>
      <c r="C151" s="43" t="s">
        <v>102</v>
      </c>
      <c r="D151" s="43" t="s">
        <v>638</v>
      </c>
      <c r="E151" s="43" t="s">
        <v>285</v>
      </c>
      <c r="F151" s="43" t="s">
        <v>614</v>
      </c>
      <c r="G151" s="348">
        <f>'5'!D234</f>
        <v>20</v>
      </c>
      <c r="H151" s="348">
        <f>'5'!E234</f>
        <v>0</v>
      </c>
      <c r="I151" s="348">
        <f>'5'!F234</f>
        <v>0</v>
      </c>
    </row>
    <row r="152" spans="1:9" hidden="1">
      <c r="A152" s="81" t="s">
        <v>670</v>
      </c>
      <c r="B152" s="61" t="s">
        <v>111</v>
      </c>
      <c r="C152" s="43" t="s">
        <v>102</v>
      </c>
      <c r="D152" s="43" t="s">
        <v>638</v>
      </c>
      <c r="E152" s="59" t="s">
        <v>601</v>
      </c>
      <c r="F152" s="59" t="s">
        <v>198</v>
      </c>
      <c r="G152" s="96">
        <f>G153</f>
        <v>0</v>
      </c>
      <c r="H152" s="96">
        <f t="shared" ref="H152:I155" si="28">H153</f>
        <v>0</v>
      </c>
      <c r="I152" s="96">
        <f t="shared" si="28"/>
        <v>0</v>
      </c>
    </row>
    <row r="153" spans="1:9" ht="78.75" hidden="1" customHeight="1">
      <c r="A153" s="76" t="s">
        <v>672</v>
      </c>
      <c r="B153" s="61" t="s">
        <v>111</v>
      </c>
      <c r="C153" s="43" t="s">
        <v>102</v>
      </c>
      <c r="D153" s="43" t="s">
        <v>638</v>
      </c>
      <c r="E153" s="43" t="s">
        <v>601</v>
      </c>
      <c r="F153" s="43" t="s">
        <v>198</v>
      </c>
      <c r="G153" s="348">
        <f>G154</f>
        <v>0</v>
      </c>
      <c r="H153" s="348">
        <f t="shared" si="28"/>
        <v>0</v>
      </c>
      <c r="I153" s="348">
        <f t="shared" si="28"/>
        <v>0</v>
      </c>
    </row>
    <row r="154" spans="1:9" ht="47.25" hidden="1" customHeight="1">
      <c r="A154" s="77" t="s">
        <v>673</v>
      </c>
      <c r="B154" s="61" t="s">
        <v>111</v>
      </c>
      <c r="C154" s="43" t="s">
        <v>102</v>
      </c>
      <c r="D154" s="43" t="s">
        <v>638</v>
      </c>
      <c r="E154" s="43" t="s">
        <v>258</v>
      </c>
      <c r="F154" s="43" t="s">
        <v>198</v>
      </c>
      <c r="G154" s="348">
        <f>G155</f>
        <v>0</v>
      </c>
      <c r="H154" s="348">
        <f t="shared" si="28"/>
        <v>0</v>
      </c>
      <c r="I154" s="348">
        <f t="shared" si="28"/>
        <v>0</v>
      </c>
    </row>
    <row r="155" spans="1:9" ht="15.75" hidden="1" customHeight="1">
      <c r="A155" s="77" t="s">
        <v>674</v>
      </c>
      <c r="B155" s="61" t="s">
        <v>111</v>
      </c>
      <c r="C155" s="43" t="s">
        <v>102</v>
      </c>
      <c r="D155" s="43" t="s">
        <v>638</v>
      </c>
      <c r="E155" s="43" t="s">
        <v>258</v>
      </c>
      <c r="F155" s="43" t="s">
        <v>675</v>
      </c>
      <c r="G155" s="348">
        <f>G156</f>
        <v>0</v>
      </c>
      <c r="H155" s="348">
        <f t="shared" si="28"/>
        <v>0</v>
      </c>
      <c r="I155" s="348">
        <f t="shared" si="28"/>
        <v>0</v>
      </c>
    </row>
    <row r="156" spans="1:9" ht="15.75" hidden="1" customHeight="1">
      <c r="A156" s="77" t="s">
        <v>639</v>
      </c>
      <c r="B156" s="61" t="s">
        <v>111</v>
      </c>
      <c r="C156" s="43" t="s">
        <v>102</v>
      </c>
      <c r="D156" s="43" t="s">
        <v>638</v>
      </c>
      <c r="E156" s="43" t="s">
        <v>258</v>
      </c>
      <c r="F156" s="43" t="s">
        <v>676</v>
      </c>
      <c r="G156" s="348"/>
      <c r="H156" s="348"/>
      <c r="I156" s="348"/>
    </row>
    <row r="157" spans="1:9" ht="47.25" hidden="1" customHeight="1">
      <c r="A157" s="81" t="s">
        <v>677</v>
      </c>
      <c r="B157" s="60" t="s">
        <v>111</v>
      </c>
      <c r="C157" s="59" t="s">
        <v>102</v>
      </c>
      <c r="D157" s="59" t="s">
        <v>638</v>
      </c>
      <c r="E157" s="59" t="s">
        <v>601</v>
      </c>
      <c r="F157" s="59" t="s">
        <v>198</v>
      </c>
      <c r="G157" s="96">
        <f>G158</f>
        <v>0</v>
      </c>
      <c r="H157" s="96">
        <f t="shared" ref="H157:I160" si="29">H158</f>
        <v>0</v>
      </c>
      <c r="I157" s="96">
        <f t="shared" si="29"/>
        <v>0</v>
      </c>
    </row>
    <row r="158" spans="1:9" ht="63" hidden="1" customHeight="1">
      <c r="A158" s="77" t="s">
        <v>185</v>
      </c>
      <c r="B158" s="58" t="s">
        <v>111</v>
      </c>
      <c r="C158" s="43" t="s">
        <v>102</v>
      </c>
      <c r="D158" s="43" t="s">
        <v>638</v>
      </c>
      <c r="E158" s="43" t="s">
        <v>10</v>
      </c>
      <c r="F158" s="43" t="s">
        <v>198</v>
      </c>
      <c r="G158" s="348">
        <f>G159</f>
        <v>0</v>
      </c>
      <c r="H158" s="348">
        <f t="shared" si="29"/>
        <v>0</v>
      </c>
      <c r="I158" s="348">
        <f t="shared" si="29"/>
        <v>0</v>
      </c>
    </row>
    <row r="159" spans="1:9" ht="47.25" hidden="1" customHeight="1">
      <c r="A159" s="77" t="s">
        <v>679</v>
      </c>
      <c r="B159" s="58" t="s">
        <v>111</v>
      </c>
      <c r="C159" s="43" t="s">
        <v>102</v>
      </c>
      <c r="D159" s="43" t="s">
        <v>638</v>
      </c>
      <c r="E159" s="43" t="s">
        <v>10</v>
      </c>
      <c r="F159" s="43" t="s">
        <v>198</v>
      </c>
      <c r="G159" s="348">
        <f>G160</f>
        <v>0</v>
      </c>
      <c r="H159" s="348">
        <f t="shared" si="29"/>
        <v>0</v>
      </c>
      <c r="I159" s="348">
        <f t="shared" si="29"/>
        <v>0</v>
      </c>
    </row>
    <row r="160" spans="1:9" ht="31.5" hidden="1" customHeight="1">
      <c r="A160" s="77" t="s">
        <v>611</v>
      </c>
      <c r="B160" s="58" t="s">
        <v>111</v>
      </c>
      <c r="C160" s="43" t="s">
        <v>102</v>
      </c>
      <c r="D160" s="43" t="s">
        <v>638</v>
      </c>
      <c r="E160" s="43" t="s">
        <v>10</v>
      </c>
      <c r="F160" s="43" t="s">
        <v>612</v>
      </c>
      <c r="G160" s="348">
        <f>G161</f>
        <v>0</v>
      </c>
      <c r="H160" s="348">
        <f t="shared" si="29"/>
        <v>0</v>
      </c>
      <c r="I160" s="348">
        <f t="shared" si="29"/>
        <v>0</v>
      </c>
    </row>
    <row r="161" spans="1:12" ht="47.25" hidden="1" customHeight="1">
      <c r="A161" s="77" t="s">
        <v>613</v>
      </c>
      <c r="B161" s="58" t="s">
        <v>111</v>
      </c>
      <c r="C161" s="43" t="s">
        <v>102</v>
      </c>
      <c r="D161" s="43" t="s">
        <v>638</v>
      </c>
      <c r="E161" s="43" t="s">
        <v>10</v>
      </c>
      <c r="F161" s="43" t="s">
        <v>614</v>
      </c>
      <c r="G161" s="348"/>
      <c r="H161" s="348"/>
      <c r="I161" s="348"/>
    </row>
    <row r="162" spans="1:12" ht="94.5" hidden="1" customHeight="1">
      <c r="A162" s="76" t="s">
        <v>844</v>
      </c>
      <c r="B162" s="61" t="s">
        <v>111</v>
      </c>
      <c r="C162" s="43" t="s">
        <v>102</v>
      </c>
      <c r="D162" s="43" t="s">
        <v>638</v>
      </c>
      <c r="E162" s="53" t="s">
        <v>681</v>
      </c>
      <c r="F162" s="43" t="s">
        <v>198</v>
      </c>
      <c r="G162" s="41">
        <f t="shared" ref="G162:I163" si="30">G163</f>
        <v>0</v>
      </c>
      <c r="H162" s="41">
        <f t="shared" si="30"/>
        <v>0</v>
      </c>
      <c r="I162" s="41">
        <f t="shared" si="30"/>
        <v>0</v>
      </c>
    </row>
    <row r="163" spans="1:12" ht="94.5" hidden="1" customHeight="1">
      <c r="A163" s="77" t="s">
        <v>605</v>
      </c>
      <c r="B163" s="58" t="s">
        <v>111</v>
      </c>
      <c r="C163" s="43" t="s">
        <v>102</v>
      </c>
      <c r="D163" s="43" t="s">
        <v>638</v>
      </c>
      <c r="E163" s="43" t="s">
        <v>681</v>
      </c>
      <c r="F163" s="43" t="s">
        <v>606</v>
      </c>
      <c r="G163" s="348">
        <f t="shared" si="30"/>
        <v>0</v>
      </c>
      <c r="H163" s="348">
        <f t="shared" si="30"/>
        <v>0</v>
      </c>
      <c r="I163" s="348">
        <f t="shared" si="30"/>
        <v>0</v>
      </c>
    </row>
    <row r="164" spans="1:12" ht="47.25" hidden="1" customHeight="1">
      <c r="A164" s="77" t="s">
        <v>607</v>
      </c>
      <c r="B164" s="58" t="s">
        <v>111</v>
      </c>
      <c r="C164" s="43" t="s">
        <v>102</v>
      </c>
      <c r="D164" s="43" t="s">
        <v>638</v>
      </c>
      <c r="E164" s="43" t="s">
        <v>681</v>
      </c>
      <c r="F164" s="43" t="s">
        <v>608</v>
      </c>
      <c r="G164" s="348"/>
      <c r="H164" s="348"/>
      <c r="I164" s="348"/>
    </row>
    <row r="165" spans="1:12" ht="78.75" hidden="1" customHeight="1">
      <c r="A165" s="76" t="s">
        <v>682</v>
      </c>
      <c r="B165" s="61" t="s">
        <v>111</v>
      </c>
      <c r="C165" s="43" t="s">
        <v>102</v>
      </c>
      <c r="D165" s="43" t="s">
        <v>638</v>
      </c>
      <c r="E165" s="53" t="s">
        <v>683</v>
      </c>
      <c r="F165" s="53" t="s">
        <v>198</v>
      </c>
      <c r="G165" s="41">
        <f>G166+G168</f>
        <v>0</v>
      </c>
      <c r="H165" s="41">
        <f>H166+H168</f>
        <v>0</v>
      </c>
      <c r="I165" s="41">
        <f>I166+I168</f>
        <v>0</v>
      </c>
    </row>
    <row r="166" spans="1:12" ht="94.5" hidden="1" customHeight="1">
      <c r="A166" s="77" t="s">
        <v>605</v>
      </c>
      <c r="B166" s="58" t="s">
        <v>111</v>
      </c>
      <c r="C166" s="43" t="s">
        <v>102</v>
      </c>
      <c r="D166" s="43" t="s">
        <v>638</v>
      </c>
      <c r="E166" s="43" t="s">
        <v>683</v>
      </c>
      <c r="F166" s="43" t="s">
        <v>606</v>
      </c>
      <c r="G166" s="348">
        <f>G167</f>
        <v>0</v>
      </c>
      <c r="H166" s="348">
        <f>H167</f>
        <v>0</v>
      </c>
      <c r="I166" s="348">
        <f>I167</f>
        <v>0</v>
      </c>
    </row>
    <row r="167" spans="1:12" ht="47.25" hidden="1" customHeight="1">
      <c r="A167" s="77" t="s">
        <v>607</v>
      </c>
      <c r="B167" s="58" t="s">
        <v>111</v>
      </c>
      <c r="C167" s="43" t="s">
        <v>102</v>
      </c>
      <c r="D167" s="43" t="s">
        <v>638</v>
      </c>
      <c r="E167" s="43" t="s">
        <v>683</v>
      </c>
      <c r="F167" s="43" t="s">
        <v>608</v>
      </c>
      <c r="G167" s="348"/>
      <c r="H167" s="348"/>
      <c r="I167" s="348"/>
    </row>
    <row r="168" spans="1:12" ht="31.5" hidden="1" customHeight="1">
      <c r="A168" s="77" t="s">
        <v>611</v>
      </c>
      <c r="B168" s="58" t="s">
        <v>111</v>
      </c>
      <c r="C168" s="43" t="s">
        <v>102</v>
      </c>
      <c r="D168" s="43" t="s">
        <v>638</v>
      </c>
      <c r="E168" s="43" t="s">
        <v>683</v>
      </c>
      <c r="F168" s="43" t="s">
        <v>612</v>
      </c>
      <c r="G168" s="348">
        <f>G169</f>
        <v>0</v>
      </c>
      <c r="H168" s="348">
        <f>H169</f>
        <v>0</v>
      </c>
      <c r="I168" s="348">
        <f>I169</f>
        <v>0</v>
      </c>
    </row>
    <row r="169" spans="1:12" ht="47.25" hidden="1" customHeight="1">
      <c r="A169" s="77" t="s">
        <v>613</v>
      </c>
      <c r="B169" s="58" t="s">
        <v>111</v>
      </c>
      <c r="C169" s="43" t="s">
        <v>102</v>
      </c>
      <c r="D169" s="43" t="s">
        <v>638</v>
      </c>
      <c r="E169" s="43" t="s">
        <v>683</v>
      </c>
      <c r="F169" s="43" t="s">
        <v>614</v>
      </c>
      <c r="G169" s="348"/>
      <c r="H169" s="348"/>
      <c r="I169" s="348"/>
    </row>
    <row r="170" spans="1:12" ht="110.25" hidden="1" customHeight="1">
      <c r="A170" s="76" t="s">
        <v>371</v>
      </c>
      <c r="B170" s="61" t="s">
        <v>111</v>
      </c>
      <c r="C170" s="43" t="s">
        <v>102</v>
      </c>
      <c r="D170" s="43" t="s">
        <v>638</v>
      </c>
      <c r="E170" s="53" t="s">
        <v>372</v>
      </c>
      <c r="F170" s="53" t="s">
        <v>198</v>
      </c>
      <c r="G170" s="41">
        <f t="shared" ref="G170:I171" si="31">G171</f>
        <v>0</v>
      </c>
      <c r="H170" s="41">
        <f t="shared" si="31"/>
        <v>0</v>
      </c>
      <c r="I170" s="41">
        <f t="shared" si="31"/>
        <v>0</v>
      </c>
    </row>
    <row r="171" spans="1:12" ht="31.5" hidden="1" customHeight="1">
      <c r="A171" s="77" t="s">
        <v>611</v>
      </c>
      <c r="B171" s="58" t="s">
        <v>111</v>
      </c>
      <c r="C171" s="43" t="s">
        <v>102</v>
      </c>
      <c r="D171" s="43" t="s">
        <v>638</v>
      </c>
      <c r="E171" s="43" t="s">
        <v>372</v>
      </c>
      <c r="F171" s="43" t="s">
        <v>612</v>
      </c>
      <c r="G171" s="348">
        <f t="shared" si="31"/>
        <v>0</v>
      </c>
      <c r="H171" s="348">
        <f t="shared" si="31"/>
        <v>0</v>
      </c>
      <c r="I171" s="348">
        <f t="shared" si="31"/>
        <v>0</v>
      </c>
    </row>
    <row r="172" spans="1:12" ht="47.25" hidden="1" customHeight="1">
      <c r="A172" s="77" t="s">
        <v>613</v>
      </c>
      <c r="B172" s="58" t="s">
        <v>111</v>
      </c>
      <c r="C172" s="43" t="s">
        <v>102</v>
      </c>
      <c r="D172" s="43" t="s">
        <v>638</v>
      </c>
      <c r="E172" s="43" t="s">
        <v>372</v>
      </c>
      <c r="F172" s="43" t="s">
        <v>614</v>
      </c>
      <c r="G172" s="348"/>
      <c r="H172" s="348"/>
      <c r="I172" s="348"/>
    </row>
    <row r="173" spans="1:12" ht="84" customHeight="1">
      <c r="A173" s="76" t="s">
        <v>1054</v>
      </c>
      <c r="B173" s="61" t="s">
        <v>111</v>
      </c>
      <c r="C173" s="53" t="s">
        <v>102</v>
      </c>
      <c r="D173" s="53" t="s">
        <v>638</v>
      </c>
      <c r="E173" s="53" t="s">
        <v>684</v>
      </c>
      <c r="F173" s="53" t="s">
        <v>198</v>
      </c>
      <c r="G173" s="41">
        <f t="shared" ref="G173:I174" si="32">G174</f>
        <v>20</v>
      </c>
      <c r="H173" s="41">
        <f t="shared" si="32"/>
        <v>0</v>
      </c>
      <c r="I173" s="41">
        <f t="shared" si="32"/>
        <v>0</v>
      </c>
    </row>
    <row r="174" spans="1:12" ht="36.75" customHeight="1">
      <c r="A174" s="77" t="s">
        <v>611</v>
      </c>
      <c r="B174" s="58" t="s">
        <v>111</v>
      </c>
      <c r="C174" s="43" t="s">
        <v>102</v>
      </c>
      <c r="D174" s="43" t="s">
        <v>638</v>
      </c>
      <c r="E174" s="43" t="s">
        <v>541</v>
      </c>
      <c r="F174" s="43" t="s">
        <v>612</v>
      </c>
      <c r="G174" s="348">
        <f t="shared" si="32"/>
        <v>20</v>
      </c>
      <c r="H174" s="348">
        <f t="shared" si="32"/>
        <v>0</v>
      </c>
      <c r="I174" s="348">
        <f t="shared" si="32"/>
        <v>0</v>
      </c>
    </row>
    <row r="175" spans="1:12" ht="52.5" customHeight="1">
      <c r="A175" s="77" t="s">
        <v>613</v>
      </c>
      <c r="B175" s="58" t="s">
        <v>111</v>
      </c>
      <c r="C175" s="43" t="s">
        <v>102</v>
      </c>
      <c r="D175" s="43" t="s">
        <v>638</v>
      </c>
      <c r="E175" s="43" t="s">
        <v>541</v>
      </c>
      <c r="F175" s="43" t="s">
        <v>614</v>
      </c>
      <c r="G175" s="348">
        <f>'5'!D248</f>
        <v>20</v>
      </c>
      <c r="H175" s="348">
        <f>'5'!E248</f>
        <v>0</v>
      </c>
      <c r="I175" s="348">
        <f>'5'!F248</f>
        <v>0</v>
      </c>
    </row>
    <row r="176" spans="1:12" ht="50.25" customHeight="1">
      <c r="A176" s="73" t="s">
        <v>677</v>
      </c>
      <c r="B176" s="191">
        <v>951</v>
      </c>
      <c r="C176" s="34" t="s">
        <v>105</v>
      </c>
      <c r="D176" s="34" t="s">
        <v>103</v>
      </c>
      <c r="E176" s="34" t="s">
        <v>601</v>
      </c>
      <c r="F176" s="34" t="s">
        <v>198</v>
      </c>
      <c r="G176" s="35">
        <f>G181+G185+G188+G177</f>
        <v>8525.27</v>
      </c>
      <c r="H176" s="35">
        <f t="shared" ref="H176:I176" si="33">H181+H185+H188+H177</f>
        <v>50</v>
      </c>
      <c r="I176" s="35">
        <f t="shared" si="33"/>
        <v>50</v>
      </c>
      <c r="J176" s="90"/>
      <c r="K176" s="90"/>
      <c r="L176" s="90"/>
    </row>
    <row r="177" spans="1:12" ht="24" customHeight="1">
      <c r="A177" s="366" t="s">
        <v>1129</v>
      </c>
      <c r="B177" s="216" t="s">
        <v>111</v>
      </c>
      <c r="C177" s="71" t="s">
        <v>105</v>
      </c>
      <c r="D177" s="71" t="s">
        <v>678</v>
      </c>
      <c r="E177" s="71" t="s">
        <v>10</v>
      </c>
      <c r="F177" s="71" t="s">
        <v>198</v>
      </c>
      <c r="G177" s="72">
        <f>G178</f>
        <v>200</v>
      </c>
      <c r="H177" s="72">
        <f t="shared" ref="H177:I177" si="34">H178</f>
        <v>50</v>
      </c>
      <c r="I177" s="72">
        <f t="shared" si="34"/>
        <v>50</v>
      </c>
      <c r="J177" s="90"/>
      <c r="K177" s="90"/>
      <c r="L177" s="90"/>
    </row>
    <row r="178" spans="1:12" ht="38.25" customHeight="1">
      <c r="A178" s="77" t="s">
        <v>1128</v>
      </c>
      <c r="B178" s="58" t="s">
        <v>111</v>
      </c>
      <c r="C178" s="43" t="s">
        <v>105</v>
      </c>
      <c r="D178" s="43" t="s">
        <v>678</v>
      </c>
      <c r="E178" s="37" t="s">
        <v>10</v>
      </c>
      <c r="F178" s="43" t="s">
        <v>198</v>
      </c>
      <c r="G178" s="348">
        <f>G179</f>
        <v>200</v>
      </c>
      <c r="H178" s="348">
        <f t="shared" ref="H178:I179" si="35">H179</f>
        <v>50</v>
      </c>
      <c r="I178" s="348">
        <f t="shared" si="35"/>
        <v>50</v>
      </c>
      <c r="J178" s="90"/>
      <c r="K178" s="90"/>
      <c r="L178" s="90"/>
    </row>
    <row r="179" spans="1:12" ht="50.25" customHeight="1">
      <c r="A179" s="77" t="s">
        <v>611</v>
      </c>
      <c r="B179" s="58" t="s">
        <v>111</v>
      </c>
      <c r="C179" s="43" t="s">
        <v>105</v>
      </c>
      <c r="D179" s="43" t="s">
        <v>678</v>
      </c>
      <c r="E179" s="37" t="s">
        <v>10</v>
      </c>
      <c r="F179" s="43" t="s">
        <v>612</v>
      </c>
      <c r="G179" s="348">
        <f>G180</f>
        <v>200</v>
      </c>
      <c r="H179" s="348">
        <f t="shared" si="35"/>
        <v>50</v>
      </c>
      <c r="I179" s="348">
        <f t="shared" si="35"/>
        <v>50</v>
      </c>
      <c r="J179" s="90"/>
      <c r="K179" s="90"/>
      <c r="L179" s="90"/>
    </row>
    <row r="180" spans="1:12" ht="50.25" customHeight="1">
      <c r="A180" s="77" t="s">
        <v>613</v>
      </c>
      <c r="B180" s="58" t="s">
        <v>111</v>
      </c>
      <c r="C180" s="43" t="s">
        <v>105</v>
      </c>
      <c r="D180" s="43" t="s">
        <v>678</v>
      </c>
      <c r="E180" s="37" t="s">
        <v>10</v>
      </c>
      <c r="F180" s="43" t="s">
        <v>614</v>
      </c>
      <c r="G180" s="348">
        <f>'3'!F235</f>
        <v>200</v>
      </c>
      <c r="H180" s="348">
        <f>'3'!G235</f>
        <v>50</v>
      </c>
      <c r="I180" s="348">
        <f>'3'!H235</f>
        <v>50</v>
      </c>
      <c r="J180" s="90"/>
      <c r="K180" s="90"/>
      <c r="L180" s="90"/>
    </row>
    <row r="181" spans="1:12" ht="62.25" customHeight="1">
      <c r="A181" s="366" t="s">
        <v>185</v>
      </c>
      <c r="B181" s="216">
        <v>951</v>
      </c>
      <c r="C181" s="71" t="s">
        <v>105</v>
      </c>
      <c r="D181" s="71" t="s">
        <v>120</v>
      </c>
      <c r="E181" s="71" t="s">
        <v>1135</v>
      </c>
      <c r="F181" s="71" t="s">
        <v>198</v>
      </c>
      <c r="G181" s="72">
        <f t="shared" ref="G181:I183" si="36">G182</f>
        <v>8314.35</v>
      </c>
      <c r="H181" s="72">
        <f t="shared" si="36"/>
        <v>0</v>
      </c>
      <c r="I181" s="72">
        <f t="shared" si="36"/>
        <v>0</v>
      </c>
    </row>
    <row r="182" spans="1:12" ht="51" customHeight="1">
      <c r="A182" s="77" t="s">
        <v>1143</v>
      </c>
      <c r="B182" s="58">
        <v>951</v>
      </c>
      <c r="C182" s="43" t="s">
        <v>105</v>
      </c>
      <c r="D182" s="43" t="s">
        <v>120</v>
      </c>
      <c r="E182" s="43" t="s">
        <v>1135</v>
      </c>
      <c r="F182" s="43" t="s">
        <v>198</v>
      </c>
      <c r="G182" s="348">
        <f t="shared" si="36"/>
        <v>8314.35</v>
      </c>
      <c r="H182" s="348">
        <f t="shared" si="36"/>
        <v>0</v>
      </c>
      <c r="I182" s="348">
        <f t="shared" si="36"/>
        <v>0</v>
      </c>
    </row>
    <row r="183" spans="1:12" ht="36.75" customHeight="1">
      <c r="A183" s="77" t="s">
        <v>611</v>
      </c>
      <c r="B183" s="58">
        <v>951</v>
      </c>
      <c r="C183" s="43" t="s">
        <v>105</v>
      </c>
      <c r="D183" s="43" t="s">
        <v>120</v>
      </c>
      <c r="E183" s="43" t="s">
        <v>1135</v>
      </c>
      <c r="F183" s="43" t="s">
        <v>612</v>
      </c>
      <c r="G183" s="348">
        <f t="shared" si="36"/>
        <v>8314.35</v>
      </c>
      <c r="H183" s="348">
        <f t="shared" si="36"/>
        <v>0</v>
      </c>
      <c r="I183" s="348">
        <f t="shared" si="36"/>
        <v>0</v>
      </c>
    </row>
    <row r="184" spans="1:12" ht="52.5" customHeight="1">
      <c r="A184" s="77" t="s">
        <v>613</v>
      </c>
      <c r="B184" s="58">
        <v>951</v>
      </c>
      <c r="C184" s="43" t="s">
        <v>105</v>
      </c>
      <c r="D184" s="43" t="s">
        <v>120</v>
      </c>
      <c r="E184" s="43" t="s">
        <v>1135</v>
      </c>
      <c r="F184" s="43" t="s">
        <v>1131</v>
      </c>
      <c r="G184" s="348">
        <f>'3'!F239</f>
        <v>8314.35</v>
      </c>
      <c r="H184" s="348">
        <f>'3'!G239</f>
        <v>0</v>
      </c>
      <c r="I184" s="348">
        <f>'3'!H239</f>
        <v>0</v>
      </c>
    </row>
    <row r="185" spans="1:12" ht="126" hidden="1" customHeight="1">
      <c r="A185" s="81" t="s">
        <v>563</v>
      </c>
      <c r="B185" s="58">
        <v>951</v>
      </c>
      <c r="C185" s="43" t="s">
        <v>105</v>
      </c>
      <c r="D185" s="43" t="s">
        <v>678</v>
      </c>
      <c r="E185" s="43" t="s">
        <v>10</v>
      </c>
      <c r="F185" s="43" t="s">
        <v>614</v>
      </c>
      <c r="G185" s="96">
        <f t="shared" ref="G185:I186" si="37">G186</f>
        <v>0</v>
      </c>
      <c r="H185" s="96">
        <f t="shared" si="37"/>
        <v>0</v>
      </c>
      <c r="I185" s="96">
        <f t="shared" si="37"/>
        <v>0</v>
      </c>
    </row>
    <row r="186" spans="1:12" ht="31.5" hidden="1" customHeight="1">
      <c r="A186" s="77" t="s">
        <v>611</v>
      </c>
      <c r="B186" s="58">
        <v>951</v>
      </c>
      <c r="C186" s="43" t="s">
        <v>105</v>
      </c>
      <c r="D186" s="43" t="s">
        <v>678</v>
      </c>
      <c r="E186" s="43" t="s">
        <v>10</v>
      </c>
      <c r="F186" s="43" t="s">
        <v>614</v>
      </c>
      <c r="G186" s="38">
        <f t="shared" si="37"/>
        <v>0</v>
      </c>
      <c r="H186" s="38">
        <f t="shared" si="37"/>
        <v>0</v>
      </c>
      <c r="I186" s="38">
        <f t="shared" si="37"/>
        <v>0</v>
      </c>
    </row>
    <row r="187" spans="1:12" ht="47.25" hidden="1" customHeight="1">
      <c r="A187" s="77" t="s">
        <v>613</v>
      </c>
      <c r="B187" s="58">
        <v>951</v>
      </c>
      <c r="C187" s="43" t="s">
        <v>105</v>
      </c>
      <c r="D187" s="43" t="s">
        <v>678</v>
      </c>
      <c r="E187" s="43" t="s">
        <v>10</v>
      </c>
      <c r="F187" s="43" t="s">
        <v>614</v>
      </c>
      <c r="G187" s="348">
        <f>'5'!D300</f>
        <v>0</v>
      </c>
      <c r="H187" s="38">
        <v>0</v>
      </c>
      <c r="I187" s="38">
        <v>0</v>
      </c>
    </row>
    <row r="188" spans="1:12" ht="47.25" customHeight="1">
      <c r="A188" s="366" t="s">
        <v>1127</v>
      </c>
      <c r="B188" s="216">
        <v>951</v>
      </c>
      <c r="C188" s="71" t="s">
        <v>105</v>
      </c>
      <c r="D188" s="71" t="s">
        <v>830</v>
      </c>
      <c r="E188" s="71" t="s">
        <v>1125</v>
      </c>
      <c r="F188" s="71" t="s">
        <v>614</v>
      </c>
      <c r="G188" s="72">
        <f>G189</f>
        <v>10.92</v>
      </c>
      <c r="H188" s="72">
        <f t="shared" ref="H188:I188" si="38">H189</f>
        <v>0</v>
      </c>
      <c r="I188" s="72">
        <f t="shared" si="38"/>
        <v>0</v>
      </c>
    </row>
    <row r="189" spans="1:12" ht="47.25" customHeight="1">
      <c r="A189" s="77" t="s">
        <v>1126</v>
      </c>
      <c r="B189" s="58">
        <v>951</v>
      </c>
      <c r="C189" s="43" t="s">
        <v>105</v>
      </c>
      <c r="D189" s="43" t="s">
        <v>830</v>
      </c>
      <c r="E189" s="43" t="s">
        <v>1125</v>
      </c>
      <c r="F189" s="43" t="s">
        <v>614</v>
      </c>
      <c r="G189" s="348">
        <f>G190</f>
        <v>10.92</v>
      </c>
      <c r="H189" s="348">
        <f t="shared" ref="H189:I189" si="39">H190</f>
        <v>0</v>
      </c>
      <c r="I189" s="348">
        <f t="shared" si="39"/>
        <v>0</v>
      </c>
    </row>
    <row r="190" spans="1:12" ht="47.25" customHeight="1">
      <c r="A190" s="77" t="s">
        <v>611</v>
      </c>
      <c r="B190" s="58">
        <v>951</v>
      </c>
      <c r="C190" s="43" t="s">
        <v>105</v>
      </c>
      <c r="D190" s="43" t="s">
        <v>830</v>
      </c>
      <c r="E190" s="43" t="s">
        <v>1125</v>
      </c>
      <c r="F190" s="43" t="s">
        <v>614</v>
      </c>
      <c r="G190" s="348">
        <f>G191</f>
        <v>10.92</v>
      </c>
      <c r="H190" s="348">
        <f t="shared" ref="H190:I190" si="40">H191</f>
        <v>0</v>
      </c>
      <c r="I190" s="348">
        <f t="shared" si="40"/>
        <v>0</v>
      </c>
    </row>
    <row r="191" spans="1:12" ht="47.25" customHeight="1">
      <c r="A191" s="77" t="s">
        <v>613</v>
      </c>
      <c r="B191" s="58">
        <v>951</v>
      </c>
      <c r="C191" s="43" t="s">
        <v>105</v>
      </c>
      <c r="D191" s="43" t="s">
        <v>830</v>
      </c>
      <c r="E191" s="43" t="s">
        <v>1125</v>
      </c>
      <c r="F191" s="43" t="s">
        <v>614</v>
      </c>
      <c r="G191" s="348">
        <f>'5'!D304</f>
        <v>10.92</v>
      </c>
      <c r="H191" s="348">
        <f>'5'!E304</f>
        <v>0</v>
      </c>
      <c r="I191" s="348">
        <f>'5'!F304</f>
        <v>0</v>
      </c>
    </row>
    <row r="192" spans="1:12">
      <c r="A192" s="73" t="s">
        <v>685</v>
      </c>
      <c r="B192" s="191">
        <v>951</v>
      </c>
      <c r="C192" s="34" t="s">
        <v>107</v>
      </c>
      <c r="D192" s="34" t="s">
        <v>103</v>
      </c>
      <c r="E192" s="34" t="s">
        <v>601</v>
      </c>
      <c r="F192" s="34" t="s">
        <v>198</v>
      </c>
      <c r="G192" s="35">
        <f>G204+G226+G252+G193+G257+G200</f>
        <v>53646.153870000002</v>
      </c>
      <c r="H192" s="35">
        <f t="shared" ref="H192" si="41">H204+H226+H252+H193+H257+H200</f>
        <v>26416.098269999999</v>
      </c>
      <c r="I192" s="35">
        <f>I204+I226+I252+I193+I257+I200+I202</f>
        <v>34909.098270000002</v>
      </c>
      <c r="J192" s="90"/>
      <c r="K192" s="90"/>
      <c r="L192" s="90"/>
    </row>
    <row r="193" spans="1:9">
      <c r="A193" s="194" t="s">
        <v>686</v>
      </c>
      <c r="B193" s="195" t="s">
        <v>111</v>
      </c>
      <c r="C193" s="196" t="s">
        <v>107</v>
      </c>
      <c r="D193" s="196" t="s">
        <v>620</v>
      </c>
      <c r="E193" s="196" t="s">
        <v>601</v>
      </c>
      <c r="F193" s="196" t="s">
        <v>198</v>
      </c>
      <c r="G193" s="197">
        <f>G194+G197</f>
        <v>1485.3911900000001</v>
      </c>
      <c r="H193" s="197">
        <f t="shared" ref="H193:I193" si="42">H194+H197</f>
        <v>1485.3911900000001</v>
      </c>
      <c r="I193" s="197">
        <f t="shared" si="42"/>
        <v>1485.3911900000001</v>
      </c>
    </row>
    <row r="194" spans="1:9" ht="117.75" customHeight="1">
      <c r="A194" s="77" t="s">
        <v>687</v>
      </c>
      <c r="B194" s="58" t="s">
        <v>111</v>
      </c>
      <c r="C194" s="43" t="s">
        <v>107</v>
      </c>
      <c r="D194" s="43" t="s">
        <v>620</v>
      </c>
      <c r="E194" s="43" t="s">
        <v>25</v>
      </c>
      <c r="F194" s="43" t="s">
        <v>198</v>
      </c>
      <c r="G194" s="348">
        <f t="shared" ref="G194:I195" si="43">G195</f>
        <v>1485.3911900000001</v>
      </c>
      <c r="H194" s="348">
        <f t="shared" si="43"/>
        <v>1485.3911900000001</v>
      </c>
      <c r="I194" s="348">
        <f t="shared" si="43"/>
        <v>1485.3911900000001</v>
      </c>
    </row>
    <row r="195" spans="1:9" ht="36" customHeight="1">
      <c r="A195" s="74" t="s">
        <v>611</v>
      </c>
      <c r="B195" s="47" t="s">
        <v>111</v>
      </c>
      <c r="C195" s="37" t="s">
        <v>107</v>
      </c>
      <c r="D195" s="37" t="s">
        <v>620</v>
      </c>
      <c r="E195" s="37" t="s">
        <v>25</v>
      </c>
      <c r="F195" s="37" t="s">
        <v>612</v>
      </c>
      <c r="G195" s="38">
        <f t="shared" si="43"/>
        <v>1485.3911900000001</v>
      </c>
      <c r="H195" s="38">
        <f t="shared" si="43"/>
        <v>1485.3911900000001</v>
      </c>
      <c r="I195" s="38">
        <f t="shared" si="43"/>
        <v>1485.3911900000001</v>
      </c>
    </row>
    <row r="196" spans="1:9" ht="55.5" customHeight="1">
      <c r="A196" s="77" t="s">
        <v>613</v>
      </c>
      <c r="B196" s="58" t="s">
        <v>111</v>
      </c>
      <c r="C196" s="43" t="s">
        <v>107</v>
      </c>
      <c r="D196" s="43" t="s">
        <v>620</v>
      </c>
      <c r="E196" s="43" t="s">
        <v>25</v>
      </c>
      <c r="F196" s="43" t="s">
        <v>614</v>
      </c>
      <c r="G196" s="348">
        <f>'5'!D319</f>
        <v>1485.3911900000001</v>
      </c>
      <c r="H196" s="348">
        <f>'5'!E319</f>
        <v>1485.3911900000001</v>
      </c>
      <c r="I196" s="348">
        <f>'5'!F319</f>
        <v>1485.3911900000001</v>
      </c>
    </row>
    <row r="197" spans="1:9" ht="78.75" hidden="1" customHeight="1">
      <c r="A197" s="75" t="s">
        <v>486</v>
      </c>
      <c r="B197" s="201" t="s">
        <v>111</v>
      </c>
      <c r="C197" s="2" t="s">
        <v>107</v>
      </c>
      <c r="D197" s="2" t="s">
        <v>620</v>
      </c>
      <c r="E197" s="2" t="s">
        <v>487</v>
      </c>
      <c r="F197" s="2" t="s">
        <v>198</v>
      </c>
      <c r="G197" s="39">
        <f t="shared" ref="G197:I198" si="44">G198</f>
        <v>0</v>
      </c>
      <c r="H197" s="39">
        <f t="shared" si="44"/>
        <v>0</v>
      </c>
      <c r="I197" s="39">
        <f t="shared" si="44"/>
        <v>0</v>
      </c>
    </row>
    <row r="198" spans="1:9" ht="31.5" hidden="1" customHeight="1">
      <c r="A198" s="74" t="s">
        <v>611</v>
      </c>
      <c r="B198" s="47" t="s">
        <v>111</v>
      </c>
      <c r="C198" s="37" t="s">
        <v>107</v>
      </c>
      <c r="D198" s="37" t="s">
        <v>620</v>
      </c>
      <c r="E198" s="37" t="s">
        <v>487</v>
      </c>
      <c r="F198" s="37" t="s">
        <v>612</v>
      </c>
      <c r="G198" s="38">
        <f t="shared" si="44"/>
        <v>0</v>
      </c>
      <c r="H198" s="38">
        <f t="shared" si="44"/>
        <v>0</v>
      </c>
      <c r="I198" s="38">
        <f t="shared" si="44"/>
        <v>0</v>
      </c>
    </row>
    <row r="199" spans="1:9" ht="47.25" hidden="1" customHeight="1">
      <c r="A199" s="74" t="s">
        <v>613</v>
      </c>
      <c r="B199" s="47" t="s">
        <v>111</v>
      </c>
      <c r="C199" s="37" t="s">
        <v>107</v>
      </c>
      <c r="D199" s="37" t="s">
        <v>620</v>
      </c>
      <c r="E199" s="37" t="s">
        <v>487</v>
      </c>
      <c r="F199" s="37" t="s">
        <v>614</v>
      </c>
      <c r="G199" s="38"/>
      <c r="H199" s="38"/>
      <c r="I199" s="38"/>
    </row>
    <row r="200" spans="1:9" ht="21.75" customHeight="1">
      <c r="A200" s="202" t="s">
        <v>970</v>
      </c>
      <c r="B200" s="203" t="s">
        <v>111</v>
      </c>
      <c r="C200" s="157" t="s">
        <v>107</v>
      </c>
      <c r="D200" s="157" t="s">
        <v>620</v>
      </c>
      <c r="E200" s="157" t="s">
        <v>969</v>
      </c>
      <c r="F200" s="157" t="s">
        <v>198</v>
      </c>
      <c r="G200" s="158">
        <f>G201</f>
        <v>7418.9593300000006</v>
      </c>
      <c r="H200" s="158">
        <f t="shared" ref="H200:I200" si="45">H201</f>
        <v>0</v>
      </c>
      <c r="I200" s="158">
        <f t="shared" si="45"/>
        <v>0</v>
      </c>
    </row>
    <row r="201" spans="1:9" ht="96.75" customHeight="1">
      <c r="A201" s="76" t="s">
        <v>985</v>
      </c>
      <c r="B201" s="58" t="s">
        <v>111</v>
      </c>
      <c r="C201" s="43" t="s">
        <v>107</v>
      </c>
      <c r="D201" s="43" t="s">
        <v>620</v>
      </c>
      <c r="E201" s="43" t="s">
        <v>991</v>
      </c>
      <c r="F201" s="53" t="s">
        <v>198</v>
      </c>
      <c r="G201" s="348">
        <f>'3'!F256</f>
        <v>7418.9593300000006</v>
      </c>
      <c r="H201" s="348">
        <f>'3'!G256</f>
        <v>0</v>
      </c>
      <c r="I201" s="348">
        <f>'3'!H256</f>
        <v>0</v>
      </c>
    </row>
    <row r="202" spans="1:9" ht="15.75" hidden="1" customHeight="1">
      <c r="A202" s="76" t="s">
        <v>1037</v>
      </c>
      <c r="B202" s="58" t="s">
        <v>111</v>
      </c>
      <c r="C202" s="43" t="s">
        <v>107</v>
      </c>
      <c r="D202" s="43" t="s">
        <v>620</v>
      </c>
      <c r="E202" s="43" t="s">
        <v>1032</v>
      </c>
      <c r="F202" s="53" t="s">
        <v>198</v>
      </c>
      <c r="G202" s="348">
        <f>G203</f>
        <v>0</v>
      </c>
      <c r="H202" s="348">
        <f>H203</f>
        <v>0</v>
      </c>
      <c r="I202" s="348">
        <f>I203</f>
        <v>0</v>
      </c>
    </row>
    <row r="203" spans="1:9" ht="94.5" hidden="1" customHeight="1">
      <c r="A203" s="76" t="s">
        <v>985</v>
      </c>
      <c r="B203" s="58" t="s">
        <v>111</v>
      </c>
      <c r="C203" s="43" t="s">
        <v>107</v>
      </c>
      <c r="D203" s="43" t="s">
        <v>620</v>
      </c>
      <c r="E203" s="43" t="s">
        <v>1032</v>
      </c>
      <c r="F203" s="53" t="s">
        <v>612</v>
      </c>
      <c r="G203" s="348">
        <v>0</v>
      </c>
      <c r="H203" s="348">
        <v>0</v>
      </c>
      <c r="I203" s="348">
        <f>'3'!H261</f>
        <v>0</v>
      </c>
    </row>
    <row r="204" spans="1:9" ht="18.75" customHeight="1">
      <c r="A204" s="194" t="s">
        <v>688</v>
      </c>
      <c r="B204" s="195">
        <v>951</v>
      </c>
      <c r="C204" s="196" t="s">
        <v>107</v>
      </c>
      <c r="D204" s="196" t="s">
        <v>689</v>
      </c>
      <c r="E204" s="196" t="s">
        <v>601</v>
      </c>
      <c r="F204" s="196" t="s">
        <v>198</v>
      </c>
      <c r="G204" s="197">
        <f>G211+G214+G219+G223</f>
        <v>10508.46831</v>
      </c>
      <c r="H204" s="197">
        <f t="shared" ref="H204" si="46">H205+H209</f>
        <v>3.3870800000000001</v>
      </c>
      <c r="I204" s="197">
        <f>I223</f>
        <v>3.3870800000000001</v>
      </c>
    </row>
    <row r="205" spans="1:9" ht="15.75" hidden="1" customHeight="1">
      <c r="A205" s="74" t="s">
        <v>690</v>
      </c>
      <c r="B205" s="47">
        <v>951</v>
      </c>
      <c r="C205" s="37" t="s">
        <v>107</v>
      </c>
      <c r="D205" s="37" t="s">
        <v>689</v>
      </c>
      <c r="E205" s="37" t="s">
        <v>11</v>
      </c>
      <c r="F205" s="37" t="s">
        <v>198</v>
      </c>
      <c r="G205" s="38">
        <f t="shared" ref="G205:I207" si="47">G206</f>
        <v>0</v>
      </c>
      <c r="H205" s="38">
        <f t="shared" si="47"/>
        <v>0</v>
      </c>
      <c r="I205" s="38">
        <f t="shared" si="47"/>
        <v>0</v>
      </c>
    </row>
    <row r="206" spans="1:9" s="204" customFormat="1" ht="47.25" hidden="1">
      <c r="A206" s="77" t="s">
        <v>694</v>
      </c>
      <c r="B206" s="58">
        <v>951</v>
      </c>
      <c r="C206" s="43" t="s">
        <v>107</v>
      </c>
      <c r="D206" s="43" t="s">
        <v>689</v>
      </c>
      <c r="E206" s="43" t="s">
        <v>11</v>
      </c>
      <c r="F206" s="43" t="s">
        <v>198</v>
      </c>
      <c r="G206" s="348">
        <f t="shared" si="47"/>
        <v>0</v>
      </c>
      <c r="H206" s="348">
        <f t="shared" si="47"/>
        <v>0</v>
      </c>
      <c r="I206" s="348">
        <f t="shared" si="47"/>
        <v>0</v>
      </c>
    </row>
    <row r="207" spans="1:9" s="204" customFormat="1" ht="15.75" hidden="1" customHeight="1">
      <c r="A207" s="77" t="s">
        <v>615</v>
      </c>
      <c r="B207" s="58">
        <v>951</v>
      </c>
      <c r="C207" s="43" t="s">
        <v>107</v>
      </c>
      <c r="D207" s="43" t="s">
        <v>689</v>
      </c>
      <c r="E207" s="43" t="s">
        <v>11</v>
      </c>
      <c r="F207" s="43" t="s">
        <v>616</v>
      </c>
      <c r="G207" s="348">
        <f t="shared" si="47"/>
        <v>0</v>
      </c>
      <c r="H207" s="348">
        <f t="shared" si="47"/>
        <v>0</v>
      </c>
      <c r="I207" s="348">
        <f t="shared" si="47"/>
        <v>0</v>
      </c>
    </row>
    <row r="208" spans="1:9" s="204" customFormat="1" ht="47.25" hidden="1" customHeight="1">
      <c r="A208" s="77" t="s">
        <v>354</v>
      </c>
      <c r="B208" s="58">
        <v>951</v>
      </c>
      <c r="C208" s="43" t="s">
        <v>107</v>
      </c>
      <c r="D208" s="43" t="s">
        <v>689</v>
      </c>
      <c r="E208" s="43" t="s">
        <v>11</v>
      </c>
      <c r="F208" s="43" t="s">
        <v>691</v>
      </c>
      <c r="G208" s="348"/>
      <c r="H208" s="348"/>
      <c r="I208" s="348"/>
    </row>
    <row r="209" spans="1:9" ht="116.25" customHeight="1">
      <c r="A209" s="76" t="s">
        <v>900</v>
      </c>
      <c r="B209" s="61" t="s">
        <v>111</v>
      </c>
      <c r="C209" s="53" t="s">
        <v>107</v>
      </c>
      <c r="D209" s="53" t="s">
        <v>689</v>
      </c>
      <c r="E209" s="53" t="s">
        <v>601</v>
      </c>
      <c r="F209" s="53" t="s">
        <v>198</v>
      </c>
      <c r="G209" s="41">
        <f>G210</f>
        <v>10508.46831</v>
      </c>
      <c r="H209" s="41">
        <f t="shared" ref="H209:I209" si="48">H210</f>
        <v>3.3870800000000001</v>
      </c>
      <c r="I209" s="41">
        <f t="shared" si="48"/>
        <v>0</v>
      </c>
    </row>
    <row r="210" spans="1:9" ht="21" customHeight="1">
      <c r="A210" s="77" t="s">
        <v>690</v>
      </c>
      <c r="B210" s="58">
        <v>951</v>
      </c>
      <c r="C210" s="43" t="s">
        <v>107</v>
      </c>
      <c r="D210" s="43" t="s">
        <v>689</v>
      </c>
      <c r="E210" s="58" t="s">
        <v>894</v>
      </c>
      <c r="F210" s="43" t="s">
        <v>198</v>
      </c>
      <c r="G210" s="348">
        <f>G211+G214+G220</f>
        <v>10508.46831</v>
      </c>
      <c r="H210" s="348">
        <f t="shared" ref="H210:I210" si="49">H211+H214+H220</f>
        <v>3.3870800000000001</v>
      </c>
      <c r="I210" s="348">
        <f t="shared" si="49"/>
        <v>0</v>
      </c>
    </row>
    <row r="211" spans="1:9" ht="88.5" customHeight="1">
      <c r="A211" s="77" t="s">
        <v>584</v>
      </c>
      <c r="B211" s="58">
        <v>951</v>
      </c>
      <c r="C211" s="43" t="s">
        <v>107</v>
      </c>
      <c r="D211" s="43" t="s">
        <v>689</v>
      </c>
      <c r="E211" s="58" t="s">
        <v>895</v>
      </c>
      <c r="F211" s="43" t="s">
        <v>198</v>
      </c>
      <c r="G211" s="348">
        <f>G212</f>
        <v>8404.0649799999992</v>
      </c>
      <c r="H211" s="348">
        <f t="shared" ref="H211:I211" si="50">H212</f>
        <v>0</v>
      </c>
      <c r="I211" s="348">
        <f t="shared" si="50"/>
        <v>0</v>
      </c>
    </row>
    <row r="212" spans="1:9" ht="35.25" customHeight="1">
      <c r="A212" s="77" t="s">
        <v>611</v>
      </c>
      <c r="B212" s="58">
        <v>951</v>
      </c>
      <c r="C212" s="43" t="s">
        <v>107</v>
      </c>
      <c r="D212" s="43" t="s">
        <v>689</v>
      </c>
      <c r="E212" s="58" t="s">
        <v>895</v>
      </c>
      <c r="F212" s="43" t="s">
        <v>614</v>
      </c>
      <c r="G212" s="348">
        <f t="shared" ref="G212:I212" si="51">G213</f>
        <v>8404.0649799999992</v>
      </c>
      <c r="H212" s="348">
        <f t="shared" si="51"/>
        <v>0</v>
      </c>
      <c r="I212" s="348">
        <f t="shared" si="51"/>
        <v>0</v>
      </c>
    </row>
    <row r="213" spans="1:9" ht="51" customHeight="1">
      <c r="A213" s="77" t="s">
        <v>613</v>
      </c>
      <c r="B213" s="58">
        <v>951</v>
      </c>
      <c r="C213" s="43" t="s">
        <v>107</v>
      </c>
      <c r="D213" s="43" t="s">
        <v>689</v>
      </c>
      <c r="E213" s="58" t="s">
        <v>895</v>
      </c>
      <c r="F213" s="43" t="s">
        <v>923</v>
      </c>
      <c r="G213" s="348">
        <f>'5'!D253</f>
        <v>8404.0649799999992</v>
      </c>
      <c r="H213" s="348">
        <f>'5'!E253</f>
        <v>0</v>
      </c>
      <c r="I213" s="348">
        <f>'5'!F253</f>
        <v>0</v>
      </c>
    </row>
    <row r="214" spans="1:9" ht="87.75" customHeight="1">
      <c r="A214" s="77" t="s">
        <v>888</v>
      </c>
      <c r="B214" s="58">
        <v>951</v>
      </c>
      <c r="C214" s="43" t="s">
        <v>107</v>
      </c>
      <c r="D214" s="43" t="s">
        <v>689</v>
      </c>
      <c r="E214" s="58" t="s">
        <v>897</v>
      </c>
      <c r="F214" s="43" t="s">
        <v>198</v>
      </c>
      <c r="G214" s="348">
        <f t="shared" ref="G214:I215" si="52">G215</f>
        <v>2101.0162500000001</v>
      </c>
      <c r="H214" s="348">
        <f t="shared" si="52"/>
        <v>0</v>
      </c>
      <c r="I214" s="348">
        <f t="shared" si="52"/>
        <v>0</v>
      </c>
    </row>
    <row r="215" spans="1:9" ht="38.450000000000003" customHeight="1">
      <c r="A215" s="77" t="s">
        <v>611</v>
      </c>
      <c r="B215" s="58">
        <v>951</v>
      </c>
      <c r="C215" s="43" t="s">
        <v>107</v>
      </c>
      <c r="D215" s="43" t="s">
        <v>689</v>
      </c>
      <c r="E215" s="58" t="s">
        <v>897</v>
      </c>
      <c r="F215" s="43" t="s">
        <v>923</v>
      </c>
      <c r="G215" s="348">
        <f t="shared" si="52"/>
        <v>2101.0162500000001</v>
      </c>
      <c r="H215" s="348">
        <f t="shared" si="52"/>
        <v>0</v>
      </c>
      <c r="I215" s="348">
        <f t="shared" si="52"/>
        <v>0</v>
      </c>
    </row>
    <row r="216" spans="1:9" ht="50.25" customHeight="1">
      <c r="A216" s="77" t="s">
        <v>613</v>
      </c>
      <c r="B216" s="58">
        <v>951</v>
      </c>
      <c r="C216" s="43" t="s">
        <v>107</v>
      </c>
      <c r="D216" s="43" t="s">
        <v>689</v>
      </c>
      <c r="E216" s="58" t="s">
        <v>897</v>
      </c>
      <c r="F216" s="43" t="s">
        <v>923</v>
      </c>
      <c r="G216" s="348">
        <f>'5'!D254</f>
        <v>2101.0162500000001</v>
      </c>
      <c r="H216" s="348">
        <f>'5'!E254</f>
        <v>0</v>
      </c>
      <c r="I216" s="348">
        <f>'5'!F254</f>
        <v>0</v>
      </c>
    </row>
    <row r="217" spans="1:9" ht="31.5" hidden="1" customHeight="1">
      <c r="A217" s="77" t="s">
        <v>611</v>
      </c>
      <c r="B217" s="58">
        <v>951</v>
      </c>
      <c r="C217" s="43" t="s">
        <v>107</v>
      </c>
      <c r="D217" s="43" t="s">
        <v>689</v>
      </c>
      <c r="E217" s="43" t="s">
        <v>233</v>
      </c>
      <c r="F217" s="43" t="s">
        <v>612</v>
      </c>
      <c r="G217" s="348">
        <f>G218</f>
        <v>0</v>
      </c>
      <c r="H217" s="348">
        <f>H218</f>
        <v>0</v>
      </c>
      <c r="I217" s="348">
        <f>I218</f>
        <v>0</v>
      </c>
    </row>
    <row r="218" spans="1:9" ht="47.25" hidden="1" customHeight="1">
      <c r="A218" s="77" t="s">
        <v>613</v>
      </c>
      <c r="B218" s="58">
        <v>951</v>
      </c>
      <c r="C218" s="43" t="s">
        <v>107</v>
      </c>
      <c r="D218" s="43" t="s">
        <v>689</v>
      </c>
      <c r="E218" s="43" t="s">
        <v>233</v>
      </c>
      <c r="F218" s="43" t="s">
        <v>614</v>
      </c>
      <c r="G218" s="348"/>
      <c r="H218" s="348"/>
      <c r="I218" s="348"/>
    </row>
    <row r="219" spans="1:9" ht="162" customHeight="1">
      <c r="A219" s="76" t="s">
        <v>693</v>
      </c>
      <c r="B219" s="61" t="s">
        <v>111</v>
      </c>
      <c r="C219" s="53" t="s">
        <v>107</v>
      </c>
      <c r="D219" s="53" t="s">
        <v>689</v>
      </c>
      <c r="E219" s="53" t="s">
        <v>601</v>
      </c>
      <c r="F219" s="53" t="s">
        <v>198</v>
      </c>
      <c r="G219" s="41">
        <f t="shared" ref="G219:I220" si="53">G220</f>
        <v>3.3870800000000001</v>
      </c>
      <c r="H219" s="41">
        <f t="shared" si="53"/>
        <v>3.3870800000000001</v>
      </c>
      <c r="I219" s="41">
        <f t="shared" si="53"/>
        <v>0</v>
      </c>
    </row>
    <row r="220" spans="1:9" ht="35.25" customHeight="1">
      <c r="A220" s="77" t="s">
        <v>611</v>
      </c>
      <c r="B220" s="58" t="s">
        <v>111</v>
      </c>
      <c r="C220" s="43" t="s">
        <v>107</v>
      </c>
      <c r="D220" s="43" t="s">
        <v>689</v>
      </c>
      <c r="E220" s="58" t="s">
        <v>899</v>
      </c>
      <c r="F220" s="43" t="s">
        <v>612</v>
      </c>
      <c r="G220" s="348">
        <f t="shared" si="53"/>
        <v>3.3870800000000001</v>
      </c>
      <c r="H220" s="348">
        <f t="shared" si="53"/>
        <v>3.3870800000000001</v>
      </c>
      <c r="I220" s="348">
        <f t="shared" si="53"/>
        <v>0</v>
      </c>
    </row>
    <row r="221" spans="1:9" ht="54" customHeight="1">
      <c r="A221" s="77" t="s">
        <v>613</v>
      </c>
      <c r="B221" s="58" t="s">
        <v>111</v>
      </c>
      <c r="C221" s="43" t="s">
        <v>107</v>
      </c>
      <c r="D221" s="43" t="s">
        <v>689</v>
      </c>
      <c r="E221" s="58" t="s">
        <v>899</v>
      </c>
      <c r="F221" s="43" t="s">
        <v>614</v>
      </c>
      <c r="G221" s="348">
        <f>'5'!D255</f>
        <v>3.3870800000000001</v>
      </c>
      <c r="H221" s="348">
        <f>'5'!E255</f>
        <v>3.3870800000000001</v>
      </c>
      <c r="I221" s="348">
        <f>'5'!F255</f>
        <v>0</v>
      </c>
    </row>
    <row r="222" spans="1:9" hidden="1">
      <c r="A222" s="77" t="s">
        <v>1033</v>
      </c>
      <c r="B222" s="58" t="s">
        <v>111</v>
      </c>
      <c r="C222" s="43" t="s">
        <v>107</v>
      </c>
      <c r="D222" s="43" t="s">
        <v>689</v>
      </c>
      <c r="E222" s="58" t="s">
        <v>601</v>
      </c>
      <c r="F222" s="43" t="s">
        <v>198</v>
      </c>
      <c r="G222" s="348"/>
      <c r="H222" s="348"/>
      <c r="I222" s="348"/>
    </row>
    <row r="223" spans="1:9" ht="168.75" customHeight="1">
      <c r="A223" s="76" t="s">
        <v>693</v>
      </c>
      <c r="B223" s="58" t="s">
        <v>111</v>
      </c>
      <c r="C223" s="43" t="s">
        <v>107</v>
      </c>
      <c r="D223" s="43" t="s">
        <v>689</v>
      </c>
      <c r="E223" s="58" t="s">
        <v>286</v>
      </c>
      <c r="F223" s="43" t="s">
        <v>198</v>
      </c>
      <c r="G223" s="348">
        <f>G224</f>
        <v>0</v>
      </c>
      <c r="H223" s="348">
        <f t="shared" ref="H223:I223" si="54">H224</f>
        <v>0</v>
      </c>
      <c r="I223" s="348">
        <f t="shared" si="54"/>
        <v>3.3870800000000001</v>
      </c>
    </row>
    <row r="224" spans="1:9" ht="37.5" customHeight="1">
      <c r="A224" s="77" t="s">
        <v>611</v>
      </c>
      <c r="B224" s="58" t="s">
        <v>111</v>
      </c>
      <c r="C224" s="43" t="s">
        <v>107</v>
      </c>
      <c r="D224" s="43" t="s">
        <v>689</v>
      </c>
      <c r="E224" s="58" t="s">
        <v>286</v>
      </c>
      <c r="F224" s="43" t="s">
        <v>612</v>
      </c>
      <c r="G224" s="348">
        <f>G225</f>
        <v>0</v>
      </c>
      <c r="H224" s="348">
        <f t="shared" ref="H224:I224" si="55">H225</f>
        <v>0</v>
      </c>
      <c r="I224" s="348">
        <f t="shared" si="55"/>
        <v>3.3870800000000001</v>
      </c>
    </row>
    <row r="225" spans="1:9" ht="54" customHeight="1">
      <c r="A225" s="77" t="s">
        <v>613</v>
      </c>
      <c r="B225" s="58" t="s">
        <v>111</v>
      </c>
      <c r="C225" s="43" t="s">
        <v>107</v>
      </c>
      <c r="D225" s="43" t="s">
        <v>689</v>
      </c>
      <c r="E225" s="58" t="s">
        <v>286</v>
      </c>
      <c r="F225" s="43" t="s">
        <v>614</v>
      </c>
      <c r="G225" s="348">
        <f>'5'!D327</f>
        <v>0</v>
      </c>
      <c r="H225" s="348">
        <f>'5'!E327</f>
        <v>0</v>
      </c>
      <c r="I225" s="348">
        <f>'5'!F327</f>
        <v>3.3870800000000001</v>
      </c>
    </row>
    <row r="226" spans="1:9" ht="17.25" customHeight="1">
      <c r="A226" s="194" t="s">
        <v>695</v>
      </c>
      <c r="B226" s="195">
        <v>951</v>
      </c>
      <c r="C226" s="196" t="s">
        <v>107</v>
      </c>
      <c r="D226" s="196" t="s">
        <v>678</v>
      </c>
      <c r="E226" s="196" t="s">
        <v>601</v>
      </c>
      <c r="F226" s="196" t="s">
        <v>198</v>
      </c>
      <c r="G226" s="197">
        <f>G228+G235+G246+G244</f>
        <v>32395.0177</v>
      </c>
      <c r="H226" s="197">
        <f t="shared" ref="H226:I226" si="56">H228+H235+H246+H244</f>
        <v>24727.32</v>
      </c>
      <c r="I226" s="197">
        <f t="shared" si="56"/>
        <v>33220.32</v>
      </c>
    </row>
    <row r="227" spans="1:9" ht="83.25" customHeight="1">
      <c r="A227" s="76" t="s">
        <v>536</v>
      </c>
      <c r="B227" s="61" t="s">
        <v>111</v>
      </c>
      <c r="C227" s="53" t="s">
        <v>107</v>
      </c>
      <c r="D227" s="53" t="s">
        <v>678</v>
      </c>
      <c r="E227" s="53" t="s">
        <v>601</v>
      </c>
      <c r="F227" s="53" t="s">
        <v>198</v>
      </c>
      <c r="G227" s="41">
        <f>G228+G234+G238</f>
        <v>21250.397700000001</v>
      </c>
      <c r="H227" s="41">
        <f t="shared" ref="H227:I227" si="57">H228+H234+H238</f>
        <v>24647</v>
      </c>
      <c r="I227" s="41">
        <f t="shared" si="57"/>
        <v>33140</v>
      </c>
    </row>
    <row r="228" spans="1:9" ht="33.6" customHeight="1">
      <c r="A228" s="77" t="s">
        <v>186</v>
      </c>
      <c r="B228" s="58">
        <v>951</v>
      </c>
      <c r="C228" s="43" t="s">
        <v>107</v>
      </c>
      <c r="D228" s="43" t="s">
        <v>678</v>
      </c>
      <c r="E228" s="43" t="s">
        <v>235</v>
      </c>
      <c r="F228" s="43" t="s">
        <v>198</v>
      </c>
      <c r="G228" s="348">
        <f>G229+G231</f>
        <v>4733.8756999999987</v>
      </c>
      <c r="H228" s="348">
        <f>H229+H231</f>
        <v>7358.9079999999994</v>
      </c>
      <c r="I228" s="348">
        <f>I229+I231</f>
        <v>9894.6810000000005</v>
      </c>
    </row>
    <row r="229" spans="1:9" ht="33" customHeight="1">
      <c r="A229" s="77" t="s">
        <v>611</v>
      </c>
      <c r="B229" s="58">
        <v>951</v>
      </c>
      <c r="C229" s="43" t="s">
        <v>107</v>
      </c>
      <c r="D229" s="43" t="s">
        <v>678</v>
      </c>
      <c r="E229" s="43" t="s">
        <v>235</v>
      </c>
      <c r="F229" s="43" t="s">
        <v>612</v>
      </c>
      <c r="G229" s="348">
        <f>G230</f>
        <v>4733.8756999999987</v>
      </c>
      <c r="H229" s="348">
        <f>H230</f>
        <v>7358.9079999999994</v>
      </c>
      <c r="I229" s="348">
        <f>I230</f>
        <v>9894.6810000000005</v>
      </c>
    </row>
    <row r="230" spans="1:9" ht="47.25" customHeight="1">
      <c r="A230" s="77" t="s">
        <v>613</v>
      </c>
      <c r="B230" s="58">
        <v>951</v>
      </c>
      <c r="C230" s="43" t="s">
        <v>107</v>
      </c>
      <c r="D230" s="43" t="s">
        <v>678</v>
      </c>
      <c r="E230" s="43" t="s">
        <v>235</v>
      </c>
      <c r="F230" s="43" t="s">
        <v>614</v>
      </c>
      <c r="G230" s="348">
        <f>'5'!D211</f>
        <v>4733.8756999999987</v>
      </c>
      <c r="H230" s="348">
        <f>'5'!E211</f>
        <v>7358.9079999999994</v>
      </c>
      <c r="I230" s="348">
        <f>'5'!F211</f>
        <v>9894.6810000000005</v>
      </c>
    </row>
    <row r="231" spans="1:9" ht="47.25" hidden="1" customHeight="1">
      <c r="A231" s="77" t="s">
        <v>661</v>
      </c>
      <c r="B231" s="58">
        <v>951</v>
      </c>
      <c r="C231" s="43" t="s">
        <v>107</v>
      </c>
      <c r="D231" s="43" t="s">
        <v>678</v>
      </c>
      <c r="E231" s="43" t="s">
        <v>235</v>
      </c>
      <c r="F231" s="43" t="s">
        <v>662</v>
      </c>
      <c r="G231" s="348"/>
      <c r="H231" s="348"/>
      <c r="I231" s="348"/>
    </row>
    <row r="232" spans="1:9" ht="15.75" hidden="1" customHeight="1">
      <c r="A232" s="77" t="s">
        <v>663</v>
      </c>
      <c r="B232" s="58">
        <v>951</v>
      </c>
      <c r="C232" s="43" t="s">
        <v>107</v>
      </c>
      <c r="D232" s="43" t="s">
        <v>678</v>
      </c>
      <c r="E232" s="43" t="s">
        <v>235</v>
      </c>
      <c r="F232" s="43" t="s">
        <v>664</v>
      </c>
      <c r="G232" s="348"/>
      <c r="H232" s="348"/>
      <c r="I232" s="348"/>
    </row>
    <row r="233" spans="1:9" ht="15.75" hidden="1" customHeight="1">
      <c r="A233" s="77"/>
      <c r="B233" s="58"/>
      <c r="C233" s="43"/>
      <c r="D233" s="43"/>
      <c r="E233" s="43"/>
      <c r="F233" s="43"/>
      <c r="G233" s="348"/>
      <c r="H233" s="348"/>
      <c r="I233" s="348"/>
    </row>
    <row r="234" spans="1:9" ht="18.75" customHeight="1">
      <c r="A234" s="77" t="s">
        <v>674</v>
      </c>
      <c r="B234" s="58">
        <v>951</v>
      </c>
      <c r="C234" s="43" t="s">
        <v>107</v>
      </c>
      <c r="D234" s="43" t="s">
        <v>678</v>
      </c>
      <c r="E234" s="43" t="s">
        <v>234</v>
      </c>
      <c r="F234" s="43" t="s">
        <v>675</v>
      </c>
      <c r="G234" s="348">
        <f>G235+G236+G237</f>
        <v>16516.522000000001</v>
      </c>
      <c r="H234" s="348">
        <f>H235+H236+H237</f>
        <v>17288.092000000001</v>
      </c>
      <c r="I234" s="348">
        <f>I235+I236+I237</f>
        <v>23245.319</v>
      </c>
    </row>
    <row r="235" spans="1:9" ht="16.5" customHeight="1">
      <c r="A235" s="77" t="s">
        <v>166</v>
      </c>
      <c r="B235" s="58">
        <v>951</v>
      </c>
      <c r="C235" s="43" t="s">
        <v>107</v>
      </c>
      <c r="D235" s="43" t="s">
        <v>678</v>
      </c>
      <c r="E235" s="43" t="s">
        <v>234</v>
      </c>
      <c r="F235" s="43" t="s">
        <v>692</v>
      </c>
      <c r="G235" s="348">
        <f>'5'!D212</f>
        <v>16516.522000000001</v>
      </c>
      <c r="H235" s="348">
        <f>'5'!E212</f>
        <v>17288.092000000001</v>
      </c>
      <c r="I235" s="348">
        <f>'5'!F212</f>
        <v>23245.319</v>
      </c>
    </row>
    <row r="236" spans="1:9" ht="110.25" hidden="1">
      <c r="A236" s="77" t="s">
        <v>247</v>
      </c>
      <c r="B236" s="58">
        <v>951</v>
      </c>
      <c r="C236" s="43" t="s">
        <v>107</v>
      </c>
      <c r="D236" s="43" t="s">
        <v>678</v>
      </c>
      <c r="E236" s="43" t="s">
        <v>248</v>
      </c>
      <c r="F236" s="43" t="s">
        <v>692</v>
      </c>
      <c r="G236" s="348"/>
      <c r="H236" s="348"/>
      <c r="I236" s="348"/>
    </row>
    <row r="237" spans="1:9" ht="110.25" hidden="1">
      <c r="A237" s="77" t="s">
        <v>251</v>
      </c>
      <c r="B237" s="58">
        <v>951</v>
      </c>
      <c r="C237" s="43" t="s">
        <v>107</v>
      </c>
      <c r="D237" s="43" t="s">
        <v>678</v>
      </c>
      <c r="E237" s="43" t="s">
        <v>252</v>
      </c>
      <c r="F237" s="43" t="s">
        <v>692</v>
      </c>
      <c r="G237" s="348"/>
      <c r="H237" s="348"/>
      <c r="I237" s="348"/>
    </row>
    <row r="238" spans="1:9" ht="47.25" hidden="1" customHeight="1">
      <c r="A238" s="76" t="s">
        <v>696</v>
      </c>
      <c r="B238" s="58">
        <v>951</v>
      </c>
      <c r="C238" s="43" t="s">
        <v>107</v>
      </c>
      <c r="D238" s="43" t="s">
        <v>678</v>
      </c>
      <c r="E238" s="43" t="s">
        <v>1139</v>
      </c>
      <c r="F238" s="53" t="s">
        <v>198</v>
      </c>
      <c r="G238" s="41">
        <f>G240+G242</f>
        <v>0</v>
      </c>
      <c r="H238" s="41">
        <f>H240+H242</f>
        <v>0</v>
      </c>
      <c r="I238" s="41">
        <f>I240+I242</f>
        <v>0</v>
      </c>
    </row>
    <row r="239" spans="1:9" ht="31.5" hidden="1" customHeight="1">
      <c r="A239" s="77" t="s">
        <v>611</v>
      </c>
      <c r="B239" s="58">
        <v>951</v>
      </c>
      <c r="C239" s="43" t="s">
        <v>107</v>
      </c>
      <c r="D239" s="43" t="s">
        <v>678</v>
      </c>
      <c r="E239" s="43" t="s">
        <v>1138</v>
      </c>
      <c r="F239" s="43" t="s">
        <v>612</v>
      </c>
      <c r="G239" s="348">
        <f>G240</f>
        <v>0</v>
      </c>
      <c r="H239" s="348">
        <f>H240</f>
        <v>0</v>
      </c>
      <c r="I239" s="348">
        <f>I240</f>
        <v>0</v>
      </c>
    </row>
    <row r="240" spans="1:9" ht="47.25" hidden="1">
      <c r="A240" s="77" t="s">
        <v>613</v>
      </c>
      <c r="B240" s="58">
        <v>951</v>
      </c>
      <c r="C240" s="43" t="s">
        <v>107</v>
      </c>
      <c r="D240" s="43" t="s">
        <v>678</v>
      </c>
      <c r="E240" s="43" t="s">
        <v>1140</v>
      </c>
      <c r="F240" s="43" t="s">
        <v>614</v>
      </c>
      <c r="G240" s="348">
        <f>'5'!D215</f>
        <v>0</v>
      </c>
      <c r="H240" s="348">
        <f>'5'!E215</f>
        <v>0</v>
      </c>
      <c r="I240" s="348">
        <f>'5'!F215</f>
        <v>0</v>
      </c>
    </row>
    <row r="241" spans="1:9" ht="31.5" hidden="1">
      <c r="A241" s="77" t="s">
        <v>611</v>
      </c>
      <c r="B241" s="58">
        <v>951</v>
      </c>
      <c r="C241" s="43" t="s">
        <v>107</v>
      </c>
      <c r="D241" s="43" t="s">
        <v>678</v>
      </c>
      <c r="E241" s="43" t="s">
        <v>1141</v>
      </c>
      <c r="F241" s="43" t="s">
        <v>612</v>
      </c>
      <c r="G241" s="348">
        <f>G242</f>
        <v>0</v>
      </c>
      <c r="H241" s="348">
        <f>H242</f>
        <v>0</v>
      </c>
      <c r="I241" s="348">
        <f>I242</f>
        <v>0</v>
      </c>
    </row>
    <row r="242" spans="1:9" ht="47.25" hidden="1">
      <c r="A242" s="77" t="s">
        <v>613</v>
      </c>
      <c r="B242" s="58">
        <v>951</v>
      </c>
      <c r="C242" s="43" t="s">
        <v>107</v>
      </c>
      <c r="D242" s="43" t="s">
        <v>678</v>
      </c>
      <c r="E242" s="43" t="s">
        <v>1142</v>
      </c>
      <c r="F242" s="43" t="s">
        <v>614</v>
      </c>
      <c r="G242" s="348">
        <f>'5'!D216</f>
        <v>0</v>
      </c>
      <c r="H242" s="348">
        <f>'5'!E216</f>
        <v>0</v>
      </c>
      <c r="I242" s="348">
        <f>'5'!F216</f>
        <v>0</v>
      </c>
    </row>
    <row r="243" spans="1:9" ht="31.5">
      <c r="A243" s="74" t="s">
        <v>1137</v>
      </c>
      <c r="B243" s="58">
        <v>951</v>
      </c>
      <c r="C243" s="43" t="s">
        <v>107</v>
      </c>
      <c r="D243" s="43" t="s">
        <v>678</v>
      </c>
      <c r="E243" s="43" t="s">
        <v>1138</v>
      </c>
      <c r="F243" s="43" t="s">
        <v>612</v>
      </c>
      <c r="G243" s="348">
        <f>G244</f>
        <v>11000</v>
      </c>
      <c r="H243" s="348">
        <f t="shared" ref="H243:I243" si="58">H244</f>
        <v>0</v>
      </c>
      <c r="I243" s="348">
        <f t="shared" si="58"/>
        <v>0</v>
      </c>
    </row>
    <row r="244" spans="1:9" ht="31.5">
      <c r="A244" s="77" t="s">
        <v>611</v>
      </c>
      <c r="B244" s="58">
        <v>951</v>
      </c>
      <c r="C244" s="43" t="s">
        <v>107</v>
      </c>
      <c r="D244" s="43" t="s">
        <v>678</v>
      </c>
      <c r="E244" s="43" t="s">
        <v>1138</v>
      </c>
      <c r="F244" s="43" t="s">
        <v>614</v>
      </c>
      <c r="G244" s="348">
        <f>'3'!F300</f>
        <v>11000</v>
      </c>
      <c r="H244" s="348">
        <f>'3'!G300</f>
        <v>0</v>
      </c>
      <c r="I244" s="348">
        <f>'3'!H300</f>
        <v>0</v>
      </c>
    </row>
    <row r="245" spans="1:9" ht="54" customHeight="1">
      <c r="A245" s="76" t="s">
        <v>604</v>
      </c>
      <c r="B245" s="61" t="s">
        <v>111</v>
      </c>
      <c r="C245" s="53" t="s">
        <v>107</v>
      </c>
      <c r="D245" s="53" t="s">
        <v>678</v>
      </c>
      <c r="E245" s="53" t="s">
        <v>1</v>
      </c>
      <c r="F245" s="53" t="s">
        <v>198</v>
      </c>
      <c r="G245" s="41">
        <f t="shared" ref="G245:I246" si="59">G246</f>
        <v>144.62</v>
      </c>
      <c r="H245" s="41">
        <f t="shared" si="59"/>
        <v>80.319999999999993</v>
      </c>
      <c r="I245" s="41">
        <f t="shared" si="59"/>
        <v>80.319999999999993</v>
      </c>
    </row>
    <row r="246" spans="1:9" ht="49.5" customHeight="1">
      <c r="A246" s="77" t="s">
        <v>104</v>
      </c>
      <c r="B246" s="58" t="s">
        <v>111</v>
      </c>
      <c r="C246" s="43" t="s">
        <v>107</v>
      </c>
      <c r="D246" s="43" t="s">
        <v>678</v>
      </c>
      <c r="E246" s="43" t="s">
        <v>2</v>
      </c>
      <c r="F246" s="43" t="s">
        <v>198</v>
      </c>
      <c r="G246" s="348">
        <f t="shared" si="59"/>
        <v>144.62</v>
      </c>
      <c r="H246" s="348">
        <f t="shared" si="59"/>
        <v>80.319999999999993</v>
      </c>
      <c r="I246" s="348">
        <f t="shared" si="59"/>
        <v>80.319999999999993</v>
      </c>
    </row>
    <row r="247" spans="1:9" ht="19.5" customHeight="1">
      <c r="A247" s="77" t="s">
        <v>287</v>
      </c>
      <c r="B247" s="58" t="s">
        <v>111</v>
      </c>
      <c r="C247" s="43" t="s">
        <v>107</v>
      </c>
      <c r="D247" s="43" t="s">
        <v>678</v>
      </c>
      <c r="E247" s="58" t="s">
        <v>288</v>
      </c>
      <c r="F247" s="43" t="s">
        <v>198</v>
      </c>
      <c r="G247" s="348">
        <f>G248+G250</f>
        <v>144.62</v>
      </c>
      <c r="H247" s="348">
        <f>H248+H250</f>
        <v>80.319999999999993</v>
      </c>
      <c r="I247" s="348">
        <f>I248+I250</f>
        <v>80.319999999999993</v>
      </c>
    </row>
    <row r="248" spans="1:9" ht="36.75" customHeight="1">
      <c r="A248" s="77" t="s">
        <v>611</v>
      </c>
      <c r="B248" s="58" t="s">
        <v>111</v>
      </c>
      <c r="C248" s="43" t="s">
        <v>107</v>
      </c>
      <c r="D248" s="43" t="s">
        <v>678</v>
      </c>
      <c r="E248" s="58" t="s">
        <v>288</v>
      </c>
      <c r="F248" s="43" t="s">
        <v>612</v>
      </c>
      <c r="G248" s="348">
        <f>G249</f>
        <v>64.3</v>
      </c>
      <c r="H248" s="348">
        <f>H249</f>
        <v>0</v>
      </c>
      <c r="I248" s="348">
        <f>I249</f>
        <v>0</v>
      </c>
    </row>
    <row r="249" spans="1:9" ht="53.25" customHeight="1">
      <c r="A249" s="77" t="s">
        <v>613</v>
      </c>
      <c r="B249" s="58" t="s">
        <v>111</v>
      </c>
      <c r="C249" s="43" t="s">
        <v>107</v>
      </c>
      <c r="D249" s="43" t="s">
        <v>678</v>
      </c>
      <c r="E249" s="58" t="s">
        <v>288</v>
      </c>
      <c r="F249" s="43" t="s">
        <v>614</v>
      </c>
      <c r="G249" s="348">
        <v>64.3</v>
      </c>
      <c r="H249" s="348">
        <v>0</v>
      </c>
      <c r="I249" s="348">
        <v>0</v>
      </c>
    </row>
    <row r="250" spans="1:9" ht="18" customHeight="1">
      <c r="A250" s="77" t="s">
        <v>615</v>
      </c>
      <c r="B250" s="58" t="s">
        <v>111</v>
      </c>
      <c r="C250" s="43" t="s">
        <v>107</v>
      </c>
      <c r="D250" s="43" t="s">
        <v>678</v>
      </c>
      <c r="E250" s="58" t="s">
        <v>288</v>
      </c>
      <c r="F250" s="43" t="s">
        <v>616</v>
      </c>
      <c r="G250" s="348">
        <f>G251</f>
        <v>80.319999999999993</v>
      </c>
      <c r="H250" s="348">
        <f>H251</f>
        <v>80.319999999999993</v>
      </c>
      <c r="I250" s="348">
        <f>I251</f>
        <v>80.319999999999993</v>
      </c>
    </row>
    <row r="251" spans="1:9" ht="20.25" customHeight="1">
      <c r="A251" s="77" t="s">
        <v>617</v>
      </c>
      <c r="B251" s="58" t="s">
        <v>111</v>
      </c>
      <c r="C251" s="43" t="s">
        <v>107</v>
      </c>
      <c r="D251" s="43" t="s">
        <v>678</v>
      </c>
      <c r="E251" s="58" t="s">
        <v>288</v>
      </c>
      <c r="F251" s="43" t="s">
        <v>618</v>
      </c>
      <c r="G251" s="348">
        <v>80.319999999999993</v>
      </c>
      <c r="H251" s="348">
        <f>'5'!E305</f>
        <v>80.319999999999993</v>
      </c>
      <c r="I251" s="348">
        <f>'5'!F305</f>
        <v>80.319999999999993</v>
      </c>
    </row>
    <row r="252" spans="1:9" ht="31.5">
      <c r="A252" s="194" t="s">
        <v>697</v>
      </c>
      <c r="B252" s="195">
        <v>951</v>
      </c>
      <c r="C252" s="196" t="s">
        <v>107</v>
      </c>
      <c r="D252" s="196" t="s">
        <v>698</v>
      </c>
      <c r="E252" s="196" t="s">
        <v>601</v>
      </c>
      <c r="F252" s="196" t="s">
        <v>198</v>
      </c>
      <c r="G252" s="197">
        <f>G253+G262</f>
        <v>1838.3173400000001</v>
      </c>
      <c r="H252" s="197">
        <f t="shared" ref="H252:I252" si="60">H253+H262</f>
        <v>200</v>
      </c>
      <c r="I252" s="197">
        <f t="shared" si="60"/>
        <v>200</v>
      </c>
    </row>
    <row r="253" spans="1:9" ht="71.25" customHeight="1">
      <c r="A253" s="77" t="s">
        <v>699</v>
      </c>
      <c r="B253" s="58">
        <v>951</v>
      </c>
      <c r="C253" s="43" t="s">
        <v>107</v>
      </c>
      <c r="D253" s="43" t="s">
        <v>698</v>
      </c>
      <c r="E253" s="43" t="s">
        <v>226</v>
      </c>
      <c r="F253" s="43" t="s">
        <v>198</v>
      </c>
      <c r="G253" s="348">
        <f>G254</f>
        <v>200</v>
      </c>
      <c r="H253" s="348">
        <f t="shared" ref="H253:I255" si="61">H254</f>
        <v>200</v>
      </c>
      <c r="I253" s="348">
        <f t="shared" si="61"/>
        <v>200</v>
      </c>
    </row>
    <row r="254" spans="1:9" ht="36.75" customHeight="1">
      <c r="A254" s="77" t="s">
        <v>700</v>
      </c>
      <c r="B254" s="58">
        <v>951</v>
      </c>
      <c r="C254" s="43" t="s">
        <v>107</v>
      </c>
      <c r="D254" s="43" t="s">
        <v>698</v>
      </c>
      <c r="E254" s="43" t="s">
        <v>227</v>
      </c>
      <c r="F254" s="43" t="s">
        <v>198</v>
      </c>
      <c r="G254" s="348">
        <f>G255+G260</f>
        <v>200</v>
      </c>
      <c r="H254" s="348">
        <f>H255+H260</f>
        <v>200</v>
      </c>
      <c r="I254" s="348">
        <f>I255+I260</f>
        <v>200</v>
      </c>
    </row>
    <row r="255" spans="1:9" ht="17.100000000000001" customHeight="1">
      <c r="A255" s="77" t="s">
        <v>615</v>
      </c>
      <c r="B255" s="58">
        <v>951</v>
      </c>
      <c r="C255" s="43" t="s">
        <v>107</v>
      </c>
      <c r="D255" s="43" t="s">
        <v>698</v>
      </c>
      <c r="E255" s="43" t="s">
        <v>227</v>
      </c>
      <c r="F255" s="43" t="s">
        <v>616</v>
      </c>
      <c r="G255" s="348">
        <f>G256</f>
        <v>197</v>
      </c>
      <c r="H255" s="348">
        <f t="shared" si="61"/>
        <v>197</v>
      </c>
      <c r="I255" s="348">
        <f t="shared" si="61"/>
        <v>197</v>
      </c>
    </row>
    <row r="256" spans="1:9" ht="50.25" customHeight="1">
      <c r="A256" s="77" t="s">
        <v>354</v>
      </c>
      <c r="B256" s="58">
        <v>951</v>
      </c>
      <c r="C256" s="43" t="s">
        <v>107</v>
      </c>
      <c r="D256" s="43" t="s">
        <v>698</v>
      </c>
      <c r="E256" s="43" t="s">
        <v>227</v>
      </c>
      <c r="F256" s="43" t="s">
        <v>691</v>
      </c>
      <c r="G256" s="348">
        <f>'5'!D207</f>
        <v>197</v>
      </c>
      <c r="H256" s="348">
        <f>'5'!E207</f>
        <v>197</v>
      </c>
      <c r="I256" s="348">
        <f>'5'!F207</f>
        <v>197</v>
      </c>
    </row>
    <row r="257" spans="1:9" hidden="1">
      <c r="A257" s="76"/>
      <c r="B257" s="58">
        <v>952</v>
      </c>
      <c r="C257" s="43" t="s">
        <v>107</v>
      </c>
      <c r="D257" s="43" t="s">
        <v>698</v>
      </c>
      <c r="E257" s="43" t="s">
        <v>227</v>
      </c>
      <c r="F257" s="53"/>
      <c r="G257" s="41"/>
      <c r="H257" s="41"/>
      <c r="I257" s="41"/>
    </row>
    <row r="258" spans="1:9" hidden="1">
      <c r="A258" s="77"/>
      <c r="B258" s="58">
        <v>953</v>
      </c>
      <c r="C258" s="43" t="s">
        <v>107</v>
      </c>
      <c r="D258" s="43" t="s">
        <v>698</v>
      </c>
      <c r="E258" s="43" t="s">
        <v>227</v>
      </c>
      <c r="F258" s="43"/>
      <c r="G258" s="348"/>
      <c r="H258" s="348"/>
      <c r="I258" s="348"/>
    </row>
    <row r="259" spans="1:9" hidden="1">
      <c r="A259" s="77"/>
      <c r="B259" s="58">
        <v>954</v>
      </c>
      <c r="C259" s="43" t="s">
        <v>107</v>
      </c>
      <c r="D259" s="43" t="s">
        <v>698</v>
      </c>
      <c r="E259" s="43" t="s">
        <v>227</v>
      </c>
      <c r="F259" s="43"/>
      <c r="G259" s="348"/>
      <c r="H259" s="348"/>
      <c r="I259" s="348"/>
    </row>
    <row r="260" spans="1:9" ht="31.5">
      <c r="A260" s="77" t="s">
        <v>611</v>
      </c>
      <c r="B260" s="58" t="s">
        <v>111</v>
      </c>
      <c r="C260" s="43" t="s">
        <v>107</v>
      </c>
      <c r="D260" s="43" t="s">
        <v>698</v>
      </c>
      <c r="E260" s="43" t="s">
        <v>227</v>
      </c>
      <c r="F260" s="43" t="s">
        <v>612</v>
      </c>
      <c r="G260" s="348">
        <f>G261</f>
        <v>3</v>
      </c>
      <c r="H260" s="348">
        <f>H261</f>
        <v>3</v>
      </c>
      <c r="I260" s="348">
        <f>I261</f>
        <v>3</v>
      </c>
    </row>
    <row r="261" spans="1:9" ht="51" customHeight="1">
      <c r="A261" s="77" t="s">
        <v>613</v>
      </c>
      <c r="B261" s="58" t="s">
        <v>111</v>
      </c>
      <c r="C261" s="43" t="s">
        <v>107</v>
      </c>
      <c r="D261" s="43" t="s">
        <v>698</v>
      </c>
      <c r="E261" s="43" t="s">
        <v>227</v>
      </c>
      <c r="F261" s="43" t="s">
        <v>614</v>
      </c>
      <c r="G261" s="348">
        <f>'5'!D208</f>
        <v>3</v>
      </c>
      <c r="H261" s="348">
        <f>'5'!E208</f>
        <v>3</v>
      </c>
      <c r="I261" s="348">
        <f>'5'!F208</f>
        <v>3</v>
      </c>
    </row>
    <row r="262" spans="1:9" ht="63" customHeight="1">
      <c r="A262" s="76" t="s">
        <v>902</v>
      </c>
      <c r="B262" s="61" t="s">
        <v>111</v>
      </c>
      <c r="C262" s="53" t="s">
        <v>107</v>
      </c>
      <c r="D262" s="53" t="s">
        <v>698</v>
      </c>
      <c r="E262" s="53" t="s">
        <v>905</v>
      </c>
      <c r="F262" s="53" t="s">
        <v>198</v>
      </c>
      <c r="G262" s="41">
        <f>G263+G270+G277+G280</f>
        <v>1638.3173400000001</v>
      </c>
      <c r="H262" s="41">
        <f t="shared" ref="H262:I262" si="62">H263+H270+H277+H280</f>
        <v>0</v>
      </c>
      <c r="I262" s="41">
        <f t="shared" si="62"/>
        <v>0</v>
      </c>
    </row>
    <row r="263" spans="1:9" ht="63" hidden="1" customHeight="1">
      <c r="A263" s="77" t="s">
        <v>889</v>
      </c>
      <c r="B263" s="58" t="s">
        <v>111</v>
      </c>
      <c r="C263" s="43" t="s">
        <v>107</v>
      </c>
      <c r="D263" s="43" t="s">
        <v>698</v>
      </c>
      <c r="E263" s="43" t="s">
        <v>901</v>
      </c>
      <c r="F263" s="43" t="s">
        <v>198</v>
      </c>
      <c r="G263" s="348">
        <f>G264+G267</f>
        <v>0</v>
      </c>
      <c r="H263" s="348">
        <f>H264+H267</f>
        <v>0</v>
      </c>
      <c r="I263" s="348">
        <f>I264+I267</f>
        <v>0</v>
      </c>
    </row>
    <row r="264" spans="1:9" ht="78.75" hidden="1">
      <c r="A264" s="77" t="s">
        <v>951</v>
      </c>
      <c r="B264" s="58" t="s">
        <v>111</v>
      </c>
      <c r="C264" s="43" t="s">
        <v>107</v>
      </c>
      <c r="D264" s="43" t="s">
        <v>698</v>
      </c>
      <c r="E264" s="43" t="s">
        <v>901</v>
      </c>
      <c r="F264" s="43" t="s">
        <v>198</v>
      </c>
      <c r="G264" s="348">
        <f t="shared" ref="G264:I265" si="63">G265</f>
        <v>0</v>
      </c>
      <c r="H264" s="348">
        <f t="shared" si="63"/>
        <v>0</v>
      </c>
      <c r="I264" s="348">
        <f t="shared" si="63"/>
        <v>0</v>
      </c>
    </row>
    <row r="265" spans="1:9" ht="31.5" hidden="1" customHeight="1">
      <c r="A265" s="77" t="s">
        <v>611</v>
      </c>
      <c r="B265" s="58" t="s">
        <v>111</v>
      </c>
      <c r="C265" s="43" t="s">
        <v>107</v>
      </c>
      <c r="D265" s="43" t="s">
        <v>698</v>
      </c>
      <c r="E265" s="43" t="s">
        <v>901</v>
      </c>
      <c r="F265" s="43" t="s">
        <v>612</v>
      </c>
      <c r="G265" s="348">
        <f t="shared" si="63"/>
        <v>0</v>
      </c>
      <c r="H265" s="348">
        <f t="shared" si="63"/>
        <v>0</v>
      </c>
      <c r="I265" s="348">
        <f t="shared" si="63"/>
        <v>0</v>
      </c>
    </row>
    <row r="266" spans="1:9" ht="47.25" hidden="1" customHeight="1">
      <c r="A266" s="77" t="s">
        <v>613</v>
      </c>
      <c r="B266" s="58" t="s">
        <v>111</v>
      </c>
      <c r="C266" s="43" t="s">
        <v>107</v>
      </c>
      <c r="D266" s="43" t="s">
        <v>698</v>
      </c>
      <c r="E266" s="43" t="s">
        <v>901</v>
      </c>
      <c r="F266" s="43" t="s">
        <v>614</v>
      </c>
      <c r="G266" s="348">
        <f>'5'!D259</f>
        <v>0</v>
      </c>
      <c r="H266" s="348">
        <f>'5'!E259</f>
        <v>0</v>
      </c>
      <c r="I266" s="348">
        <f>'5'!F259</f>
        <v>0</v>
      </c>
    </row>
    <row r="267" spans="1:9" ht="110.25" hidden="1" customHeight="1">
      <c r="A267" s="77" t="s">
        <v>950</v>
      </c>
      <c r="B267" s="58" t="s">
        <v>111</v>
      </c>
      <c r="C267" s="43" t="s">
        <v>107</v>
      </c>
      <c r="D267" s="43" t="s">
        <v>698</v>
      </c>
      <c r="E267" s="43" t="s">
        <v>906</v>
      </c>
      <c r="F267" s="43" t="s">
        <v>198</v>
      </c>
      <c r="G267" s="348">
        <f t="shared" ref="G267:I268" si="64">G268</f>
        <v>0</v>
      </c>
      <c r="H267" s="348">
        <f t="shared" si="64"/>
        <v>0</v>
      </c>
      <c r="I267" s="348">
        <f t="shared" si="64"/>
        <v>0</v>
      </c>
    </row>
    <row r="268" spans="1:9" ht="31.5" hidden="1">
      <c r="A268" s="77" t="s">
        <v>611</v>
      </c>
      <c r="B268" s="58" t="s">
        <v>111</v>
      </c>
      <c r="C268" s="43" t="s">
        <v>107</v>
      </c>
      <c r="D268" s="43" t="s">
        <v>698</v>
      </c>
      <c r="E268" s="43" t="s">
        <v>906</v>
      </c>
      <c r="F268" s="43" t="s">
        <v>612</v>
      </c>
      <c r="G268" s="348">
        <f t="shared" si="64"/>
        <v>0</v>
      </c>
      <c r="H268" s="348">
        <f t="shared" si="64"/>
        <v>0</v>
      </c>
      <c r="I268" s="348">
        <f t="shared" si="64"/>
        <v>0</v>
      </c>
    </row>
    <row r="269" spans="1:9" ht="47.25" hidden="1" customHeight="1">
      <c r="A269" s="77" t="s">
        <v>613</v>
      </c>
      <c r="B269" s="58" t="s">
        <v>111</v>
      </c>
      <c r="C269" s="43" t="s">
        <v>107</v>
      </c>
      <c r="D269" s="43" t="s">
        <v>698</v>
      </c>
      <c r="E269" s="43" t="s">
        <v>906</v>
      </c>
      <c r="F269" s="43" t="s">
        <v>614</v>
      </c>
      <c r="G269" s="348">
        <f>'5'!D260</f>
        <v>0</v>
      </c>
      <c r="H269" s="348">
        <f>'5'!E260</f>
        <v>0</v>
      </c>
      <c r="I269" s="348">
        <f>'5'!F260</f>
        <v>0</v>
      </c>
    </row>
    <row r="270" spans="1:9" ht="157.5" hidden="1" customHeight="1">
      <c r="A270" s="76" t="s">
        <v>955</v>
      </c>
      <c r="B270" s="58" t="s">
        <v>111</v>
      </c>
      <c r="C270" s="43" t="s">
        <v>107</v>
      </c>
      <c r="D270" s="43" t="s">
        <v>698</v>
      </c>
      <c r="E270" s="53" t="s">
        <v>919</v>
      </c>
      <c r="F270" s="53" t="s">
        <v>198</v>
      </c>
      <c r="G270" s="348">
        <f>G271+G274</f>
        <v>0</v>
      </c>
      <c r="H270" s="348">
        <f t="shared" ref="H270:I270" si="65">H271+H274</f>
        <v>0</v>
      </c>
      <c r="I270" s="348">
        <f t="shared" si="65"/>
        <v>0</v>
      </c>
    </row>
    <row r="271" spans="1:9" ht="141.75" hidden="1">
      <c r="A271" s="77" t="s">
        <v>953</v>
      </c>
      <c r="B271" s="58" t="s">
        <v>111</v>
      </c>
      <c r="C271" s="43" t="s">
        <v>107</v>
      </c>
      <c r="D271" s="43" t="s">
        <v>698</v>
      </c>
      <c r="E271" s="43" t="s">
        <v>917</v>
      </c>
      <c r="F271" s="43" t="s">
        <v>198</v>
      </c>
      <c r="G271" s="348">
        <f>G272</f>
        <v>0</v>
      </c>
      <c r="H271" s="348">
        <f t="shared" ref="H271:I272" si="66">H272</f>
        <v>0</v>
      </c>
      <c r="I271" s="348">
        <f t="shared" si="66"/>
        <v>0</v>
      </c>
    </row>
    <row r="272" spans="1:9" ht="31.5" hidden="1">
      <c r="A272" s="77" t="s">
        <v>611</v>
      </c>
      <c r="B272" s="58" t="s">
        <v>111</v>
      </c>
      <c r="C272" s="43" t="s">
        <v>107</v>
      </c>
      <c r="D272" s="43" t="s">
        <v>698</v>
      </c>
      <c r="E272" s="43" t="s">
        <v>917</v>
      </c>
      <c r="F272" s="43" t="s">
        <v>612</v>
      </c>
      <c r="G272" s="348">
        <f>G273</f>
        <v>0</v>
      </c>
      <c r="H272" s="348">
        <f t="shared" si="66"/>
        <v>0</v>
      </c>
      <c r="I272" s="348">
        <f t="shared" si="66"/>
        <v>0</v>
      </c>
    </row>
    <row r="273" spans="1:12" ht="47.25" hidden="1">
      <c r="A273" s="77" t="s">
        <v>613</v>
      </c>
      <c r="B273" s="58" t="s">
        <v>111</v>
      </c>
      <c r="C273" s="43" t="s">
        <v>107</v>
      </c>
      <c r="D273" s="43" t="s">
        <v>698</v>
      </c>
      <c r="E273" s="43" t="s">
        <v>917</v>
      </c>
      <c r="F273" s="43" t="s">
        <v>614</v>
      </c>
      <c r="G273" s="348">
        <f>'3'!F329</f>
        <v>0</v>
      </c>
      <c r="H273" s="348">
        <f>'3'!G329</f>
        <v>0</v>
      </c>
      <c r="I273" s="348">
        <f>'3'!H329</f>
        <v>0</v>
      </c>
    </row>
    <row r="274" spans="1:12" ht="141.75" hidden="1">
      <c r="A274" s="77" t="s">
        <v>954</v>
      </c>
      <c r="B274" s="58" t="s">
        <v>111</v>
      </c>
      <c r="C274" s="43" t="s">
        <v>107</v>
      </c>
      <c r="D274" s="43" t="s">
        <v>698</v>
      </c>
      <c r="E274" s="43" t="s">
        <v>917</v>
      </c>
      <c r="F274" s="43" t="s">
        <v>198</v>
      </c>
      <c r="G274" s="348">
        <f>G275</f>
        <v>0</v>
      </c>
      <c r="H274" s="348">
        <f t="shared" ref="H274:I275" si="67">H275</f>
        <v>0</v>
      </c>
      <c r="I274" s="348">
        <f t="shared" si="67"/>
        <v>0</v>
      </c>
    </row>
    <row r="275" spans="1:12" ht="31.5" hidden="1">
      <c r="A275" s="77" t="s">
        <v>611</v>
      </c>
      <c r="B275" s="58" t="s">
        <v>111</v>
      </c>
      <c r="C275" s="43" t="s">
        <v>107</v>
      </c>
      <c r="D275" s="43" t="s">
        <v>698</v>
      </c>
      <c r="E275" s="43" t="s">
        <v>917</v>
      </c>
      <c r="F275" s="43" t="s">
        <v>612</v>
      </c>
      <c r="G275" s="348">
        <f>G276</f>
        <v>0</v>
      </c>
      <c r="H275" s="348">
        <f t="shared" si="67"/>
        <v>0</v>
      </c>
      <c r="I275" s="348">
        <f t="shared" si="67"/>
        <v>0</v>
      </c>
    </row>
    <row r="276" spans="1:12" ht="47.25" hidden="1">
      <c r="A276" s="77" t="s">
        <v>613</v>
      </c>
      <c r="B276" s="58" t="s">
        <v>111</v>
      </c>
      <c r="C276" s="43" t="s">
        <v>107</v>
      </c>
      <c r="D276" s="43" t="s">
        <v>698</v>
      </c>
      <c r="E276" s="43" t="s">
        <v>917</v>
      </c>
      <c r="F276" s="43" t="s">
        <v>614</v>
      </c>
      <c r="G276" s="348">
        <f>'5'!D258</f>
        <v>0</v>
      </c>
      <c r="H276" s="348">
        <f>'5'!E258</f>
        <v>0</v>
      </c>
      <c r="I276" s="348">
        <f>'5'!F258</f>
        <v>0</v>
      </c>
    </row>
    <row r="277" spans="1:12" ht="96.75" customHeight="1">
      <c r="A277" s="77" t="s">
        <v>1134</v>
      </c>
      <c r="B277" s="58" t="s">
        <v>111</v>
      </c>
      <c r="C277" s="43" t="s">
        <v>107</v>
      </c>
      <c r="D277" s="43" t="s">
        <v>698</v>
      </c>
      <c r="E277" s="43" t="s">
        <v>1132</v>
      </c>
      <c r="F277" s="43" t="s">
        <v>198</v>
      </c>
      <c r="G277" s="348">
        <f>G278</f>
        <v>1470.9373399999999</v>
      </c>
      <c r="H277" s="348">
        <f t="shared" ref="H277:I278" si="68">H278</f>
        <v>0</v>
      </c>
      <c r="I277" s="348">
        <f t="shared" si="68"/>
        <v>0</v>
      </c>
    </row>
    <row r="278" spans="1:12" ht="31.5">
      <c r="A278" s="77" t="s">
        <v>611</v>
      </c>
      <c r="B278" s="58" t="s">
        <v>111</v>
      </c>
      <c r="C278" s="43" t="s">
        <v>107</v>
      </c>
      <c r="D278" s="43" t="s">
        <v>698</v>
      </c>
      <c r="E278" s="43" t="s">
        <v>1132</v>
      </c>
      <c r="F278" s="43" t="s">
        <v>612</v>
      </c>
      <c r="G278" s="348">
        <f>G279</f>
        <v>1470.9373399999999</v>
      </c>
      <c r="H278" s="348">
        <f t="shared" si="68"/>
        <v>0</v>
      </c>
      <c r="I278" s="348">
        <f t="shared" si="68"/>
        <v>0</v>
      </c>
    </row>
    <row r="279" spans="1:12" ht="47.25">
      <c r="A279" s="77" t="s">
        <v>613</v>
      </c>
      <c r="B279" s="58" t="s">
        <v>111</v>
      </c>
      <c r="C279" s="43" t="s">
        <v>107</v>
      </c>
      <c r="D279" s="43" t="s">
        <v>698</v>
      </c>
      <c r="E279" s="43" t="s">
        <v>1132</v>
      </c>
      <c r="F279" s="43" t="s">
        <v>614</v>
      </c>
      <c r="G279" s="348">
        <f>'5'!D261</f>
        <v>1470.9373399999999</v>
      </c>
      <c r="H279" s="348">
        <f>'5'!E261</f>
        <v>0</v>
      </c>
      <c r="I279" s="348">
        <f>'5'!F261</f>
        <v>0</v>
      </c>
    </row>
    <row r="280" spans="1:12" ht="94.5">
      <c r="A280" s="77" t="s">
        <v>1130</v>
      </c>
      <c r="B280" s="58" t="s">
        <v>111</v>
      </c>
      <c r="C280" s="43" t="s">
        <v>107</v>
      </c>
      <c r="D280" s="43" t="s">
        <v>698</v>
      </c>
      <c r="E280" s="53" t="s">
        <v>1133</v>
      </c>
      <c r="F280" s="43" t="s">
        <v>198</v>
      </c>
      <c r="G280" s="348">
        <f>G281</f>
        <v>167.38</v>
      </c>
      <c r="H280" s="348">
        <f t="shared" ref="H280:I280" si="69">H281</f>
        <v>0</v>
      </c>
      <c r="I280" s="348">
        <f t="shared" si="69"/>
        <v>0</v>
      </c>
    </row>
    <row r="281" spans="1:12" ht="31.5">
      <c r="A281" s="77" t="s">
        <v>611</v>
      </c>
      <c r="B281" s="58" t="s">
        <v>111</v>
      </c>
      <c r="C281" s="43" t="s">
        <v>107</v>
      </c>
      <c r="D281" s="43" t="s">
        <v>698</v>
      </c>
      <c r="E281" s="43" t="s">
        <v>1133</v>
      </c>
      <c r="F281" s="43" t="s">
        <v>612</v>
      </c>
      <c r="G281" s="348">
        <f>G282</f>
        <v>167.38</v>
      </c>
      <c r="H281" s="348">
        <f t="shared" ref="H281:I281" si="70">H282</f>
        <v>0</v>
      </c>
      <c r="I281" s="348">
        <f t="shared" si="70"/>
        <v>0</v>
      </c>
    </row>
    <row r="282" spans="1:12" ht="47.25">
      <c r="A282" s="77" t="s">
        <v>613</v>
      </c>
      <c r="B282" s="58" t="s">
        <v>111</v>
      </c>
      <c r="C282" s="43" t="s">
        <v>107</v>
      </c>
      <c r="D282" s="43" t="s">
        <v>698</v>
      </c>
      <c r="E282" s="43" t="s">
        <v>1133</v>
      </c>
      <c r="F282" s="43" t="s">
        <v>614</v>
      </c>
      <c r="G282" s="348">
        <f>'5'!D262</f>
        <v>167.38</v>
      </c>
      <c r="H282" s="348">
        <f>'5'!E262</f>
        <v>0</v>
      </c>
      <c r="I282" s="348">
        <f>'5'!F262</f>
        <v>0</v>
      </c>
    </row>
    <row r="283" spans="1:12" ht="29.65" customHeight="1">
      <c r="A283" s="73" t="s">
        <v>702</v>
      </c>
      <c r="B283" s="191">
        <v>951</v>
      </c>
      <c r="C283" s="34" t="s">
        <v>620</v>
      </c>
      <c r="D283" s="34" t="s">
        <v>103</v>
      </c>
      <c r="E283" s="34" t="s">
        <v>601</v>
      </c>
      <c r="F283" s="34" t="s">
        <v>198</v>
      </c>
      <c r="G283" s="35">
        <f>G284+G311+G329</f>
        <v>8561.0074100000002</v>
      </c>
      <c r="H283" s="35">
        <f t="shared" ref="H283:I283" si="71">H284+H311+H329</f>
        <v>227.51564999999999</v>
      </c>
      <c r="I283" s="35">
        <f t="shared" si="71"/>
        <v>207.61626999999999</v>
      </c>
      <c r="J283" s="90"/>
      <c r="K283" s="90"/>
      <c r="L283" s="90"/>
    </row>
    <row r="284" spans="1:12">
      <c r="A284" s="194" t="s">
        <v>703</v>
      </c>
      <c r="B284" s="195">
        <v>951</v>
      </c>
      <c r="C284" s="196" t="s">
        <v>620</v>
      </c>
      <c r="D284" s="196" t="s">
        <v>603</v>
      </c>
      <c r="E284" s="196" t="s">
        <v>601</v>
      </c>
      <c r="F284" s="196" t="s">
        <v>198</v>
      </c>
      <c r="G284" s="197">
        <f>G293+G301+G302+G305+G309</f>
        <v>2896.52585</v>
      </c>
      <c r="H284" s="197">
        <f t="shared" ref="H284:I284" si="72">H293+H301+H302+H305+H309</f>
        <v>125</v>
      </c>
      <c r="I284" s="197">
        <f t="shared" si="72"/>
        <v>105</v>
      </c>
    </row>
    <row r="285" spans="1:12" ht="15.75" hidden="1" customHeight="1">
      <c r="A285" s="74" t="s">
        <v>704</v>
      </c>
      <c r="B285" s="47">
        <v>951</v>
      </c>
      <c r="C285" s="37" t="s">
        <v>620</v>
      </c>
      <c r="D285" s="37" t="s">
        <v>603</v>
      </c>
      <c r="E285" s="37" t="s">
        <v>13</v>
      </c>
      <c r="F285" s="37" t="s">
        <v>198</v>
      </c>
      <c r="G285" s="38">
        <f>G286</f>
        <v>0</v>
      </c>
      <c r="H285" s="38">
        <f t="shared" ref="H285:I287" si="73">H286</f>
        <v>0</v>
      </c>
      <c r="I285" s="38">
        <f t="shared" si="73"/>
        <v>0</v>
      </c>
    </row>
    <row r="286" spans="1:12" ht="31.5" hidden="1">
      <c r="A286" s="74" t="s">
        <v>289</v>
      </c>
      <c r="B286" s="47">
        <v>951</v>
      </c>
      <c r="C286" s="37" t="s">
        <v>620</v>
      </c>
      <c r="D286" s="37" t="s">
        <v>603</v>
      </c>
      <c r="E286" s="37" t="s">
        <v>13</v>
      </c>
      <c r="F286" s="37" t="s">
        <v>198</v>
      </c>
      <c r="G286" s="38">
        <f>G287</f>
        <v>0</v>
      </c>
      <c r="H286" s="38">
        <f t="shared" si="73"/>
        <v>0</v>
      </c>
      <c r="I286" s="38">
        <f t="shared" si="73"/>
        <v>0</v>
      </c>
    </row>
    <row r="287" spans="1:12" ht="31.5" hidden="1" customHeight="1">
      <c r="A287" s="74" t="s">
        <v>611</v>
      </c>
      <c r="B287" s="47">
        <v>951</v>
      </c>
      <c r="C287" s="37" t="s">
        <v>620</v>
      </c>
      <c r="D287" s="37" t="s">
        <v>603</v>
      </c>
      <c r="E287" s="37" t="s">
        <v>13</v>
      </c>
      <c r="F287" s="37" t="s">
        <v>612</v>
      </c>
      <c r="G287" s="38">
        <f>G288</f>
        <v>0</v>
      </c>
      <c r="H287" s="38">
        <f t="shared" si="73"/>
        <v>0</v>
      </c>
      <c r="I287" s="38">
        <f t="shared" si="73"/>
        <v>0</v>
      </c>
    </row>
    <row r="288" spans="1:12" ht="47.25" hidden="1" customHeight="1">
      <c r="A288" s="74" t="s">
        <v>613</v>
      </c>
      <c r="B288" s="47">
        <v>951</v>
      </c>
      <c r="C288" s="37" t="s">
        <v>620</v>
      </c>
      <c r="D288" s="37" t="s">
        <v>603</v>
      </c>
      <c r="E288" s="37" t="s">
        <v>13</v>
      </c>
      <c r="F288" s="37" t="s">
        <v>614</v>
      </c>
      <c r="G288" s="348">
        <v>0</v>
      </c>
      <c r="H288" s="348">
        <v>0</v>
      </c>
      <c r="I288" s="348">
        <v>0</v>
      </c>
    </row>
    <row r="289" spans="1:9" ht="15.75" hidden="1" customHeight="1">
      <c r="A289" s="85" t="s">
        <v>189</v>
      </c>
      <c r="B289" s="185" t="s">
        <v>111</v>
      </c>
      <c r="C289" s="64" t="s">
        <v>620</v>
      </c>
      <c r="D289" s="64" t="s">
        <v>603</v>
      </c>
      <c r="E289" s="64" t="s">
        <v>15</v>
      </c>
      <c r="F289" s="64" t="s">
        <v>198</v>
      </c>
      <c r="G289" s="50">
        <f t="shared" ref="G289:I290" si="74">G290</f>
        <v>0</v>
      </c>
      <c r="H289" s="50">
        <f t="shared" si="74"/>
        <v>0</v>
      </c>
      <c r="I289" s="50">
        <f t="shared" si="74"/>
        <v>0</v>
      </c>
    </row>
    <row r="290" spans="1:9" ht="31.5" hidden="1" customHeight="1">
      <c r="A290" s="74" t="s">
        <v>611</v>
      </c>
      <c r="B290" s="47" t="s">
        <v>111</v>
      </c>
      <c r="C290" s="37" t="s">
        <v>620</v>
      </c>
      <c r="D290" s="37" t="s">
        <v>603</v>
      </c>
      <c r="E290" s="37" t="s">
        <v>15</v>
      </c>
      <c r="F290" s="37" t="s">
        <v>612</v>
      </c>
      <c r="G290" s="348">
        <f t="shared" si="74"/>
        <v>0</v>
      </c>
      <c r="H290" s="348">
        <f t="shared" si="74"/>
        <v>0</v>
      </c>
      <c r="I290" s="348">
        <f t="shared" si="74"/>
        <v>0</v>
      </c>
    </row>
    <row r="291" spans="1:9" ht="47.25" hidden="1" customHeight="1">
      <c r="A291" s="74" t="s">
        <v>613</v>
      </c>
      <c r="B291" s="47" t="s">
        <v>111</v>
      </c>
      <c r="C291" s="37" t="s">
        <v>620</v>
      </c>
      <c r="D291" s="37" t="s">
        <v>603</v>
      </c>
      <c r="E291" s="37" t="s">
        <v>15</v>
      </c>
      <c r="F291" s="37" t="s">
        <v>614</v>
      </c>
      <c r="G291" s="348"/>
      <c r="H291" s="348">
        <v>0</v>
      </c>
      <c r="I291" s="348">
        <v>0</v>
      </c>
    </row>
    <row r="292" spans="1:9" ht="33" customHeight="1">
      <c r="A292" s="77" t="s">
        <v>232</v>
      </c>
      <c r="B292" s="58">
        <v>951</v>
      </c>
      <c r="C292" s="43" t="s">
        <v>620</v>
      </c>
      <c r="D292" s="43" t="s">
        <v>603</v>
      </c>
      <c r="E292" s="43" t="s">
        <v>70</v>
      </c>
      <c r="F292" s="43" t="s">
        <v>198</v>
      </c>
      <c r="G292" s="348">
        <f t="shared" ref="G292:I293" si="75">G293</f>
        <v>1285</v>
      </c>
      <c r="H292" s="348">
        <f t="shared" si="75"/>
        <v>85</v>
      </c>
      <c r="I292" s="348">
        <f t="shared" si="75"/>
        <v>85</v>
      </c>
    </row>
    <row r="293" spans="1:9" ht="33.75" customHeight="1">
      <c r="A293" s="77" t="s">
        <v>611</v>
      </c>
      <c r="B293" s="58">
        <v>951</v>
      </c>
      <c r="C293" s="43" t="s">
        <v>620</v>
      </c>
      <c r="D293" s="43" t="s">
        <v>603</v>
      </c>
      <c r="E293" s="43" t="s">
        <v>70</v>
      </c>
      <c r="F293" s="43" t="s">
        <v>612</v>
      </c>
      <c r="G293" s="348">
        <f t="shared" si="75"/>
        <v>1285</v>
      </c>
      <c r="H293" s="348">
        <f t="shared" si="75"/>
        <v>85</v>
      </c>
      <c r="I293" s="348">
        <f t="shared" si="75"/>
        <v>85</v>
      </c>
    </row>
    <row r="294" spans="1:9" ht="51" customHeight="1">
      <c r="A294" s="77" t="s">
        <v>613</v>
      </c>
      <c r="B294" s="58">
        <v>951</v>
      </c>
      <c r="C294" s="43" t="s">
        <v>620</v>
      </c>
      <c r="D294" s="43" t="s">
        <v>603</v>
      </c>
      <c r="E294" s="43" t="s">
        <v>70</v>
      </c>
      <c r="F294" s="43" t="s">
        <v>614</v>
      </c>
      <c r="G294" s="348">
        <f>'5'!D289</f>
        <v>1285</v>
      </c>
      <c r="H294" s="348">
        <f>'5'!E289</f>
        <v>85</v>
      </c>
      <c r="I294" s="348">
        <f>'5'!F289</f>
        <v>85</v>
      </c>
    </row>
    <row r="295" spans="1:9" ht="47.25" hidden="1">
      <c r="A295" s="76" t="s">
        <v>367</v>
      </c>
      <c r="B295" s="61">
        <v>951</v>
      </c>
      <c r="C295" s="53" t="s">
        <v>620</v>
      </c>
      <c r="D295" s="53" t="s">
        <v>603</v>
      </c>
      <c r="E295" s="53" t="s">
        <v>368</v>
      </c>
      <c r="F295" s="53" t="s">
        <v>198</v>
      </c>
      <c r="G295" s="41">
        <f t="shared" ref="G295:I296" si="76">G296</f>
        <v>0</v>
      </c>
      <c r="H295" s="41">
        <f t="shared" si="76"/>
        <v>0</v>
      </c>
      <c r="I295" s="41">
        <f t="shared" si="76"/>
        <v>0</v>
      </c>
    </row>
    <row r="296" spans="1:9" ht="31.5" hidden="1">
      <c r="A296" s="77" t="s">
        <v>611</v>
      </c>
      <c r="B296" s="58">
        <v>951</v>
      </c>
      <c r="C296" s="43" t="s">
        <v>620</v>
      </c>
      <c r="D296" s="43" t="s">
        <v>603</v>
      </c>
      <c r="E296" s="43" t="s">
        <v>368</v>
      </c>
      <c r="F296" s="43" t="s">
        <v>612</v>
      </c>
      <c r="G296" s="348">
        <f t="shared" si="76"/>
        <v>0</v>
      </c>
      <c r="H296" s="348">
        <f t="shared" si="76"/>
        <v>0</v>
      </c>
      <c r="I296" s="348">
        <f t="shared" si="76"/>
        <v>0</v>
      </c>
    </row>
    <row r="297" spans="1:9" ht="47.25" hidden="1">
      <c r="A297" s="77" t="s">
        <v>613</v>
      </c>
      <c r="B297" s="58">
        <v>951</v>
      </c>
      <c r="C297" s="43" t="s">
        <v>620</v>
      </c>
      <c r="D297" s="43" t="s">
        <v>603</v>
      </c>
      <c r="E297" s="43" t="s">
        <v>368</v>
      </c>
      <c r="F297" s="43" t="s">
        <v>614</v>
      </c>
      <c r="G297" s="348"/>
      <c r="H297" s="348"/>
      <c r="I297" s="348"/>
    </row>
    <row r="298" spans="1:9" ht="96.75" customHeight="1">
      <c r="A298" s="76" t="s">
        <v>705</v>
      </c>
      <c r="B298" s="61" t="s">
        <v>111</v>
      </c>
      <c r="C298" s="53" t="s">
        <v>620</v>
      </c>
      <c r="D298" s="53" t="s">
        <v>603</v>
      </c>
      <c r="E298" s="53" t="s">
        <v>290</v>
      </c>
      <c r="F298" s="53" t="s">
        <v>198</v>
      </c>
      <c r="G298" s="41">
        <f t="shared" ref="G298:I299" si="77">G299</f>
        <v>1471.52585</v>
      </c>
      <c r="H298" s="41">
        <f t="shared" si="77"/>
        <v>0</v>
      </c>
      <c r="I298" s="41">
        <f t="shared" si="77"/>
        <v>0</v>
      </c>
    </row>
    <row r="299" spans="1:9" ht="65.25" customHeight="1">
      <c r="A299" s="77" t="s">
        <v>706</v>
      </c>
      <c r="B299" s="58" t="s">
        <v>111</v>
      </c>
      <c r="C299" s="43" t="s">
        <v>620</v>
      </c>
      <c r="D299" s="43" t="s">
        <v>603</v>
      </c>
      <c r="E299" s="43" t="s">
        <v>290</v>
      </c>
      <c r="F299" s="43" t="s">
        <v>198</v>
      </c>
      <c r="G299" s="348">
        <f t="shared" si="77"/>
        <v>1471.52585</v>
      </c>
      <c r="H299" s="348">
        <f t="shared" si="77"/>
        <v>0</v>
      </c>
      <c r="I299" s="348">
        <f t="shared" si="77"/>
        <v>0</v>
      </c>
    </row>
    <row r="300" spans="1:9" ht="20.25" customHeight="1">
      <c r="A300" s="77" t="s">
        <v>615</v>
      </c>
      <c r="B300" s="58" t="s">
        <v>111</v>
      </c>
      <c r="C300" s="43" t="s">
        <v>620</v>
      </c>
      <c r="D300" s="43" t="s">
        <v>603</v>
      </c>
      <c r="E300" s="43" t="s">
        <v>290</v>
      </c>
      <c r="F300" s="43" t="s">
        <v>616</v>
      </c>
      <c r="G300" s="348">
        <f>G302+G301</f>
        <v>1471.52585</v>
      </c>
      <c r="H300" s="348">
        <f t="shared" ref="H300:I300" si="78">H302+H301</f>
        <v>0</v>
      </c>
      <c r="I300" s="348">
        <f t="shared" si="78"/>
        <v>0</v>
      </c>
    </row>
    <row r="301" spans="1:9" ht="69.75" customHeight="1">
      <c r="A301" s="77" t="s">
        <v>707</v>
      </c>
      <c r="B301" s="58" t="s">
        <v>111</v>
      </c>
      <c r="C301" s="43" t="s">
        <v>620</v>
      </c>
      <c r="D301" s="43" t="s">
        <v>603</v>
      </c>
      <c r="E301" s="43" t="s">
        <v>291</v>
      </c>
      <c r="F301" s="43" t="s">
        <v>691</v>
      </c>
      <c r="G301" s="348">
        <f>'5'!D236</f>
        <v>1456.81059</v>
      </c>
      <c r="H301" s="348">
        <f>'5'!E236</f>
        <v>0</v>
      </c>
      <c r="I301" s="348">
        <f>'5'!F236</f>
        <v>0</v>
      </c>
    </row>
    <row r="302" spans="1:9" ht="65.25" customHeight="1">
      <c r="A302" s="77" t="s">
        <v>708</v>
      </c>
      <c r="B302" s="58" t="s">
        <v>111</v>
      </c>
      <c r="C302" s="43" t="s">
        <v>620</v>
      </c>
      <c r="D302" s="43" t="s">
        <v>603</v>
      </c>
      <c r="E302" s="43" t="s">
        <v>516</v>
      </c>
      <c r="F302" s="43" t="s">
        <v>691</v>
      </c>
      <c r="G302" s="348">
        <f>'5'!D237</f>
        <v>14.715260000000001</v>
      </c>
      <c r="H302" s="348">
        <f>'5'!E237</f>
        <v>0</v>
      </c>
      <c r="I302" s="348">
        <f>'5'!F237</f>
        <v>0</v>
      </c>
    </row>
    <row r="303" spans="1:9" ht="49.5" customHeight="1">
      <c r="A303" s="76" t="s">
        <v>604</v>
      </c>
      <c r="B303" s="58" t="s">
        <v>111</v>
      </c>
      <c r="C303" s="43" t="s">
        <v>620</v>
      </c>
      <c r="D303" s="43" t="s">
        <v>603</v>
      </c>
      <c r="E303" s="53" t="s">
        <v>1</v>
      </c>
      <c r="F303" s="53" t="s">
        <v>198</v>
      </c>
      <c r="G303" s="41">
        <f>G304</f>
        <v>120</v>
      </c>
      <c r="H303" s="41">
        <f t="shared" ref="H303:I306" si="79">H304</f>
        <v>20</v>
      </c>
      <c r="I303" s="41">
        <f t="shared" si="79"/>
        <v>20</v>
      </c>
    </row>
    <row r="304" spans="1:9" ht="51" customHeight="1">
      <c r="A304" s="77" t="s">
        <v>104</v>
      </c>
      <c r="B304" s="58" t="s">
        <v>111</v>
      </c>
      <c r="C304" s="43" t="s">
        <v>620</v>
      </c>
      <c r="D304" s="43" t="s">
        <v>603</v>
      </c>
      <c r="E304" s="43" t="s">
        <v>2</v>
      </c>
      <c r="F304" s="43" t="s">
        <v>198</v>
      </c>
      <c r="G304" s="348">
        <f>G305</f>
        <v>120</v>
      </c>
      <c r="H304" s="348">
        <f t="shared" si="79"/>
        <v>20</v>
      </c>
      <c r="I304" s="348">
        <f t="shared" si="79"/>
        <v>20</v>
      </c>
    </row>
    <row r="305" spans="1:9" ht="135.75" customHeight="1">
      <c r="A305" s="153" t="s">
        <v>292</v>
      </c>
      <c r="B305" s="198" t="s">
        <v>111</v>
      </c>
      <c r="C305" s="150" t="s">
        <v>620</v>
      </c>
      <c r="D305" s="150" t="s">
        <v>603</v>
      </c>
      <c r="E305" s="150" t="s">
        <v>293</v>
      </c>
      <c r="F305" s="150" t="s">
        <v>198</v>
      </c>
      <c r="G305" s="54">
        <f>G306</f>
        <v>120</v>
      </c>
      <c r="H305" s="54">
        <f t="shared" si="79"/>
        <v>20</v>
      </c>
      <c r="I305" s="54">
        <f t="shared" si="79"/>
        <v>20</v>
      </c>
    </row>
    <row r="306" spans="1:9" ht="36.75" customHeight="1">
      <c r="A306" s="77" t="s">
        <v>611</v>
      </c>
      <c r="B306" s="58" t="s">
        <v>111</v>
      </c>
      <c r="C306" s="43" t="s">
        <v>620</v>
      </c>
      <c r="D306" s="43" t="s">
        <v>603</v>
      </c>
      <c r="E306" s="43" t="s">
        <v>293</v>
      </c>
      <c r="F306" s="43" t="s">
        <v>612</v>
      </c>
      <c r="G306" s="348">
        <f>G307</f>
        <v>120</v>
      </c>
      <c r="H306" s="348">
        <f t="shared" si="79"/>
        <v>20</v>
      </c>
      <c r="I306" s="348">
        <f t="shared" si="79"/>
        <v>20</v>
      </c>
    </row>
    <row r="307" spans="1:9" ht="53.25" customHeight="1">
      <c r="A307" s="77" t="s">
        <v>613</v>
      </c>
      <c r="B307" s="58" t="s">
        <v>111</v>
      </c>
      <c r="C307" s="43" t="s">
        <v>620</v>
      </c>
      <c r="D307" s="43" t="s">
        <v>603</v>
      </c>
      <c r="E307" s="43" t="s">
        <v>293</v>
      </c>
      <c r="F307" s="43" t="s">
        <v>614</v>
      </c>
      <c r="G307" s="348">
        <f>'5'!D306</f>
        <v>120</v>
      </c>
      <c r="H307" s="348">
        <f>'5'!E306</f>
        <v>20</v>
      </c>
      <c r="I307" s="348">
        <f>'5'!F306</f>
        <v>20</v>
      </c>
    </row>
    <row r="308" spans="1:9" ht="101.25" customHeight="1">
      <c r="A308" s="76" t="s">
        <v>709</v>
      </c>
      <c r="B308" s="61" t="s">
        <v>111</v>
      </c>
      <c r="C308" s="53" t="s">
        <v>620</v>
      </c>
      <c r="D308" s="53" t="s">
        <v>603</v>
      </c>
      <c r="E308" s="53" t="s">
        <v>601</v>
      </c>
      <c r="F308" s="53" t="s">
        <v>198</v>
      </c>
      <c r="G308" s="41">
        <f t="shared" ref="G308:I309" si="80">G309</f>
        <v>20</v>
      </c>
      <c r="H308" s="41">
        <f t="shared" si="80"/>
        <v>20</v>
      </c>
      <c r="I308" s="41">
        <f t="shared" si="80"/>
        <v>0</v>
      </c>
    </row>
    <row r="309" spans="1:9" ht="42" customHeight="1">
      <c r="A309" s="77" t="s">
        <v>611</v>
      </c>
      <c r="B309" s="58" t="s">
        <v>111</v>
      </c>
      <c r="C309" s="43" t="s">
        <v>620</v>
      </c>
      <c r="D309" s="43" t="s">
        <v>603</v>
      </c>
      <c r="E309" s="43" t="s">
        <v>336</v>
      </c>
      <c r="F309" s="43" t="s">
        <v>612</v>
      </c>
      <c r="G309" s="348">
        <f t="shared" si="80"/>
        <v>20</v>
      </c>
      <c r="H309" s="348">
        <f t="shared" si="80"/>
        <v>20</v>
      </c>
      <c r="I309" s="348">
        <f t="shared" si="80"/>
        <v>0</v>
      </c>
    </row>
    <row r="310" spans="1:9" ht="54.75" customHeight="1">
      <c r="A310" s="77" t="s">
        <v>613</v>
      </c>
      <c r="B310" s="58" t="s">
        <v>111</v>
      </c>
      <c r="C310" s="43" t="s">
        <v>620</v>
      </c>
      <c r="D310" s="43" t="s">
        <v>603</v>
      </c>
      <c r="E310" s="43" t="s">
        <v>336</v>
      </c>
      <c r="F310" s="43" t="s">
        <v>614</v>
      </c>
      <c r="G310" s="348">
        <f>'5'!D220</f>
        <v>20</v>
      </c>
      <c r="H310" s="348">
        <f>'5'!E220</f>
        <v>20</v>
      </c>
      <c r="I310" s="348">
        <f>'5'!F220</f>
        <v>0</v>
      </c>
    </row>
    <row r="311" spans="1:9">
      <c r="A311" s="194" t="s">
        <v>710</v>
      </c>
      <c r="B311" s="195">
        <v>951</v>
      </c>
      <c r="C311" s="196" t="s">
        <v>620</v>
      </c>
      <c r="D311" s="196" t="s">
        <v>105</v>
      </c>
      <c r="E311" s="196" t="s">
        <v>601</v>
      </c>
      <c r="F311" s="196" t="s">
        <v>198</v>
      </c>
      <c r="G311" s="197">
        <f>G313+G321+G326</f>
        <v>5662.0626599999996</v>
      </c>
      <c r="H311" s="197">
        <f t="shared" ref="H311:I311" si="81">H313+H321+H326</f>
        <v>100</v>
      </c>
      <c r="I311" s="197">
        <f t="shared" si="81"/>
        <v>100</v>
      </c>
    </row>
    <row r="312" spans="1:9" ht="23.25" customHeight="1">
      <c r="A312" s="77" t="s">
        <v>188</v>
      </c>
      <c r="B312" s="58">
        <v>951</v>
      </c>
      <c r="C312" s="43" t="s">
        <v>620</v>
      </c>
      <c r="D312" s="43" t="s">
        <v>105</v>
      </c>
      <c r="E312" s="43" t="s">
        <v>14</v>
      </c>
      <c r="F312" s="43" t="s">
        <v>198</v>
      </c>
      <c r="G312" s="348">
        <f>G313</f>
        <v>702.06266000000005</v>
      </c>
      <c r="H312" s="348">
        <f t="shared" ref="G312:I313" si="82">H313</f>
        <v>50</v>
      </c>
      <c r="I312" s="348">
        <f t="shared" si="82"/>
        <v>50</v>
      </c>
    </row>
    <row r="313" spans="1:9" ht="34.5" customHeight="1">
      <c r="A313" s="77" t="s">
        <v>611</v>
      </c>
      <c r="B313" s="58">
        <v>951</v>
      </c>
      <c r="C313" s="43" t="s">
        <v>620</v>
      </c>
      <c r="D313" s="43" t="s">
        <v>105</v>
      </c>
      <c r="E313" s="43" t="s">
        <v>14</v>
      </c>
      <c r="F313" s="43" t="s">
        <v>612</v>
      </c>
      <c r="G313" s="348">
        <f t="shared" si="82"/>
        <v>702.06266000000005</v>
      </c>
      <c r="H313" s="348">
        <f t="shared" si="82"/>
        <v>50</v>
      </c>
      <c r="I313" s="348">
        <f t="shared" si="82"/>
        <v>50</v>
      </c>
    </row>
    <row r="314" spans="1:9" ht="54.75" customHeight="1">
      <c r="A314" s="77" t="s">
        <v>613</v>
      </c>
      <c r="B314" s="58">
        <v>951</v>
      </c>
      <c r="C314" s="43" t="s">
        <v>620</v>
      </c>
      <c r="D314" s="43" t="s">
        <v>105</v>
      </c>
      <c r="E314" s="43" t="s">
        <v>14</v>
      </c>
      <c r="F314" s="43" t="s">
        <v>614</v>
      </c>
      <c r="G314" s="348">
        <f>'5'!D283</f>
        <v>702.06266000000005</v>
      </c>
      <c r="H314" s="348">
        <f>'5'!E283</f>
        <v>50</v>
      </c>
      <c r="I314" s="348">
        <f>'5'!F283</f>
        <v>50</v>
      </c>
    </row>
    <row r="315" spans="1:9" ht="110.25" hidden="1" customHeight="1">
      <c r="A315" s="77" t="s">
        <v>585</v>
      </c>
      <c r="B315" s="58">
        <v>951</v>
      </c>
      <c r="C315" s="43" t="s">
        <v>620</v>
      </c>
      <c r="D315" s="43" t="s">
        <v>105</v>
      </c>
      <c r="E315" s="43" t="s">
        <v>595</v>
      </c>
      <c r="F315" s="43" t="s">
        <v>198</v>
      </c>
      <c r="G315" s="348">
        <f>G316</f>
        <v>0</v>
      </c>
      <c r="H315" s="348">
        <f t="shared" ref="H315:I316" si="83">H316</f>
        <v>0</v>
      </c>
      <c r="I315" s="348">
        <f t="shared" si="83"/>
        <v>0</v>
      </c>
    </row>
    <row r="316" spans="1:9" ht="31.5" hidden="1" customHeight="1">
      <c r="A316" s="77" t="s">
        <v>611</v>
      </c>
      <c r="B316" s="58">
        <v>951</v>
      </c>
      <c r="C316" s="43" t="s">
        <v>620</v>
      </c>
      <c r="D316" s="43" t="s">
        <v>105</v>
      </c>
      <c r="E316" s="43" t="s">
        <v>595</v>
      </c>
      <c r="F316" s="43" t="s">
        <v>612</v>
      </c>
      <c r="G316" s="348">
        <f>G317</f>
        <v>0</v>
      </c>
      <c r="H316" s="348">
        <f t="shared" si="83"/>
        <v>0</v>
      </c>
      <c r="I316" s="348">
        <f t="shared" si="83"/>
        <v>0</v>
      </c>
    </row>
    <row r="317" spans="1:9" ht="47.25" hidden="1">
      <c r="A317" s="77" t="s">
        <v>613</v>
      </c>
      <c r="B317" s="58">
        <v>951</v>
      </c>
      <c r="C317" s="43" t="s">
        <v>620</v>
      </c>
      <c r="D317" s="43" t="s">
        <v>105</v>
      </c>
      <c r="E317" s="43" t="s">
        <v>595</v>
      </c>
      <c r="F317" s="43" t="s">
        <v>614</v>
      </c>
      <c r="G317" s="348">
        <f>'5'!D284</f>
        <v>0</v>
      </c>
      <c r="H317" s="348">
        <f>'5'!E284</f>
        <v>0</v>
      </c>
      <c r="I317" s="348">
        <f>'5'!F284</f>
        <v>0</v>
      </c>
    </row>
    <row r="318" spans="1:9" ht="110.25" hidden="1">
      <c r="A318" s="77" t="s">
        <v>891</v>
      </c>
      <c r="B318" s="58">
        <v>951</v>
      </c>
      <c r="C318" s="43" t="s">
        <v>620</v>
      </c>
      <c r="D318" s="43" t="s">
        <v>105</v>
      </c>
      <c r="E318" s="58" t="s">
        <v>596</v>
      </c>
      <c r="F318" s="43" t="s">
        <v>198</v>
      </c>
      <c r="G318" s="348">
        <f t="shared" ref="G318:I319" si="84">G319</f>
        <v>0</v>
      </c>
      <c r="H318" s="348">
        <f t="shared" si="84"/>
        <v>0</v>
      </c>
      <c r="I318" s="348">
        <f t="shared" si="84"/>
        <v>0</v>
      </c>
    </row>
    <row r="319" spans="1:9" ht="31.5" hidden="1">
      <c r="A319" s="77" t="s">
        <v>611</v>
      </c>
      <c r="B319" s="58">
        <v>951</v>
      </c>
      <c r="C319" s="43" t="s">
        <v>620</v>
      </c>
      <c r="D319" s="43" t="s">
        <v>105</v>
      </c>
      <c r="E319" s="58" t="s">
        <v>596</v>
      </c>
      <c r="F319" s="43" t="s">
        <v>612</v>
      </c>
      <c r="G319" s="348">
        <f t="shared" si="84"/>
        <v>0</v>
      </c>
      <c r="H319" s="348">
        <f t="shared" si="84"/>
        <v>0</v>
      </c>
      <c r="I319" s="348">
        <f t="shared" si="84"/>
        <v>0</v>
      </c>
    </row>
    <row r="320" spans="1:9" ht="47.25" hidden="1">
      <c r="A320" s="77" t="s">
        <v>613</v>
      </c>
      <c r="B320" s="58">
        <v>951</v>
      </c>
      <c r="C320" s="43" t="s">
        <v>620</v>
      </c>
      <c r="D320" s="43" t="s">
        <v>105</v>
      </c>
      <c r="E320" s="58" t="s">
        <v>596</v>
      </c>
      <c r="F320" s="43" t="s">
        <v>614</v>
      </c>
      <c r="G320" s="348">
        <f>'5'!D285</f>
        <v>0</v>
      </c>
      <c r="H320" s="348">
        <f>'5'!E285</f>
        <v>0</v>
      </c>
      <c r="I320" s="348">
        <f>'5'!F285</f>
        <v>0</v>
      </c>
    </row>
    <row r="321" spans="1:9" ht="19.5" customHeight="1">
      <c r="A321" s="77" t="s">
        <v>189</v>
      </c>
      <c r="B321" s="58">
        <v>951</v>
      </c>
      <c r="C321" s="43" t="s">
        <v>620</v>
      </c>
      <c r="D321" s="43" t="s">
        <v>105</v>
      </c>
      <c r="E321" s="43" t="s">
        <v>15</v>
      </c>
      <c r="F321" s="43" t="s">
        <v>198</v>
      </c>
      <c r="G321" s="348">
        <f>G322+G324</f>
        <v>350</v>
      </c>
      <c r="H321" s="348">
        <f>H322+H324</f>
        <v>50</v>
      </c>
      <c r="I321" s="348">
        <f>I322+I324</f>
        <v>50</v>
      </c>
    </row>
    <row r="322" spans="1:9" ht="36" customHeight="1">
      <c r="A322" s="77" t="s">
        <v>611</v>
      </c>
      <c r="B322" s="58">
        <v>951</v>
      </c>
      <c r="C322" s="43" t="s">
        <v>620</v>
      </c>
      <c r="D322" s="43" t="s">
        <v>105</v>
      </c>
      <c r="E322" s="43" t="s">
        <v>15</v>
      </c>
      <c r="F322" s="43" t="s">
        <v>612</v>
      </c>
      <c r="G322" s="348">
        <f>G323</f>
        <v>350</v>
      </c>
      <c r="H322" s="348">
        <f>H323</f>
        <v>50</v>
      </c>
      <c r="I322" s="348">
        <f>I323</f>
        <v>50</v>
      </c>
    </row>
    <row r="323" spans="1:9" ht="54.75" customHeight="1">
      <c r="A323" s="77" t="s">
        <v>613</v>
      </c>
      <c r="B323" s="58">
        <v>951</v>
      </c>
      <c r="C323" s="43" t="s">
        <v>620</v>
      </c>
      <c r="D323" s="43" t="s">
        <v>105</v>
      </c>
      <c r="E323" s="43" t="s">
        <v>15</v>
      </c>
      <c r="F323" s="43" t="s">
        <v>614</v>
      </c>
      <c r="G323" s="348">
        <f>'5'!D286</f>
        <v>350</v>
      </c>
      <c r="H323" s="348">
        <f>'5'!E286</f>
        <v>50</v>
      </c>
      <c r="I323" s="348">
        <f>'5'!F286</f>
        <v>50</v>
      </c>
    </row>
    <row r="324" spans="1:9" ht="47.25" hidden="1">
      <c r="A324" s="74" t="s">
        <v>661</v>
      </c>
      <c r="B324" s="58">
        <v>952</v>
      </c>
      <c r="C324" s="43" t="s">
        <v>620</v>
      </c>
      <c r="D324" s="43" t="s">
        <v>105</v>
      </c>
      <c r="E324" s="43" t="s">
        <v>15</v>
      </c>
      <c r="F324" s="37" t="s">
        <v>662</v>
      </c>
      <c r="G324" s="38">
        <f>G325</f>
        <v>0</v>
      </c>
      <c r="H324" s="38">
        <f>H325</f>
        <v>0</v>
      </c>
      <c r="I324" s="38">
        <f>I325</f>
        <v>0</v>
      </c>
    </row>
    <row r="325" spans="1:9" hidden="1">
      <c r="A325" s="74" t="s">
        <v>663</v>
      </c>
      <c r="B325" s="58">
        <v>953</v>
      </c>
      <c r="C325" s="43" t="s">
        <v>620</v>
      </c>
      <c r="D325" s="43" t="s">
        <v>105</v>
      </c>
      <c r="E325" s="43" t="s">
        <v>15</v>
      </c>
      <c r="F325" s="37" t="s">
        <v>664</v>
      </c>
      <c r="G325" s="38"/>
      <c r="H325" s="38"/>
      <c r="I325" s="38"/>
    </row>
    <row r="326" spans="1:9" ht="63">
      <c r="A326" s="74" t="s">
        <v>1124</v>
      </c>
      <c r="B326" s="58">
        <v>954</v>
      </c>
      <c r="C326" s="43" t="s">
        <v>620</v>
      </c>
      <c r="D326" s="43" t="s">
        <v>105</v>
      </c>
      <c r="E326" s="43" t="s">
        <v>1123</v>
      </c>
      <c r="F326" s="37" t="s">
        <v>198</v>
      </c>
      <c r="G326" s="38">
        <f>G327</f>
        <v>4610</v>
      </c>
      <c r="H326" s="38">
        <f t="shared" ref="H326:I327" si="85">H327</f>
        <v>0</v>
      </c>
      <c r="I326" s="38">
        <f t="shared" si="85"/>
        <v>0</v>
      </c>
    </row>
    <row r="327" spans="1:9" ht="31.5">
      <c r="A327" s="77" t="s">
        <v>611</v>
      </c>
      <c r="B327" s="58">
        <v>955</v>
      </c>
      <c r="C327" s="43" t="s">
        <v>620</v>
      </c>
      <c r="D327" s="43" t="s">
        <v>105</v>
      </c>
      <c r="E327" s="43" t="s">
        <v>1123</v>
      </c>
      <c r="F327" s="37" t="s">
        <v>612</v>
      </c>
      <c r="G327" s="38">
        <f>G328</f>
        <v>4610</v>
      </c>
      <c r="H327" s="38">
        <f t="shared" si="85"/>
        <v>0</v>
      </c>
      <c r="I327" s="38">
        <f t="shared" si="85"/>
        <v>0</v>
      </c>
    </row>
    <row r="328" spans="1:9" ht="47.25">
      <c r="A328" s="77" t="s">
        <v>613</v>
      </c>
      <c r="B328" s="58">
        <v>956</v>
      </c>
      <c r="C328" s="43" t="s">
        <v>620</v>
      </c>
      <c r="D328" s="43" t="s">
        <v>105</v>
      </c>
      <c r="E328" s="43" t="s">
        <v>1123</v>
      </c>
      <c r="F328" s="37" t="s">
        <v>614</v>
      </c>
      <c r="G328" s="38">
        <f>'3'!F383</f>
        <v>4610</v>
      </c>
      <c r="H328" s="38">
        <f>'3'!G383</f>
        <v>0</v>
      </c>
      <c r="I328" s="38">
        <f>'3'!H383</f>
        <v>0</v>
      </c>
    </row>
    <row r="329" spans="1:9" ht="31.5">
      <c r="A329" s="194" t="s">
        <v>711</v>
      </c>
      <c r="B329" s="195">
        <v>951</v>
      </c>
      <c r="C329" s="196" t="s">
        <v>620</v>
      </c>
      <c r="D329" s="196" t="s">
        <v>620</v>
      </c>
      <c r="E329" s="196" t="s">
        <v>601</v>
      </c>
      <c r="F329" s="196" t="s">
        <v>198</v>
      </c>
      <c r="G329" s="197">
        <f>G337</f>
        <v>2.4188999999999998</v>
      </c>
      <c r="H329" s="197">
        <f t="shared" ref="H329:I329" si="86">H337</f>
        <v>2.5156499999999999</v>
      </c>
      <c r="I329" s="197">
        <f t="shared" si="86"/>
        <v>2.6162699999999997</v>
      </c>
    </row>
    <row r="330" spans="1:9" ht="34.5" customHeight="1">
      <c r="A330" s="74" t="s">
        <v>604</v>
      </c>
      <c r="B330" s="47">
        <v>951</v>
      </c>
      <c r="C330" s="37" t="s">
        <v>620</v>
      </c>
      <c r="D330" s="37" t="s">
        <v>620</v>
      </c>
      <c r="E330" s="37" t="s">
        <v>1</v>
      </c>
      <c r="F330" s="37" t="s">
        <v>198</v>
      </c>
      <c r="G330" s="38">
        <f t="shared" ref="G330:I330" si="87">G331</f>
        <v>2.4188999999999998</v>
      </c>
      <c r="H330" s="38">
        <f t="shared" si="87"/>
        <v>2.5156499999999999</v>
      </c>
      <c r="I330" s="38">
        <f t="shared" si="87"/>
        <v>2.6162699999999997</v>
      </c>
    </row>
    <row r="331" spans="1:9" ht="47.25">
      <c r="A331" s="77" t="s">
        <v>104</v>
      </c>
      <c r="B331" s="58">
        <v>951</v>
      </c>
      <c r="C331" s="43" t="s">
        <v>620</v>
      </c>
      <c r="D331" s="43" t="s">
        <v>620</v>
      </c>
      <c r="E331" s="43" t="s">
        <v>2</v>
      </c>
      <c r="F331" s="43" t="s">
        <v>198</v>
      </c>
      <c r="G331" s="348">
        <f>G332+G337</f>
        <v>2.4188999999999998</v>
      </c>
      <c r="H331" s="348">
        <f>H332+H337</f>
        <v>2.5156499999999999</v>
      </c>
      <c r="I331" s="348">
        <f>I332+I337</f>
        <v>2.6162699999999997</v>
      </c>
    </row>
    <row r="332" spans="1:9" ht="63" hidden="1">
      <c r="A332" s="77" t="s">
        <v>712</v>
      </c>
      <c r="B332" s="58">
        <v>951</v>
      </c>
      <c r="C332" s="43" t="s">
        <v>620</v>
      </c>
      <c r="D332" s="43" t="s">
        <v>620</v>
      </c>
      <c r="E332" s="43" t="s">
        <v>5</v>
      </c>
      <c r="F332" s="43" t="s">
        <v>198</v>
      </c>
      <c r="G332" s="348">
        <f>G333+G335</f>
        <v>0</v>
      </c>
      <c r="H332" s="348">
        <f>H333+H335</f>
        <v>0</v>
      </c>
      <c r="I332" s="348">
        <f>I333+I335</f>
        <v>0</v>
      </c>
    </row>
    <row r="333" spans="1:9" ht="94.5" hidden="1" customHeight="1">
      <c r="A333" s="77" t="s">
        <v>605</v>
      </c>
      <c r="B333" s="58">
        <v>951</v>
      </c>
      <c r="C333" s="43" t="s">
        <v>620</v>
      </c>
      <c r="D333" s="43" t="s">
        <v>620</v>
      </c>
      <c r="E333" s="43" t="s">
        <v>5</v>
      </c>
      <c r="F333" s="43" t="s">
        <v>606</v>
      </c>
      <c r="G333" s="348">
        <f>G334</f>
        <v>0</v>
      </c>
      <c r="H333" s="348">
        <f>H334</f>
        <v>0</v>
      </c>
      <c r="I333" s="348">
        <f>I334</f>
        <v>0</v>
      </c>
    </row>
    <row r="334" spans="1:9" ht="47.25" hidden="1">
      <c r="A334" s="77" t="s">
        <v>607</v>
      </c>
      <c r="B334" s="58">
        <v>951</v>
      </c>
      <c r="C334" s="43" t="s">
        <v>620</v>
      </c>
      <c r="D334" s="43" t="s">
        <v>620</v>
      </c>
      <c r="E334" s="43" t="s">
        <v>5</v>
      </c>
      <c r="F334" s="43" t="s">
        <v>608</v>
      </c>
      <c r="G334" s="348">
        <v>0</v>
      </c>
      <c r="H334" s="348">
        <v>0</v>
      </c>
      <c r="I334" s="348">
        <v>0</v>
      </c>
    </row>
    <row r="335" spans="1:9" ht="31.5" hidden="1">
      <c r="A335" s="77" t="s">
        <v>611</v>
      </c>
      <c r="B335" s="58">
        <v>951</v>
      </c>
      <c r="C335" s="43" t="s">
        <v>620</v>
      </c>
      <c r="D335" s="43" t="s">
        <v>620</v>
      </c>
      <c r="E335" s="43" t="s">
        <v>5</v>
      </c>
      <c r="F335" s="43" t="s">
        <v>612</v>
      </c>
      <c r="G335" s="348">
        <f>G336</f>
        <v>0</v>
      </c>
      <c r="H335" s="348">
        <f>H336</f>
        <v>0</v>
      </c>
      <c r="I335" s="348">
        <f>I336</f>
        <v>0</v>
      </c>
    </row>
    <row r="336" spans="1:9" ht="47.25" hidden="1">
      <c r="A336" s="77" t="s">
        <v>613</v>
      </c>
      <c r="B336" s="58">
        <v>951</v>
      </c>
      <c r="C336" s="43" t="s">
        <v>620</v>
      </c>
      <c r="D336" s="43" t="s">
        <v>620</v>
      </c>
      <c r="E336" s="43" t="s">
        <v>5</v>
      </c>
      <c r="F336" s="43" t="s">
        <v>614</v>
      </c>
      <c r="G336" s="348">
        <v>0</v>
      </c>
      <c r="H336" s="348">
        <v>0</v>
      </c>
      <c r="I336" s="348">
        <v>0</v>
      </c>
    </row>
    <row r="337" spans="1:12" ht="84.75" customHeight="1">
      <c r="A337" s="77" t="s">
        <v>713</v>
      </c>
      <c r="B337" s="58" t="s">
        <v>111</v>
      </c>
      <c r="C337" s="43" t="s">
        <v>620</v>
      </c>
      <c r="D337" s="43" t="s">
        <v>620</v>
      </c>
      <c r="E337" s="43" t="s">
        <v>16</v>
      </c>
      <c r="F337" s="43" t="s">
        <v>198</v>
      </c>
      <c r="G337" s="348">
        <f t="shared" ref="G337:I338" si="88">G338</f>
        <v>2.4188999999999998</v>
      </c>
      <c r="H337" s="348">
        <f t="shared" si="88"/>
        <v>2.5156499999999999</v>
      </c>
      <c r="I337" s="348">
        <f t="shared" si="88"/>
        <v>2.6162699999999997</v>
      </c>
    </row>
    <row r="338" spans="1:12" ht="102" customHeight="1">
      <c r="A338" s="77" t="s">
        <v>714</v>
      </c>
      <c r="B338" s="58" t="s">
        <v>111</v>
      </c>
      <c r="C338" s="43" t="s">
        <v>620</v>
      </c>
      <c r="D338" s="43" t="s">
        <v>620</v>
      </c>
      <c r="E338" s="43" t="s">
        <v>16</v>
      </c>
      <c r="F338" s="43" t="s">
        <v>606</v>
      </c>
      <c r="G338" s="348">
        <f t="shared" si="88"/>
        <v>2.4188999999999998</v>
      </c>
      <c r="H338" s="348">
        <f t="shared" si="88"/>
        <v>2.5156499999999999</v>
      </c>
      <c r="I338" s="348">
        <f t="shared" si="88"/>
        <v>2.6162699999999997</v>
      </c>
    </row>
    <row r="339" spans="1:12" ht="49.5" customHeight="1">
      <c r="A339" s="77" t="s">
        <v>607</v>
      </c>
      <c r="B339" s="58" t="s">
        <v>111</v>
      </c>
      <c r="C339" s="43" t="s">
        <v>620</v>
      </c>
      <c r="D339" s="43" t="s">
        <v>620</v>
      </c>
      <c r="E339" s="43" t="s">
        <v>16</v>
      </c>
      <c r="F339" s="43" t="s">
        <v>608</v>
      </c>
      <c r="G339" s="348">
        <f>'5'!D324</f>
        <v>2.4188999999999998</v>
      </c>
      <c r="H339" s="348">
        <f>'5'!E324</f>
        <v>2.5156499999999999</v>
      </c>
      <c r="I339" s="348">
        <f>'5'!F324</f>
        <v>2.6162699999999997</v>
      </c>
    </row>
    <row r="340" spans="1:12" ht="31.5" hidden="1">
      <c r="A340" s="74" t="s">
        <v>611</v>
      </c>
      <c r="B340" s="47" t="s">
        <v>313</v>
      </c>
      <c r="C340" s="37" t="s">
        <v>620</v>
      </c>
      <c r="D340" s="37" t="s">
        <v>620</v>
      </c>
      <c r="E340" s="37" t="s">
        <v>16</v>
      </c>
      <c r="F340" s="37" t="s">
        <v>612</v>
      </c>
      <c r="G340" s="38">
        <f>G341</f>
        <v>0</v>
      </c>
      <c r="H340" s="38">
        <f>H341</f>
        <v>0</v>
      </c>
      <c r="I340" s="38">
        <f>I341</f>
        <v>0</v>
      </c>
    </row>
    <row r="341" spans="1:12" ht="47.25" hidden="1">
      <c r="A341" s="74" t="s">
        <v>613</v>
      </c>
      <c r="B341" s="47" t="s">
        <v>845</v>
      </c>
      <c r="C341" s="37" t="s">
        <v>620</v>
      </c>
      <c r="D341" s="37" t="s">
        <v>620</v>
      </c>
      <c r="E341" s="37" t="s">
        <v>16</v>
      </c>
      <c r="F341" s="37" t="s">
        <v>614</v>
      </c>
      <c r="G341" s="38"/>
      <c r="H341" s="38"/>
      <c r="I341" s="38"/>
    </row>
    <row r="342" spans="1:12">
      <c r="A342" s="73" t="s">
        <v>715</v>
      </c>
      <c r="B342" s="191" t="s">
        <v>111</v>
      </c>
      <c r="C342" s="34" t="s">
        <v>622</v>
      </c>
      <c r="D342" s="34" t="s">
        <v>103</v>
      </c>
      <c r="E342" s="34" t="s">
        <v>601</v>
      </c>
      <c r="F342" s="34" t="s">
        <v>198</v>
      </c>
      <c r="G342" s="35">
        <f t="shared" ref="G342:I347" si="89">G343</f>
        <v>830</v>
      </c>
      <c r="H342" s="35">
        <f t="shared" si="89"/>
        <v>830</v>
      </c>
      <c r="I342" s="35">
        <f t="shared" si="89"/>
        <v>830</v>
      </c>
      <c r="J342" s="90"/>
      <c r="K342" s="90"/>
      <c r="L342" s="90"/>
    </row>
    <row r="343" spans="1:12" ht="31.5">
      <c r="A343" s="194" t="s">
        <v>716</v>
      </c>
      <c r="B343" s="195" t="s">
        <v>111</v>
      </c>
      <c r="C343" s="196" t="s">
        <v>622</v>
      </c>
      <c r="D343" s="196" t="s">
        <v>620</v>
      </c>
      <c r="E343" s="196" t="s">
        <v>601</v>
      </c>
      <c r="F343" s="196" t="s">
        <v>198</v>
      </c>
      <c r="G343" s="197">
        <f>G344</f>
        <v>830</v>
      </c>
      <c r="H343" s="197">
        <f t="shared" si="89"/>
        <v>830</v>
      </c>
      <c r="I343" s="197">
        <f t="shared" si="89"/>
        <v>830</v>
      </c>
    </row>
    <row r="344" spans="1:12" ht="38.25" customHeight="1">
      <c r="A344" s="77" t="s">
        <v>604</v>
      </c>
      <c r="B344" s="58" t="s">
        <v>111</v>
      </c>
      <c r="C344" s="43" t="s">
        <v>622</v>
      </c>
      <c r="D344" s="43" t="s">
        <v>620</v>
      </c>
      <c r="E344" s="43" t="s">
        <v>1</v>
      </c>
      <c r="F344" s="43" t="s">
        <v>198</v>
      </c>
      <c r="G344" s="348">
        <f>G345</f>
        <v>830</v>
      </c>
      <c r="H344" s="348">
        <f t="shared" si="89"/>
        <v>830</v>
      </c>
      <c r="I344" s="348">
        <f t="shared" si="89"/>
        <v>830</v>
      </c>
    </row>
    <row r="345" spans="1:12" ht="47.25">
      <c r="A345" s="77" t="s">
        <v>104</v>
      </c>
      <c r="B345" s="58" t="s">
        <v>111</v>
      </c>
      <c r="C345" s="43" t="s">
        <v>622</v>
      </c>
      <c r="D345" s="43" t="s">
        <v>620</v>
      </c>
      <c r="E345" s="43" t="s">
        <v>2</v>
      </c>
      <c r="F345" s="43" t="s">
        <v>198</v>
      </c>
      <c r="G345" s="348">
        <f>G348+G351</f>
        <v>830</v>
      </c>
      <c r="H345" s="348">
        <f t="shared" si="89"/>
        <v>830</v>
      </c>
      <c r="I345" s="348">
        <f t="shared" si="89"/>
        <v>830</v>
      </c>
    </row>
    <row r="346" spans="1:12" ht="31.5">
      <c r="A346" s="77" t="s">
        <v>717</v>
      </c>
      <c r="B346" s="58" t="s">
        <v>111</v>
      </c>
      <c r="C346" s="43" t="s">
        <v>622</v>
      </c>
      <c r="D346" s="43" t="s">
        <v>620</v>
      </c>
      <c r="E346" s="43" t="s">
        <v>539</v>
      </c>
      <c r="F346" s="43" t="s">
        <v>198</v>
      </c>
      <c r="G346" s="348">
        <f>G347</f>
        <v>830</v>
      </c>
      <c r="H346" s="348">
        <f t="shared" si="89"/>
        <v>830</v>
      </c>
      <c r="I346" s="348">
        <f t="shared" si="89"/>
        <v>830</v>
      </c>
    </row>
    <row r="347" spans="1:12" ht="31.5">
      <c r="A347" s="77" t="s">
        <v>611</v>
      </c>
      <c r="B347" s="58" t="s">
        <v>111</v>
      </c>
      <c r="C347" s="43" t="s">
        <v>622</v>
      </c>
      <c r="D347" s="43" t="s">
        <v>620</v>
      </c>
      <c r="E347" s="43" t="s">
        <v>539</v>
      </c>
      <c r="F347" s="43" t="s">
        <v>612</v>
      </c>
      <c r="G347" s="348">
        <f>G348</f>
        <v>830</v>
      </c>
      <c r="H347" s="348">
        <f t="shared" si="89"/>
        <v>830</v>
      </c>
      <c r="I347" s="348">
        <f t="shared" si="89"/>
        <v>830</v>
      </c>
    </row>
    <row r="348" spans="1:12" ht="47.25">
      <c r="A348" s="77" t="s">
        <v>613</v>
      </c>
      <c r="B348" s="58" t="s">
        <v>111</v>
      </c>
      <c r="C348" s="43" t="s">
        <v>622</v>
      </c>
      <c r="D348" s="43" t="s">
        <v>620</v>
      </c>
      <c r="E348" s="43" t="s">
        <v>539</v>
      </c>
      <c r="F348" s="43" t="s">
        <v>614</v>
      </c>
      <c r="G348" s="348">
        <f>'5'!D312</f>
        <v>830</v>
      </c>
      <c r="H348" s="348">
        <f>'5'!E312</f>
        <v>830</v>
      </c>
      <c r="I348" s="348">
        <f>'5'!F312</f>
        <v>830</v>
      </c>
    </row>
    <row r="349" spans="1:12" ht="31.5" hidden="1">
      <c r="A349" s="151" t="s">
        <v>717</v>
      </c>
      <c r="B349" s="58" t="s">
        <v>111</v>
      </c>
      <c r="C349" s="43" t="s">
        <v>622</v>
      </c>
      <c r="D349" s="43" t="s">
        <v>620</v>
      </c>
      <c r="E349" s="43" t="s">
        <v>990</v>
      </c>
      <c r="F349" s="43" t="s">
        <v>198</v>
      </c>
      <c r="G349" s="348">
        <f>G350</f>
        <v>0</v>
      </c>
      <c r="H349" s="348">
        <v>0</v>
      </c>
      <c r="I349" s="348">
        <v>0</v>
      </c>
    </row>
    <row r="350" spans="1:12" hidden="1">
      <c r="A350" s="151" t="s">
        <v>674</v>
      </c>
      <c r="B350" s="58" t="s">
        <v>111</v>
      </c>
      <c r="C350" s="43" t="s">
        <v>622</v>
      </c>
      <c r="D350" s="43" t="s">
        <v>620</v>
      </c>
      <c r="E350" s="43" t="s">
        <v>990</v>
      </c>
      <c r="F350" s="43" t="s">
        <v>675</v>
      </c>
      <c r="G350" s="348">
        <f>G351</f>
        <v>0</v>
      </c>
      <c r="H350" s="348">
        <v>0</v>
      </c>
      <c r="I350" s="348">
        <v>0</v>
      </c>
    </row>
    <row r="351" spans="1:12" ht="15.75" hidden="1" customHeight="1">
      <c r="A351" s="151" t="s">
        <v>166</v>
      </c>
      <c r="B351" s="58" t="s">
        <v>111</v>
      </c>
      <c r="C351" s="43" t="s">
        <v>622</v>
      </c>
      <c r="D351" s="43" t="s">
        <v>620</v>
      </c>
      <c r="E351" s="43" t="s">
        <v>990</v>
      </c>
      <c r="F351" s="43" t="s">
        <v>692</v>
      </c>
      <c r="G351" s="348">
        <v>0</v>
      </c>
      <c r="H351" s="348">
        <v>0</v>
      </c>
      <c r="I351" s="348">
        <v>0</v>
      </c>
    </row>
    <row r="352" spans="1:12">
      <c r="A352" s="73" t="s">
        <v>718</v>
      </c>
      <c r="B352" s="191">
        <v>951</v>
      </c>
      <c r="C352" s="191" t="s">
        <v>187</v>
      </c>
      <c r="D352" s="191" t="s">
        <v>103</v>
      </c>
      <c r="E352" s="191" t="s">
        <v>601</v>
      </c>
      <c r="F352" s="191" t="s">
        <v>198</v>
      </c>
      <c r="G352" s="35">
        <f>G364+G398+G394</f>
        <v>29500.089619999999</v>
      </c>
      <c r="H352" s="35">
        <f t="shared" ref="H352:I352" si="90">H364+H398+H394</f>
        <v>27413.674010101011</v>
      </c>
      <c r="I352" s="35">
        <f t="shared" si="90"/>
        <v>33438.965666666663</v>
      </c>
      <c r="J352" s="90"/>
      <c r="K352" s="90"/>
      <c r="L352" s="90"/>
    </row>
    <row r="353" spans="1:12" hidden="1">
      <c r="A353" s="74" t="s">
        <v>846</v>
      </c>
      <c r="B353" s="47">
        <v>951</v>
      </c>
      <c r="C353" s="37" t="s">
        <v>187</v>
      </c>
      <c r="D353" s="37" t="s">
        <v>603</v>
      </c>
      <c r="E353" s="47" t="s">
        <v>601</v>
      </c>
      <c r="F353" s="47" t="s">
        <v>198</v>
      </c>
      <c r="G353" s="38">
        <f>G354</f>
        <v>0</v>
      </c>
      <c r="H353" s="38">
        <f>H354</f>
        <v>0</v>
      </c>
      <c r="I353" s="38">
        <f>I354</f>
        <v>0</v>
      </c>
    </row>
    <row r="354" spans="1:12" ht="31.5" hidden="1">
      <c r="A354" s="79" t="s">
        <v>733</v>
      </c>
      <c r="B354" s="47">
        <v>951</v>
      </c>
      <c r="C354" s="37" t="s">
        <v>187</v>
      </c>
      <c r="D354" s="37" t="s">
        <v>603</v>
      </c>
      <c r="E354" s="37" t="s">
        <v>38</v>
      </c>
      <c r="F354" s="37" t="s">
        <v>198</v>
      </c>
      <c r="G354" s="38">
        <f>G355+G358</f>
        <v>0</v>
      </c>
      <c r="H354" s="38">
        <f>H355+H358</f>
        <v>0</v>
      </c>
      <c r="I354" s="38">
        <f>I355+I358</f>
        <v>0</v>
      </c>
    </row>
    <row r="355" spans="1:12" ht="31.5" hidden="1">
      <c r="A355" s="74" t="s">
        <v>738</v>
      </c>
      <c r="B355" s="47" t="s">
        <v>111</v>
      </c>
      <c r="C355" s="37" t="s">
        <v>187</v>
      </c>
      <c r="D355" s="37" t="s">
        <v>603</v>
      </c>
      <c r="E355" s="37" t="s">
        <v>735</v>
      </c>
      <c r="F355" s="37" t="s">
        <v>198</v>
      </c>
      <c r="G355" s="38">
        <f t="shared" ref="G355:I356" si="91">G356</f>
        <v>0</v>
      </c>
      <c r="H355" s="38">
        <f t="shared" si="91"/>
        <v>0</v>
      </c>
      <c r="I355" s="38">
        <f t="shared" si="91"/>
        <v>0</v>
      </c>
    </row>
    <row r="356" spans="1:12" ht="47.25" hidden="1">
      <c r="A356" s="74" t="s">
        <v>649</v>
      </c>
      <c r="B356" s="47" t="s">
        <v>111</v>
      </c>
      <c r="C356" s="37" t="s">
        <v>187</v>
      </c>
      <c r="D356" s="37" t="s">
        <v>603</v>
      </c>
      <c r="E356" s="37" t="s">
        <v>735</v>
      </c>
      <c r="F356" s="37" t="s">
        <v>648</v>
      </c>
      <c r="G356" s="38">
        <f t="shared" si="91"/>
        <v>0</v>
      </c>
      <c r="H356" s="38">
        <f t="shared" si="91"/>
        <v>0</v>
      </c>
      <c r="I356" s="38">
        <f t="shared" si="91"/>
        <v>0</v>
      </c>
    </row>
    <row r="357" spans="1:12" hidden="1">
      <c r="A357" s="74" t="s">
        <v>117</v>
      </c>
      <c r="B357" s="47" t="s">
        <v>111</v>
      </c>
      <c r="C357" s="37" t="s">
        <v>187</v>
      </c>
      <c r="D357" s="37" t="s">
        <v>603</v>
      </c>
      <c r="E357" s="37" t="s">
        <v>41</v>
      </c>
      <c r="F357" s="37" t="s">
        <v>156</v>
      </c>
      <c r="G357" s="38"/>
      <c r="H357" s="38"/>
      <c r="I357" s="38"/>
    </row>
    <row r="358" spans="1:12" ht="31.5" hidden="1">
      <c r="A358" s="74" t="s">
        <v>739</v>
      </c>
      <c r="B358" s="47" t="s">
        <v>111</v>
      </c>
      <c r="C358" s="37" t="s">
        <v>187</v>
      </c>
      <c r="D358" s="37" t="s">
        <v>603</v>
      </c>
      <c r="E358" s="37" t="s">
        <v>735</v>
      </c>
      <c r="F358" s="37" t="s">
        <v>198</v>
      </c>
      <c r="G358" s="38">
        <f t="shared" ref="G358:I359" si="92">G359</f>
        <v>0</v>
      </c>
      <c r="H358" s="38">
        <f t="shared" si="92"/>
        <v>0</v>
      </c>
      <c r="I358" s="38">
        <f t="shared" si="92"/>
        <v>0</v>
      </c>
    </row>
    <row r="359" spans="1:12" ht="47.25" hidden="1">
      <c r="A359" s="74" t="s">
        <v>649</v>
      </c>
      <c r="B359" s="47" t="s">
        <v>111</v>
      </c>
      <c r="C359" s="37" t="s">
        <v>187</v>
      </c>
      <c r="D359" s="37" t="s">
        <v>603</v>
      </c>
      <c r="E359" s="37" t="s">
        <v>735</v>
      </c>
      <c r="F359" s="37" t="s">
        <v>648</v>
      </c>
      <c r="G359" s="38">
        <f t="shared" si="92"/>
        <v>0</v>
      </c>
      <c r="H359" s="38">
        <f t="shared" si="92"/>
        <v>0</v>
      </c>
      <c r="I359" s="38">
        <f t="shared" si="92"/>
        <v>0</v>
      </c>
    </row>
    <row r="360" spans="1:12" hidden="1">
      <c r="A360" s="74" t="s">
        <v>117</v>
      </c>
      <c r="B360" s="47">
        <v>951</v>
      </c>
      <c r="C360" s="37" t="s">
        <v>187</v>
      </c>
      <c r="D360" s="37" t="s">
        <v>603</v>
      </c>
      <c r="E360" s="37" t="s">
        <v>42</v>
      </c>
      <c r="F360" s="37" t="s">
        <v>156</v>
      </c>
      <c r="G360" s="38"/>
      <c r="H360" s="38"/>
      <c r="I360" s="38"/>
    </row>
    <row r="361" spans="1:12" ht="63" hidden="1">
      <c r="A361" s="75" t="s">
        <v>847</v>
      </c>
      <c r="B361" s="47" t="s">
        <v>111</v>
      </c>
      <c r="C361" s="37" t="s">
        <v>187</v>
      </c>
      <c r="D361" s="37" t="s">
        <v>187</v>
      </c>
      <c r="E361" s="37" t="s">
        <v>228</v>
      </c>
      <c r="F361" s="37" t="s">
        <v>198</v>
      </c>
      <c r="G361" s="38">
        <f t="shared" ref="G361:I362" si="93">G362</f>
        <v>0</v>
      </c>
      <c r="H361" s="38">
        <f t="shared" si="93"/>
        <v>0</v>
      </c>
      <c r="I361" s="38">
        <f t="shared" si="93"/>
        <v>0</v>
      </c>
    </row>
    <row r="362" spans="1:12" ht="31.5" hidden="1">
      <c r="A362" s="74" t="s">
        <v>611</v>
      </c>
      <c r="B362" s="47" t="s">
        <v>111</v>
      </c>
      <c r="C362" s="37" t="s">
        <v>187</v>
      </c>
      <c r="D362" s="37" t="s">
        <v>187</v>
      </c>
      <c r="E362" s="37" t="s">
        <v>848</v>
      </c>
      <c r="F362" s="37" t="s">
        <v>612</v>
      </c>
      <c r="G362" s="38">
        <f t="shared" si="93"/>
        <v>0</v>
      </c>
      <c r="H362" s="38">
        <f t="shared" si="93"/>
        <v>0</v>
      </c>
      <c r="I362" s="38">
        <f t="shared" si="93"/>
        <v>0</v>
      </c>
    </row>
    <row r="363" spans="1:12" ht="47.25" hidden="1">
      <c r="A363" s="74" t="s">
        <v>613</v>
      </c>
      <c r="B363" s="47" t="s">
        <v>111</v>
      </c>
      <c r="C363" s="37" t="s">
        <v>187</v>
      </c>
      <c r="D363" s="37" t="s">
        <v>187</v>
      </c>
      <c r="E363" s="37" t="s">
        <v>848</v>
      </c>
      <c r="F363" s="37" t="s">
        <v>614</v>
      </c>
      <c r="G363" s="38"/>
      <c r="H363" s="38"/>
      <c r="I363" s="38"/>
    </row>
    <row r="364" spans="1:12" ht="18.75" customHeight="1">
      <c r="A364" s="194" t="s">
        <v>743</v>
      </c>
      <c r="B364" s="195" t="s">
        <v>111</v>
      </c>
      <c r="C364" s="196" t="s">
        <v>187</v>
      </c>
      <c r="D364" s="196" t="s">
        <v>105</v>
      </c>
      <c r="E364" s="196" t="s">
        <v>601</v>
      </c>
      <c r="F364" s="196" t="s">
        <v>198</v>
      </c>
      <c r="G364" s="197">
        <f>G370+G373+G385+G387+G377+G380</f>
        <v>29276.089619999999</v>
      </c>
      <c r="H364" s="197">
        <f t="shared" ref="H364:I364" si="94">H370+H373+H385+H387+H377+H380</f>
        <v>27139.674010101011</v>
      </c>
      <c r="I364" s="197">
        <f t="shared" si="94"/>
        <v>33114.965666666663</v>
      </c>
      <c r="J364" s="90"/>
      <c r="K364" s="90"/>
      <c r="L364" s="90"/>
    </row>
    <row r="365" spans="1:12" ht="51" customHeight="1">
      <c r="A365" s="75" t="s">
        <v>509</v>
      </c>
      <c r="B365" s="201" t="s">
        <v>111</v>
      </c>
      <c r="C365" s="2" t="s">
        <v>187</v>
      </c>
      <c r="D365" s="2" t="s">
        <v>105</v>
      </c>
      <c r="E365" s="2" t="s">
        <v>601</v>
      </c>
      <c r="F365" s="2" t="s">
        <v>198</v>
      </c>
      <c r="G365" s="39">
        <f>G366+G376+G383</f>
        <v>29276.089619999999</v>
      </c>
      <c r="H365" s="39">
        <f t="shared" ref="H365:I365" si="95">H366+H376+H383</f>
        <v>27139.674010101011</v>
      </c>
      <c r="I365" s="39">
        <f t="shared" si="95"/>
        <v>33114.965666666663</v>
      </c>
    </row>
    <row r="366" spans="1:12" ht="57" customHeight="1">
      <c r="A366" s="86" t="s">
        <v>447</v>
      </c>
      <c r="B366" s="58" t="s">
        <v>111</v>
      </c>
      <c r="C366" s="43" t="s">
        <v>187</v>
      </c>
      <c r="D366" s="43" t="s">
        <v>105</v>
      </c>
      <c r="E366" s="43" t="s">
        <v>54</v>
      </c>
      <c r="F366" s="43" t="s">
        <v>198</v>
      </c>
      <c r="G366" s="348">
        <f>G371+G374</f>
        <v>25210</v>
      </c>
      <c r="H366" s="348">
        <f>H367+H370+H373</f>
        <v>26129.573</v>
      </c>
      <c r="I366" s="348">
        <f>I367+I370+I373</f>
        <v>25924.976999999999</v>
      </c>
    </row>
    <row r="367" spans="1:12" ht="47.25" hidden="1">
      <c r="A367" s="77" t="s">
        <v>411</v>
      </c>
      <c r="B367" s="58" t="s">
        <v>111</v>
      </c>
      <c r="C367" s="43" t="s">
        <v>187</v>
      </c>
      <c r="D367" s="43" t="s">
        <v>105</v>
      </c>
      <c r="E367" s="43" t="s">
        <v>54</v>
      </c>
      <c r="F367" s="43" t="s">
        <v>198</v>
      </c>
      <c r="G367" s="348">
        <f t="shared" ref="G367:I368" si="96">G368</f>
        <v>0</v>
      </c>
      <c r="H367" s="348">
        <f t="shared" si="96"/>
        <v>0</v>
      </c>
      <c r="I367" s="348">
        <f t="shared" si="96"/>
        <v>0</v>
      </c>
    </row>
    <row r="368" spans="1:12" ht="47.25" hidden="1">
      <c r="A368" s="77" t="s">
        <v>649</v>
      </c>
      <c r="B368" s="58" t="s">
        <v>111</v>
      </c>
      <c r="C368" s="43" t="s">
        <v>187</v>
      </c>
      <c r="D368" s="43" t="s">
        <v>105</v>
      </c>
      <c r="E368" s="43" t="s">
        <v>54</v>
      </c>
      <c r="F368" s="43" t="s">
        <v>648</v>
      </c>
      <c r="G368" s="348">
        <f t="shared" si="96"/>
        <v>0</v>
      </c>
      <c r="H368" s="348">
        <f t="shared" si="96"/>
        <v>0</v>
      </c>
      <c r="I368" s="348">
        <f t="shared" si="96"/>
        <v>0</v>
      </c>
    </row>
    <row r="369" spans="1:9" hidden="1">
      <c r="A369" s="77" t="s">
        <v>117</v>
      </c>
      <c r="B369" s="58" t="s">
        <v>111</v>
      </c>
      <c r="C369" s="43" t="s">
        <v>187</v>
      </c>
      <c r="D369" s="43" t="s">
        <v>105</v>
      </c>
      <c r="E369" s="43" t="s">
        <v>54</v>
      </c>
      <c r="F369" s="43" t="s">
        <v>156</v>
      </c>
      <c r="G369" s="348"/>
      <c r="H369" s="348"/>
      <c r="I369" s="348"/>
    </row>
    <row r="370" spans="1:9" ht="32.25" customHeight="1">
      <c r="A370" s="77" t="s">
        <v>849</v>
      </c>
      <c r="B370" s="58" t="s">
        <v>111</v>
      </c>
      <c r="C370" s="43" t="s">
        <v>187</v>
      </c>
      <c r="D370" s="43" t="s">
        <v>105</v>
      </c>
      <c r="E370" s="43" t="s">
        <v>448</v>
      </c>
      <c r="F370" s="43" t="s">
        <v>198</v>
      </c>
      <c r="G370" s="348">
        <f t="shared" ref="G370:I371" si="97">G371</f>
        <v>17820</v>
      </c>
      <c r="H370" s="348">
        <f t="shared" si="97"/>
        <v>17917.303</v>
      </c>
      <c r="I370" s="348">
        <f t="shared" si="97"/>
        <v>17141.844000000001</v>
      </c>
    </row>
    <row r="371" spans="1:9" ht="48" customHeight="1">
      <c r="A371" s="77" t="s">
        <v>649</v>
      </c>
      <c r="B371" s="58" t="s">
        <v>111</v>
      </c>
      <c r="C371" s="43" t="s">
        <v>187</v>
      </c>
      <c r="D371" s="43" t="s">
        <v>105</v>
      </c>
      <c r="E371" s="43" t="s">
        <v>448</v>
      </c>
      <c r="F371" s="43" t="s">
        <v>648</v>
      </c>
      <c r="G371" s="348">
        <f t="shared" si="97"/>
        <v>17820</v>
      </c>
      <c r="H371" s="348">
        <f t="shared" si="97"/>
        <v>17917.303</v>
      </c>
      <c r="I371" s="348">
        <f t="shared" si="97"/>
        <v>17141.844000000001</v>
      </c>
    </row>
    <row r="372" spans="1:9" ht="21" customHeight="1">
      <c r="A372" s="77" t="s">
        <v>117</v>
      </c>
      <c r="B372" s="58" t="s">
        <v>111</v>
      </c>
      <c r="C372" s="43" t="s">
        <v>187</v>
      </c>
      <c r="D372" s="43" t="s">
        <v>105</v>
      </c>
      <c r="E372" s="43" t="s">
        <v>448</v>
      </c>
      <c r="F372" s="43" t="s">
        <v>156</v>
      </c>
      <c r="G372" s="348">
        <f>'5'!D192</f>
        <v>17820</v>
      </c>
      <c r="H372" s="348">
        <f>'5'!E192</f>
        <v>17917.303</v>
      </c>
      <c r="I372" s="348">
        <f>'5'!F192</f>
        <v>17141.844000000001</v>
      </c>
    </row>
    <row r="373" spans="1:9" ht="33" customHeight="1">
      <c r="A373" s="77" t="s">
        <v>850</v>
      </c>
      <c r="B373" s="58" t="s">
        <v>111</v>
      </c>
      <c r="C373" s="43" t="s">
        <v>187</v>
      </c>
      <c r="D373" s="43" t="s">
        <v>105</v>
      </c>
      <c r="E373" s="43" t="s">
        <v>449</v>
      </c>
      <c r="F373" s="43" t="s">
        <v>198</v>
      </c>
      <c r="G373" s="348">
        <f t="shared" ref="G373:I374" si="98">G374</f>
        <v>7390</v>
      </c>
      <c r="H373" s="348">
        <f t="shared" si="98"/>
        <v>8212.27</v>
      </c>
      <c r="I373" s="348">
        <f t="shared" si="98"/>
        <v>8783.1329999999998</v>
      </c>
    </row>
    <row r="374" spans="1:9" ht="48" customHeight="1">
      <c r="A374" s="77" t="s">
        <v>649</v>
      </c>
      <c r="B374" s="58" t="s">
        <v>111</v>
      </c>
      <c r="C374" s="43" t="s">
        <v>187</v>
      </c>
      <c r="D374" s="43" t="s">
        <v>105</v>
      </c>
      <c r="E374" s="43" t="s">
        <v>449</v>
      </c>
      <c r="F374" s="43" t="s">
        <v>648</v>
      </c>
      <c r="G374" s="348">
        <f t="shared" si="98"/>
        <v>7390</v>
      </c>
      <c r="H374" s="348">
        <f t="shared" si="98"/>
        <v>8212.27</v>
      </c>
      <c r="I374" s="348">
        <f t="shared" si="98"/>
        <v>8783.1329999999998</v>
      </c>
    </row>
    <row r="375" spans="1:9" ht="17.25" customHeight="1">
      <c r="A375" s="77" t="s">
        <v>117</v>
      </c>
      <c r="B375" s="58" t="s">
        <v>111</v>
      </c>
      <c r="C375" s="43" t="s">
        <v>187</v>
      </c>
      <c r="D375" s="43" t="s">
        <v>105</v>
      </c>
      <c r="E375" s="43" t="s">
        <v>449</v>
      </c>
      <c r="F375" s="43" t="s">
        <v>156</v>
      </c>
      <c r="G375" s="348">
        <f>'5'!D194</f>
        <v>7390</v>
      </c>
      <c r="H375" s="348">
        <f>'5'!E194</f>
        <v>8212.27</v>
      </c>
      <c r="I375" s="348">
        <f>'5'!F194</f>
        <v>8783.1329999999998</v>
      </c>
    </row>
    <row r="376" spans="1:9" ht="116.25" customHeight="1">
      <c r="A376" s="153" t="s">
        <v>1059</v>
      </c>
      <c r="B376" s="58" t="s">
        <v>111</v>
      </c>
      <c r="C376" s="43" t="s">
        <v>187</v>
      </c>
      <c r="D376" s="43" t="s">
        <v>105</v>
      </c>
      <c r="E376" s="150" t="s">
        <v>1083</v>
      </c>
      <c r="F376" s="150" t="s">
        <v>198</v>
      </c>
      <c r="G376" s="54">
        <f>G377+G380</f>
        <v>3055.9886099999999</v>
      </c>
      <c r="H376" s="54">
        <f t="shared" ref="H376:I376" si="99">H377+H380</f>
        <v>0</v>
      </c>
      <c r="I376" s="54">
        <f t="shared" si="99"/>
        <v>6179.8876565656565</v>
      </c>
    </row>
    <row r="377" spans="1:9" ht="104.25" customHeight="1">
      <c r="A377" s="77" t="s">
        <v>1061</v>
      </c>
      <c r="B377" s="58" t="s">
        <v>111</v>
      </c>
      <c r="C377" s="43" t="s">
        <v>187</v>
      </c>
      <c r="D377" s="43" t="s">
        <v>105</v>
      </c>
      <c r="E377" s="43" t="s">
        <v>1082</v>
      </c>
      <c r="F377" s="43" t="s">
        <v>198</v>
      </c>
      <c r="G377" s="348">
        <f>G378</f>
        <v>3025.4287199999999</v>
      </c>
      <c r="H377" s="348">
        <f t="shared" ref="H377:I378" si="100">H378</f>
        <v>0</v>
      </c>
      <c r="I377" s="348">
        <f t="shared" si="100"/>
        <v>6118.08878</v>
      </c>
    </row>
    <row r="378" spans="1:9" ht="47.25">
      <c r="A378" s="77" t="s">
        <v>649</v>
      </c>
      <c r="B378" s="58" t="s">
        <v>111</v>
      </c>
      <c r="C378" s="43" t="s">
        <v>187</v>
      </c>
      <c r="D378" s="43" t="s">
        <v>105</v>
      </c>
      <c r="E378" s="43" t="s">
        <v>1082</v>
      </c>
      <c r="F378" s="43" t="s">
        <v>648</v>
      </c>
      <c r="G378" s="348">
        <f>G379</f>
        <v>3025.4287199999999</v>
      </c>
      <c r="H378" s="348">
        <f t="shared" si="100"/>
        <v>0</v>
      </c>
      <c r="I378" s="348">
        <f t="shared" si="100"/>
        <v>6118.08878</v>
      </c>
    </row>
    <row r="379" spans="1:9">
      <c r="A379" s="77" t="s">
        <v>117</v>
      </c>
      <c r="B379" s="58"/>
      <c r="C379" s="43"/>
      <c r="D379" s="43"/>
      <c r="E379" s="43" t="s">
        <v>1082</v>
      </c>
      <c r="F379" s="43" t="s">
        <v>156</v>
      </c>
      <c r="G379" s="348">
        <f>'3'!F569</f>
        <v>3025.4287199999999</v>
      </c>
      <c r="H379" s="348">
        <f>'3'!G569</f>
        <v>0</v>
      </c>
      <c r="I379" s="348">
        <f>'3'!H569</f>
        <v>6118.08878</v>
      </c>
    </row>
    <row r="380" spans="1:9" ht="131.25" customHeight="1">
      <c r="A380" s="77" t="s">
        <v>1062</v>
      </c>
      <c r="B380" s="58" t="s">
        <v>111</v>
      </c>
      <c r="C380" s="43" t="s">
        <v>187</v>
      </c>
      <c r="D380" s="43" t="s">
        <v>105</v>
      </c>
      <c r="E380" s="43" t="s">
        <v>1082</v>
      </c>
      <c r="F380" s="43" t="s">
        <v>198</v>
      </c>
      <c r="G380" s="348">
        <f>G381</f>
        <v>30.559889999999999</v>
      </c>
      <c r="H380" s="348">
        <f t="shared" ref="H380:I380" si="101">H381</f>
        <v>0</v>
      </c>
      <c r="I380" s="348">
        <f t="shared" si="101"/>
        <v>61.798876565656563</v>
      </c>
    </row>
    <row r="381" spans="1:9" ht="47.25">
      <c r="A381" s="77" t="s">
        <v>649</v>
      </c>
      <c r="B381" s="58" t="s">
        <v>111</v>
      </c>
      <c r="C381" s="43" t="s">
        <v>187</v>
      </c>
      <c r="D381" s="43" t="s">
        <v>105</v>
      </c>
      <c r="E381" s="43" t="s">
        <v>1082</v>
      </c>
      <c r="F381" s="43" t="s">
        <v>648</v>
      </c>
      <c r="G381" s="348">
        <f>G382</f>
        <v>30.559889999999999</v>
      </c>
      <c r="H381" s="348">
        <f t="shared" ref="H381:I381" si="102">H382</f>
        <v>0</v>
      </c>
      <c r="I381" s="348">
        <f t="shared" si="102"/>
        <v>61.798876565656563</v>
      </c>
    </row>
    <row r="382" spans="1:9">
      <c r="A382" s="77" t="s">
        <v>117</v>
      </c>
      <c r="B382" s="58" t="s">
        <v>111</v>
      </c>
      <c r="C382" s="43" t="s">
        <v>187</v>
      </c>
      <c r="D382" s="43" t="s">
        <v>105</v>
      </c>
      <c r="E382" s="43" t="s">
        <v>1082</v>
      </c>
      <c r="F382" s="43" t="s">
        <v>156</v>
      </c>
      <c r="G382" s="348">
        <f>'3'!F572</f>
        <v>30.559889999999999</v>
      </c>
      <c r="H382" s="348">
        <f>'3'!G572</f>
        <v>0</v>
      </c>
      <c r="I382" s="348">
        <f>'3'!H572</f>
        <v>61.798876565656563</v>
      </c>
    </row>
    <row r="383" spans="1:9" ht="54" customHeight="1">
      <c r="A383" s="76" t="s">
        <v>851</v>
      </c>
      <c r="B383" s="58" t="s">
        <v>111</v>
      </c>
      <c r="C383" s="43" t="s">
        <v>187</v>
      </c>
      <c r="D383" s="43" t="s">
        <v>105</v>
      </c>
      <c r="E383" s="53" t="s">
        <v>601</v>
      </c>
      <c r="F383" s="53" t="s">
        <v>198</v>
      </c>
      <c r="G383" s="41">
        <f>G384</f>
        <v>1010.10101</v>
      </c>
      <c r="H383" s="41">
        <f>H384</f>
        <v>1010.10101010101</v>
      </c>
      <c r="I383" s="41">
        <f>I384</f>
        <v>1010.10101010101</v>
      </c>
    </row>
    <row r="384" spans="1:9" ht="85.5" customHeight="1">
      <c r="A384" s="153" t="s">
        <v>309</v>
      </c>
      <c r="B384" s="198" t="s">
        <v>111</v>
      </c>
      <c r="C384" s="150" t="s">
        <v>187</v>
      </c>
      <c r="D384" s="150" t="s">
        <v>105</v>
      </c>
      <c r="E384" s="150" t="s">
        <v>601</v>
      </c>
      <c r="F384" s="150" t="s">
        <v>198</v>
      </c>
      <c r="G384" s="54">
        <f>G385+G387</f>
        <v>1010.10101</v>
      </c>
      <c r="H384" s="54">
        <f>H385+H387</f>
        <v>1010.10101010101</v>
      </c>
      <c r="I384" s="54">
        <f>I385+I387</f>
        <v>1010.10101010101</v>
      </c>
    </row>
    <row r="385" spans="1:9" ht="110.25">
      <c r="A385" s="77" t="s">
        <v>1063</v>
      </c>
      <c r="B385" s="58" t="s">
        <v>111</v>
      </c>
      <c r="C385" s="43" t="s">
        <v>187</v>
      </c>
      <c r="D385" s="43" t="s">
        <v>105</v>
      </c>
      <c r="E385" s="43" t="s">
        <v>358</v>
      </c>
      <c r="F385" s="43" t="s">
        <v>648</v>
      </c>
      <c r="G385" s="348">
        <f>G386</f>
        <v>1000</v>
      </c>
      <c r="H385" s="348">
        <f>H386</f>
        <v>1000</v>
      </c>
      <c r="I385" s="348">
        <f>I386</f>
        <v>1000</v>
      </c>
    </row>
    <row r="386" spans="1:9">
      <c r="A386" s="77" t="s">
        <v>117</v>
      </c>
      <c r="B386" s="58" t="s">
        <v>111</v>
      </c>
      <c r="C386" s="43" t="s">
        <v>187</v>
      </c>
      <c r="D386" s="43" t="s">
        <v>105</v>
      </c>
      <c r="E386" s="43" t="s">
        <v>358</v>
      </c>
      <c r="F386" s="43" t="s">
        <v>156</v>
      </c>
      <c r="G386" s="348">
        <f>'3'!F563</f>
        <v>1000</v>
      </c>
      <c r="H386" s="348">
        <f>'3'!G563</f>
        <v>1000</v>
      </c>
      <c r="I386" s="348">
        <f>'3'!H563</f>
        <v>1000</v>
      </c>
    </row>
    <row r="387" spans="1:9" ht="147.75" customHeight="1">
      <c r="A387" s="77" t="s">
        <v>1064</v>
      </c>
      <c r="B387" s="58" t="s">
        <v>111</v>
      </c>
      <c r="C387" s="43" t="s">
        <v>187</v>
      </c>
      <c r="D387" s="43" t="s">
        <v>105</v>
      </c>
      <c r="E387" s="43" t="s">
        <v>554</v>
      </c>
      <c r="F387" s="43" t="s">
        <v>648</v>
      </c>
      <c r="G387" s="348">
        <f>G388</f>
        <v>10.10101</v>
      </c>
      <c r="H387" s="348">
        <f>H388</f>
        <v>10.1010101010101</v>
      </c>
      <c r="I387" s="348">
        <f>I388</f>
        <v>10.1010101010101</v>
      </c>
    </row>
    <row r="388" spans="1:9">
      <c r="A388" s="77" t="s">
        <v>117</v>
      </c>
      <c r="B388" s="58" t="s">
        <v>111</v>
      </c>
      <c r="C388" s="43" t="s">
        <v>187</v>
      </c>
      <c r="D388" s="43" t="s">
        <v>105</v>
      </c>
      <c r="E388" s="43" t="s">
        <v>554</v>
      </c>
      <c r="F388" s="43" t="s">
        <v>156</v>
      </c>
      <c r="G388" s="348">
        <f>'5'!D186</f>
        <v>10.10101</v>
      </c>
      <c r="H388" s="348">
        <f>'5'!E186</f>
        <v>10.1010101010101</v>
      </c>
      <c r="I388" s="348">
        <f>'5'!F186</f>
        <v>10.1010101010101</v>
      </c>
    </row>
    <row r="389" spans="1:9" s="200" customFormat="1" ht="47.25" hidden="1">
      <c r="A389" s="75" t="s">
        <v>411</v>
      </c>
      <c r="B389" s="201" t="s">
        <v>111</v>
      </c>
      <c r="C389" s="2" t="s">
        <v>187</v>
      </c>
      <c r="D389" s="2" t="s">
        <v>105</v>
      </c>
      <c r="E389" s="2" t="s">
        <v>575</v>
      </c>
      <c r="F389" s="2" t="s">
        <v>648</v>
      </c>
      <c r="G389" s="39">
        <f>G390</f>
        <v>0</v>
      </c>
      <c r="H389" s="39">
        <f>H390</f>
        <v>0</v>
      </c>
      <c r="I389" s="39">
        <f>I390</f>
        <v>0</v>
      </c>
    </row>
    <row r="390" spans="1:9" ht="47.25" hidden="1">
      <c r="A390" s="74" t="s">
        <v>574</v>
      </c>
      <c r="B390" s="47" t="s">
        <v>111</v>
      </c>
      <c r="C390" s="37" t="s">
        <v>187</v>
      </c>
      <c r="D390" s="37" t="s">
        <v>105</v>
      </c>
      <c r="E390" s="43" t="s">
        <v>575</v>
      </c>
      <c r="F390" s="43" t="s">
        <v>156</v>
      </c>
      <c r="G390" s="348"/>
      <c r="H390" s="348">
        <v>0</v>
      </c>
      <c r="I390" s="348">
        <v>0</v>
      </c>
    </row>
    <row r="391" spans="1:9" s="200" customFormat="1" ht="94.5" hidden="1">
      <c r="A391" s="75" t="s">
        <v>444</v>
      </c>
      <c r="B391" s="47" t="s">
        <v>111</v>
      </c>
      <c r="C391" s="37" t="s">
        <v>187</v>
      </c>
      <c r="D391" s="37" t="s">
        <v>105</v>
      </c>
      <c r="E391" s="43" t="s">
        <v>568</v>
      </c>
      <c r="F391" s="53" t="s">
        <v>198</v>
      </c>
      <c r="G391" s="41">
        <f t="shared" ref="G391:I392" si="103">G392</f>
        <v>0</v>
      </c>
      <c r="H391" s="41">
        <f t="shared" si="103"/>
        <v>0</v>
      </c>
      <c r="I391" s="41">
        <f t="shared" si="103"/>
        <v>0</v>
      </c>
    </row>
    <row r="392" spans="1:9" ht="31.5" hidden="1">
      <c r="A392" s="74" t="s">
        <v>747</v>
      </c>
      <c r="B392" s="47" t="s">
        <v>111</v>
      </c>
      <c r="C392" s="37" t="s">
        <v>187</v>
      </c>
      <c r="D392" s="37" t="s">
        <v>105</v>
      </c>
      <c r="E392" s="43" t="s">
        <v>568</v>
      </c>
      <c r="F392" s="43" t="s">
        <v>648</v>
      </c>
      <c r="G392" s="348">
        <f t="shared" si="103"/>
        <v>0</v>
      </c>
      <c r="H392" s="38">
        <f t="shared" si="103"/>
        <v>0</v>
      </c>
      <c r="I392" s="38">
        <f t="shared" si="103"/>
        <v>0</v>
      </c>
    </row>
    <row r="393" spans="1:9" ht="31.5" hidden="1">
      <c r="A393" s="74" t="s">
        <v>748</v>
      </c>
      <c r="B393" s="47" t="s">
        <v>111</v>
      </c>
      <c r="C393" s="37" t="s">
        <v>187</v>
      </c>
      <c r="D393" s="37" t="s">
        <v>105</v>
      </c>
      <c r="E393" s="43" t="s">
        <v>568</v>
      </c>
      <c r="F393" s="43" t="s">
        <v>156</v>
      </c>
      <c r="G393" s="348">
        <v>0</v>
      </c>
      <c r="H393" s="38">
        <v>0</v>
      </c>
      <c r="I393" s="38">
        <v>0</v>
      </c>
    </row>
    <row r="394" spans="1:9" s="199" customFormat="1" ht="47.25">
      <c r="A394" s="202" t="s">
        <v>910</v>
      </c>
      <c r="B394" s="203" t="s">
        <v>111</v>
      </c>
      <c r="C394" s="157" t="s">
        <v>187</v>
      </c>
      <c r="D394" s="157" t="s">
        <v>620</v>
      </c>
      <c r="E394" s="157" t="s">
        <v>2</v>
      </c>
      <c r="F394" s="157" t="s">
        <v>198</v>
      </c>
      <c r="G394" s="158">
        <f>G395</f>
        <v>25</v>
      </c>
      <c r="H394" s="158">
        <f t="shared" ref="H394:I394" si="104">H395</f>
        <v>25</v>
      </c>
      <c r="I394" s="158">
        <f t="shared" si="104"/>
        <v>25</v>
      </c>
    </row>
    <row r="395" spans="1:9" ht="63">
      <c r="A395" s="76" t="s">
        <v>907</v>
      </c>
      <c r="B395" s="61" t="s">
        <v>111</v>
      </c>
      <c r="C395" s="53" t="s">
        <v>187</v>
      </c>
      <c r="D395" s="53" t="s">
        <v>620</v>
      </c>
      <c r="E395" s="53" t="s">
        <v>904</v>
      </c>
      <c r="F395" s="53" t="s">
        <v>198</v>
      </c>
      <c r="G395" s="41">
        <f>G396</f>
        <v>25</v>
      </c>
      <c r="H395" s="41">
        <f t="shared" ref="H395:I396" si="105">H396</f>
        <v>25</v>
      </c>
      <c r="I395" s="41">
        <f t="shared" si="105"/>
        <v>25</v>
      </c>
    </row>
    <row r="396" spans="1:9" ht="31.5">
      <c r="A396" s="77" t="s">
        <v>611</v>
      </c>
      <c r="B396" s="58" t="s">
        <v>111</v>
      </c>
      <c r="C396" s="43" t="s">
        <v>187</v>
      </c>
      <c r="D396" s="43" t="s">
        <v>620</v>
      </c>
      <c r="E396" s="43" t="s">
        <v>904</v>
      </c>
      <c r="F396" s="43" t="s">
        <v>612</v>
      </c>
      <c r="G396" s="348">
        <f>G397</f>
        <v>25</v>
      </c>
      <c r="H396" s="348">
        <f t="shared" si="105"/>
        <v>25</v>
      </c>
      <c r="I396" s="348">
        <f t="shared" si="105"/>
        <v>25</v>
      </c>
    </row>
    <row r="397" spans="1:9" ht="47.25">
      <c r="A397" s="77" t="s">
        <v>613</v>
      </c>
      <c r="B397" s="58" t="s">
        <v>111</v>
      </c>
      <c r="C397" s="43" t="s">
        <v>187</v>
      </c>
      <c r="D397" s="43" t="s">
        <v>620</v>
      </c>
      <c r="E397" s="43" t="s">
        <v>904</v>
      </c>
      <c r="F397" s="43" t="s">
        <v>614</v>
      </c>
      <c r="G397" s="348">
        <v>25</v>
      </c>
      <c r="H397" s="348">
        <v>25</v>
      </c>
      <c r="I397" s="348">
        <v>25</v>
      </c>
    </row>
    <row r="398" spans="1:9">
      <c r="A398" s="202" t="s">
        <v>764</v>
      </c>
      <c r="B398" s="203" t="s">
        <v>111</v>
      </c>
      <c r="C398" s="157" t="s">
        <v>187</v>
      </c>
      <c r="D398" s="157" t="s">
        <v>678</v>
      </c>
      <c r="E398" s="157" t="s">
        <v>601</v>
      </c>
      <c r="F398" s="157" t="s">
        <v>198</v>
      </c>
      <c r="G398" s="158">
        <f>G399+G406+G410+G403</f>
        <v>199</v>
      </c>
      <c r="H398" s="158">
        <f t="shared" ref="H398:I398" si="106">H399+H406+H410+H403</f>
        <v>249</v>
      </c>
      <c r="I398" s="158">
        <f t="shared" si="106"/>
        <v>299</v>
      </c>
    </row>
    <row r="399" spans="1:9" ht="47.25">
      <c r="A399" s="76" t="s">
        <v>658</v>
      </c>
      <c r="B399" s="61">
        <v>951</v>
      </c>
      <c r="C399" s="53" t="s">
        <v>187</v>
      </c>
      <c r="D399" s="53" t="s">
        <v>678</v>
      </c>
      <c r="E399" s="53" t="s">
        <v>18</v>
      </c>
      <c r="F399" s="53" t="s">
        <v>198</v>
      </c>
      <c r="G399" s="41">
        <f>G400</f>
        <v>161</v>
      </c>
      <c r="H399" s="41">
        <f t="shared" ref="H399:I401" si="107">H400</f>
        <v>211</v>
      </c>
      <c r="I399" s="41">
        <f t="shared" si="107"/>
        <v>261</v>
      </c>
    </row>
    <row r="400" spans="1:9" ht="34.9" customHeight="1">
      <c r="A400" s="205" t="s">
        <v>852</v>
      </c>
      <c r="B400" s="61">
        <v>951</v>
      </c>
      <c r="C400" s="53" t="s">
        <v>187</v>
      </c>
      <c r="D400" s="53" t="s">
        <v>678</v>
      </c>
      <c r="E400" s="53" t="s">
        <v>19</v>
      </c>
      <c r="F400" s="53" t="s">
        <v>198</v>
      </c>
      <c r="G400" s="41">
        <f>G401</f>
        <v>161</v>
      </c>
      <c r="H400" s="41">
        <f t="shared" si="107"/>
        <v>211</v>
      </c>
      <c r="I400" s="41">
        <f t="shared" si="107"/>
        <v>261</v>
      </c>
    </row>
    <row r="401" spans="1:9" ht="33.75" customHeight="1">
      <c r="A401" s="77" t="s">
        <v>611</v>
      </c>
      <c r="B401" s="58">
        <v>951</v>
      </c>
      <c r="C401" s="43" t="s">
        <v>187</v>
      </c>
      <c r="D401" s="43" t="s">
        <v>678</v>
      </c>
      <c r="E401" s="43" t="s">
        <v>20</v>
      </c>
      <c r="F401" s="43" t="s">
        <v>612</v>
      </c>
      <c r="G401" s="348">
        <f>G402</f>
        <v>161</v>
      </c>
      <c r="H401" s="348">
        <f t="shared" si="107"/>
        <v>211</v>
      </c>
      <c r="I401" s="348">
        <f t="shared" si="107"/>
        <v>261</v>
      </c>
    </row>
    <row r="402" spans="1:9" ht="50.25" customHeight="1">
      <c r="A402" s="77" t="s">
        <v>613</v>
      </c>
      <c r="B402" s="58">
        <v>951</v>
      </c>
      <c r="C402" s="43" t="s">
        <v>187</v>
      </c>
      <c r="D402" s="43" t="s">
        <v>678</v>
      </c>
      <c r="E402" s="43" t="s">
        <v>20</v>
      </c>
      <c r="F402" s="43" t="s">
        <v>614</v>
      </c>
      <c r="G402" s="348">
        <f>'5'!D101</f>
        <v>161</v>
      </c>
      <c r="H402" s="348">
        <f>'5'!E101</f>
        <v>211</v>
      </c>
      <c r="I402" s="348">
        <f>'5'!F101</f>
        <v>261</v>
      </c>
    </row>
    <row r="403" spans="1:9" ht="47.25">
      <c r="A403" s="153" t="s">
        <v>946</v>
      </c>
      <c r="B403" s="58">
        <v>952</v>
      </c>
      <c r="C403" s="43" t="s">
        <v>187</v>
      </c>
      <c r="D403" s="43" t="s">
        <v>678</v>
      </c>
      <c r="E403" s="198" t="s">
        <v>1058</v>
      </c>
      <c r="F403" s="150" t="s">
        <v>198</v>
      </c>
      <c r="G403" s="54">
        <f>G404</f>
        <v>38</v>
      </c>
      <c r="H403" s="54">
        <f t="shared" ref="H403:I404" si="108">H404</f>
        <v>38</v>
      </c>
      <c r="I403" s="54">
        <f t="shared" si="108"/>
        <v>38</v>
      </c>
    </row>
    <row r="404" spans="1:9" ht="47.25">
      <c r="A404" s="77" t="s">
        <v>649</v>
      </c>
      <c r="B404" s="58">
        <v>953</v>
      </c>
      <c r="C404" s="43" t="s">
        <v>187</v>
      </c>
      <c r="D404" s="43" t="s">
        <v>678</v>
      </c>
      <c r="E404" s="58" t="s">
        <v>1058</v>
      </c>
      <c r="F404" s="43" t="s">
        <v>612</v>
      </c>
      <c r="G404" s="348">
        <f>G405</f>
        <v>38</v>
      </c>
      <c r="H404" s="348">
        <f t="shared" si="108"/>
        <v>38</v>
      </c>
      <c r="I404" s="348">
        <f t="shared" si="108"/>
        <v>38</v>
      </c>
    </row>
    <row r="405" spans="1:9">
      <c r="A405" s="77" t="s">
        <v>117</v>
      </c>
      <c r="B405" s="58">
        <v>954</v>
      </c>
      <c r="C405" s="43" t="s">
        <v>187</v>
      </c>
      <c r="D405" s="43" t="s">
        <v>678</v>
      </c>
      <c r="E405" s="58" t="s">
        <v>1058</v>
      </c>
      <c r="F405" s="43" t="s">
        <v>614</v>
      </c>
      <c r="G405" s="348">
        <f>'3'!F619</f>
        <v>38</v>
      </c>
      <c r="H405" s="348">
        <f>'3'!G619</f>
        <v>38</v>
      </c>
      <c r="I405" s="348">
        <f>'3'!H619</f>
        <v>38</v>
      </c>
    </row>
    <row r="406" spans="1:9" s="200" customFormat="1" ht="47.25" hidden="1" customHeight="1">
      <c r="A406" s="75" t="s">
        <v>481</v>
      </c>
      <c r="B406" s="201">
        <v>951</v>
      </c>
      <c r="C406" s="2" t="s">
        <v>187</v>
      </c>
      <c r="D406" s="2" t="s">
        <v>678</v>
      </c>
      <c r="E406" s="2" t="s">
        <v>772</v>
      </c>
      <c r="F406" s="2" t="s">
        <v>198</v>
      </c>
      <c r="G406" s="39">
        <f t="shared" ref="G406:I407" si="109">G407</f>
        <v>0</v>
      </c>
      <c r="H406" s="39">
        <f t="shared" si="109"/>
        <v>0</v>
      </c>
      <c r="I406" s="39">
        <f t="shared" si="109"/>
        <v>0</v>
      </c>
    </row>
    <row r="407" spans="1:9" ht="31.5" hidden="1">
      <c r="A407" s="74" t="s">
        <v>611</v>
      </c>
      <c r="B407" s="201">
        <v>951</v>
      </c>
      <c r="C407" s="37" t="s">
        <v>187</v>
      </c>
      <c r="D407" s="37" t="s">
        <v>678</v>
      </c>
      <c r="E407" s="37" t="s">
        <v>451</v>
      </c>
      <c r="F407" s="37" t="s">
        <v>612</v>
      </c>
      <c r="G407" s="38">
        <f t="shared" si="109"/>
        <v>0</v>
      </c>
      <c r="H407" s="38">
        <f t="shared" si="109"/>
        <v>0</v>
      </c>
      <c r="I407" s="38">
        <f t="shared" si="109"/>
        <v>0</v>
      </c>
    </row>
    <row r="408" spans="1:9" ht="47.25" hidden="1" customHeight="1">
      <c r="A408" s="74" t="s">
        <v>613</v>
      </c>
      <c r="B408" s="201">
        <v>951</v>
      </c>
      <c r="C408" s="37" t="s">
        <v>187</v>
      </c>
      <c r="D408" s="37" t="s">
        <v>678</v>
      </c>
      <c r="E408" s="37" t="s">
        <v>451</v>
      </c>
      <c r="F408" s="37" t="s">
        <v>614</v>
      </c>
      <c r="G408" s="38">
        <f>'5'!D245</f>
        <v>0</v>
      </c>
      <c r="H408" s="38">
        <f>'5'!E245</f>
        <v>0</v>
      </c>
      <c r="I408" s="38">
        <f>'5'!F245</f>
        <v>0</v>
      </c>
    </row>
    <row r="409" spans="1:9" hidden="1">
      <c r="A409" s="74"/>
      <c r="B409" s="47"/>
      <c r="C409" s="37"/>
      <c r="D409" s="37"/>
      <c r="E409" s="37"/>
      <c r="F409" s="37"/>
      <c r="G409" s="38"/>
      <c r="H409" s="38"/>
      <c r="I409" s="38"/>
    </row>
    <row r="410" spans="1:9" ht="47.25" hidden="1" customHeight="1">
      <c r="A410" s="74" t="s">
        <v>604</v>
      </c>
      <c r="B410" s="47">
        <v>951</v>
      </c>
      <c r="C410" s="37" t="s">
        <v>187</v>
      </c>
      <c r="D410" s="37" t="s">
        <v>678</v>
      </c>
      <c r="E410" s="37" t="s">
        <v>1</v>
      </c>
      <c r="F410" s="37" t="s">
        <v>198</v>
      </c>
      <c r="G410" s="38">
        <f>G411</f>
        <v>0</v>
      </c>
      <c r="H410" s="38">
        <f>H411</f>
        <v>0</v>
      </c>
      <c r="I410" s="38">
        <f>I411</f>
        <v>0</v>
      </c>
    </row>
    <row r="411" spans="1:9" ht="47.25" hidden="1" customHeight="1">
      <c r="A411" s="74" t="s">
        <v>104</v>
      </c>
      <c r="B411" s="47">
        <v>951</v>
      </c>
      <c r="C411" s="37" t="s">
        <v>187</v>
      </c>
      <c r="D411" s="37" t="s">
        <v>678</v>
      </c>
      <c r="E411" s="37" t="s">
        <v>2</v>
      </c>
      <c r="F411" s="37" t="s">
        <v>198</v>
      </c>
      <c r="G411" s="38">
        <f>G412+G417</f>
        <v>0</v>
      </c>
      <c r="H411" s="38">
        <f>H412+H417</f>
        <v>0</v>
      </c>
      <c r="I411" s="38">
        <f>I412+I417</f>
        <v>0</v>
      </c>
    </row>
    <row r="412" spans="1:9" ht="47.25" hidden="1">
      <c r="A412" s="74" t="s">
        <v>106</v>
      </c>
      <c r="B412" s="47">
        <v>951</v>
      </c>
      <c r="C412" s="37" t="s">
        <v>187</v>
      </c>
      <c r="D412" s="37" t="s">
        <v>678</v>
      </c>
      <c r="E412" s="37" t="s">
        <v>5</v>
      </c>
      <c r="F412" s="37" t="s">
        <v>198</v>
      </c>
      <c r="G412" s="38">
        <f>G413+G415</f>
        <v>0</v>
      </c>
      <c r="H412" s="38">
        <f>H413+H415</f>
        <v>0</v>
      </c>
      <c r="I412" s="38">
        <f>I413+I415</f>
        <v>0</v>
      </c>
    </row>
    <row r="413" spans="1:9" ht="94.5" hidden="1" customHeight="1">
      <c r="A413" s="74" t="s">
        <v>605</v>
      </c>
      <c r="B413" s="47">
        <v>951</v>
      </c>
      <c r="C413" s="37" t="s">
        <v>187</v>
      </c>
      <c r="D413" s="37" t="s">
        <v>678</v>
      </c>
      <c r="E413" s="37" t="s">
        <v>5</v>
      </c>
      <c r="F413" s="37" t="s">
        <v>606</v>
      </c>
      <c r="G413" s="38">
        <f>G414</f>
        <v>0</v>
      </c>
      <c r="H413" s="38">
        <f>H414</f>
        <v>0</v>
      </c>
      <c r="I413" s="38">
        <f>I414</f>
        <v>0</v>
      </c>
    </row>
    <row r="414" spans="1:9" ht="47.25" hidden="1">
      <c r="A414" s="74" t="s">
        <v>607</v>
      </c>
      <c r="B414" s="47">
        <v>951</v>
      </c>
      <c r="C414" s="37" t="s">
        <v>187</v>
      </c>
      <c r="D414" s="37" t="s">
        <v>678</v>
      </c>
      <c r="E414" s="37" t="s">
        <v>5</v>
      </c>
      <c r="F414" s="37" t="s">
        <v>608</v>
      </c>
      <c r="G414" s="50">
        <v>0</v>
      </c>
      <c r="H414" s="50">
        <v>0</v>
      </c>
      <c r="I414" s="50">
        <v>0</v>
      </c>
    </row>
    <row r="415" spans="1:9" ht="31.5" hidden="1">
      <c r="A415" s="74" t="s">
        <v>611</v>
      </c>
      <c r="B415" s="47">
        <v>951</v>
      </c>
      <c r="C415" s="37" t="s">
        <v>187</v>
      </c>
      <c r="D415" s="37" t="s">
        <v>678</v>
      </c>
      <c r="E415" s="37" t="s">
        <v>5</v>
      </c>
      <c r="F415" s="37" t="s">
        <v>612</v>
      </c>
      <c r="G415" s="38">
        <f>G416</f>
        <v>0</v>
      </c>
      <c r="H415" s="38">
        <f>H416</f>
        <v>0</v>
      </c>
      <c r="I415" s="38">
        <f>I416</f>
        <v>0</v>
      </c>
    </row>
    <row r="416" spans="1:9" ht="47.25" hidden="1">
      <c r="A416" s="74" t="s">
        <v>613</v>
      </c>
      <c r="B416" s="47">
        <v>951</v>
      </c>
      <c r="C416" s="37" t="s">
        <v>187</v>
      </c>
      <c r="D416" s="37" t="s">
        <v>678</v>
      </c>
      <c r="E416" s="37" t="s">
        <v>5</v>
      </c>
      <c r="F416" s="37" t="s">
        <v>614</v>
      </c>
      <c r="G416" s="50">
        <v>0</v>
      </c>
      <c r="H416" s="50">
        <v>0</v>
      </c>
      <c r="I416" s="50">
        <v>0</v>
      </c>
    </row>
    <row r="417" spans="1:12" ht="78.75" hidden="1" customHeight="1">
      <c r="A417" s="75" t="s">
        <v>773</v>
      </c>
      <c r="B417" s="201">
        <v>951</v>
      </c>
      <c r="C417" s="2" t="s">
        <v>187</v>
      </c>
      <c r="D417" s="2" t="s">
        <v>678</v>
      </c>
      <c r="E417" s="2" t="s">
        <v>350</v>
      </c>
      <c r="F417" s="2" t="s">
        <v>198</v>
      </c>
      <c r="G417" s="39">
        <f>G418+G420</f>
        <v>0</v>
      </c>
      <c r="H417" s="39">
        <f>H418+H420</f>
        <v>0</v>
      </c>
      <c r="I417" s="39">
        <f>I418+I420</f>
        <v>0</v>
      </c>
    </row>
    <row r="418" spans="1:12" ht="94.5" hidden="1" customHeight="1">
      <c r="A418" s="74" t="s">
        <v>605</v>
      </c>
      <c r="B418" s="47">
        <v>951</v>
      </c>
      <c r="C418" s="37" t="s">
        <v>187</v>
      </c>
      <c r="D418" s="37" t="s">
        <v>678</v>
      </c>
      <c r="E418" s="37" t="s">
        <v>350</v>
      </c>
      <c r="F418" s="37" t="s">
        <v>606</v>
      </c>
      <c r="G418" s="38">
        <f>G419</f>
        <v>0</v>
      </c>
      <c r="H418" s="38">
        <f>H419</f>
        <v>0</v>
      </c>
      <c r="I418" s="38">
        <f>I419</f>
        <v>0</v>
      </c>
    </row>
    <row r="419" spans="1:12" ht="47.25" hidden="1">
      <c r="A419" s="74" t="s">
        <v>607</v>
      </c>
      <c r="B419" s="47">
        <v>951</v>
      </c>
      <c r="C419" s="37" t="s">
        <v>187</v>
      </c>
      <c r="D419" s="37" t="s">
        <v>678</v>
      </c>
      <c r="E419" s="37" t="s">
        <v>350</v>
      </c>
      <c r="F419" s="37" t="s">
        <v>608</v>
      </c>
      <c r="G419" s="38">
        <f>'3'!F692</f>
        <v>0</v>
      </c>
      <c r="H419" s="38">
        <f>'3'!G692</f>
        <v>0</v>
      </c>
      <c r="I419" s="38">
        <f>'3'!H692</f>
        <v>0</v>
      </c>
    </row>
    <row r="420" spans="1:12" ht="31.5" hidden="1">
      <c r="A420" s="74" t="s">
        <v>611</v>
      </c>
      <c r="B420" s="47">
        <v>951</v>
      </c>
      <c r="C420" s="37" t="s">
        <v>187</v>
      </c>
      <c r="D420" s="37" t="s">
        <v>678</v>
      </c>
      <c r="E420" s="37" t="s">
        <v>350</v>
      </c>
      <c r="F420" s="37" t="s">
        <v>612</v>
      </c>
      <c r="G420" s="38">
        <f>G421</f>
        <v>0</v>
      </c>
      <c r="H420" s="38">
        <f>H421</f>
        <v>0</v>
      </c>
      <c r="I420" s="38">
        <f>I421</f>
        <v>0</v>
      </c>
    </row>
    <row r="421" spans="1:12" ht="47.25" hidden="1">
      <c r="A421" s="74" t="s">
        <v>613</v>
      </c>
      <c r="B421" s="47">
        <v>951</v>
      </c>
      <c r="C421" s="37" t="s">
        <v>187</v>
      </c>
      <c r="D421" s="37" t="s">
        <v>678</v>
      </c>
      <c r="E421" s="37" t="s">
        <v>350</v>
      </c>
      <c r="F421" s="37" t="s">
        <v>614</v>
      </c>
      <c r="G421" s="38">
        <f>'3'!F694</f>
        <v>0</v>
      </c>
      <c r="H421" s="38">
        <f>'3'!G694</f>
        <v>0</v>
      </c>
      <c r="I421" s="38">
        <f>'3'!H694</f>
        <v>0</v>
      </c>
    </row>
    <row r="422" spans="1:12">
      <c r="A422" s="73" t="s">
        <v>774</v>
      </c>
      <c r="B422" s="191">
        <v>951</v>
      </c>
      <c r="C422" s="34" t="s">
        <v>689</v>
      </c>
      <c r="D422" s="34" t="s">
        <v>103</v>
      </c>
      <c r="E422" s="34" t="s">
        <v>601</v>
      </c>
      <c r="F422" s="34" t="s">
        <v>198</v>
      </c>
      <c r="G422" s="35">
        <f>G423+G486</f>
        <v>26435.743689999999</v>
      </c>
      <c r="H422" s="35">
        <f t="shared" ref="H422:I422" si="110">H423+H486</f>
        <v>27859.702020000001</v>
      </c>
      <c r="I422" s="35">
        <f t="shared" si="110"/>
        <v>31161.702020000001</v>
      </c>
      <c r="J422" s="90"/>
      <c r="K422" s="90"/>
      <c r="L422" s="90"/>
    </row>
    <row r="423" spans="1:12" ht="17.649999999999999" customHeight="1">
      <c r="A423" s="194" t="s">
        <v>775</v>
      </c>
      <c r="B423" s="195">
        <v>951</v>
      </c>
      <c r="C423" s="196" t="s">
        <v>689</v>
      </c>
      <c r="D423" s="196" t="s">
        <v>102</v>
      </c>
      <c r="E423" s="196" t="s">
        <v>601</v>
      </c>
      <c r="F423" s="196" t="s">
        <v>198</v>
      </c>
      <c r="G423" s="197">
        <f>G426+G432+G435+G467+G475+G478+G481+G429</f>
        <v>25270.043689999999</v>
      </c>
      <c r="H423" s="197">
        <f t="shared" ref="H423:I423" si="111">H426+H432+H435+H467+H475+H478+H481</f>
        <v>24890.702020000001</v>
      </c>
      <c r="I423" s="197">
        <f t="shared" si="111"/>
        <v>28202.702020000001</v>
      </c>
    </row>
    <row r="424" spans="1:12" ht="52.5" customHeight="1">
      <c r="A424" s="76" t="s">
        <v>509</v>
      </c>
      <c r="B424" s="61">
        <v>951</v>
      </c>
      <c r="C424" s="53" t="s">
        <v>689</v>
      </c>
      <c r="D424" s="53" t="s">
        <v>102</v>
      </c>
      <c r="E424" s="53" t="s">
        <v>853</v>
      </c>
      <c r="F424" s="53" t="s">
        <v>198</v>
      </c>
      <c r="G424" s="41">
        <f>G425+G431+G434</f>
        <v>16002.34167</v>
      </c>
      <c r="H424" s="41">
        <f t="shared" ref="H424:I424" si="112">H425+H431+H434</f>
        <v>14568</v>
      </c>
      <c r="I424" s="41">
        <f t="shared" si="112"/>
        <v>15518</v>
      </c>
      <c r="J424" s="90"/>
    </row>
    <row r="425" spans="1:12" ht="71.25" customHeight="1">
      <c r="A425" s="86" t="s">
        <v>266</v>
      </c>
      <c r="B425" s="58">
        <v>951</v>
      </c>
      <c r="C425" s="43" t="s">
        <v>689</v>
      </c>
      <c r="D425" s="43" t="s">
        <v>102</v>
      </c>
      <c r="E425" s="43" t="s">
        <v>55</v>
      </c>
      <c r="F425" s="43" t="s">
        <v>198</v>
      </c>
      <c r="G425" s="348">
        <f>G426+G428</f>
        <v>13980.956</v>
      </c>
      <c r="H425" s="348">
        <f>H426+H428</f>
        <v>14568</v>
      </c>
      <c r="I425" s="348">
        <f>I426+I428</f>
        <v>15518</v>
      </c>
      <c r="J425" s="90"/>
    </row>
    <row r="426" spans="1:12" ht="51" customHeight="1">
      <c r="A426" s="77" t="s">
        <v>649</v>
      </c>
      <c r="B426" s="58">
        <v>951</v>
      </c>
      <c r="C426" s="43" t="s">
        <v>689</v>
      </c>
      <c r="D426" s="43" t="s">
        <v>102</v>
      </c>
      <c r="E426" s="43" t="s">
        <v>56</v>
      </c>
      <c r="F426" s="43" t="s">
        <v>648</v>
      </c>
      <c r="G426" s="348">
        <f>G427</f>
        <v>13510.4</v>
      </c>
      <c r="H426" s="348">
        <f>H427</f>
        <v>14568</v>
      </c>
      <c r="I426" s="348">
        <f>I427</f>
        <v>15518</v>
      </c>
      <c r="J426" s="90"/>
    </row>
    <row r="427" spans="1:12">
      <c r="A427" s="77" t="s">
        <v>117</v>
      </c>
      <c r="B427" s="58">
        <v>951</v>
      </c>
      <c r="C427" s="43" t="s">
        <v>689</v>
      </c>
      <c r="D427" s="43" t="s">
        <v>102</v>
      </c>
      <c r="E427" s="43" t="s">
        <v>57</v>
      </c>
      <c r="F427" s="43" t="s">
        <v>156</v>
      </c>
      <c r="G427" s="348">
        <f>'5'!D156</f>
        <v>13510.4</v>
      </c>
      <c r="H427" s="348">
        <f>'5'!E156</f>
        <v>14568</v>
      </c>
      <c r="I427" s="348">
        <f>'5'!F156</f>
        <v>15518</v>
      </c>
    </row>
    <row r="428" spans="1:12" ht="134.25" customHeight="1">
      <c r="A428" s="77" t="s">
        <v>777</v>
      </c>
      <c r="B428" s="58">
        <v>951</v>
      </c>
      <c r="C428" s="43" t="s">
        <v>689</v>
      </c>
      <c r="D428" s="43" t="s">
        <v>102</v>
      </c>
      <c r="E428" s="43" t="s">
        <v>73</v>
      </c>
      <c r="F428" s="43" t="s">
        <v>648</v>
      </c>
      <c r="G428" s="348">
        <f>G429</f>
        <v>470.55599999999998</v>
      </c>
      <c r="H428" s="348">
        <f>H429</f>
        <v>0</v>
      </c>
      <c r="I428" s="348">
        <f>I429</f>
        <v>0</v>
      </c>
    </row>
    <row r="429" spans="1:12" ht="16.5" customHeight="1">
      <c r="A429" s="77" t="s">
        <v>117</v>
      </c>
      <c r="B429" s="58">
        <v>951</v>
      </c>
      <c r="C429" s="43" t="s">
        <v>689</v>
      </c>
      <c r="D429" s="43" t="s">
        <v>102</v>
      </c>
      <c r="E429" s="43" t="s">
        <v>73</v>
      </c>
      <c r="F429" s="43" t="s">
        <v>156</v>
      </c>
      <c r="G429" s="348">
        <f>'5'!D157</f>
        <v>470.55599999999998</v>
      </c>
      <c r="H429" s="348">
        <f>'5'!E157</f>
        <v>0</v>
      </c>
      <c r="I429" s="348">
        <f>'5'!F157</f>
        <v>0</v>
      </c>
    </row>
    <row r="430" spans="1:12" ht="87.75" customHeight="1">
      <c r="A430" s="81" t="s">
        <v>299</v>
      </c>
      <c r="B430" s="58">
        <v>951</v>
      </c>
      <c r="C430" s="43" t="s">
        <v>689</v>
      </c>
      <c r="D430" s="43" t="s">
        <v>102</v>
      </c>
      <c r="E430" s="59" t="s">
        <v>55</v>
      </c>
      <c r="F430" s="59" t="s">
        <v>198</v>
      </c>
      <c r="G430" s="96">
        <f>G431+G434+G464</f>
        <v>2021.3856700000001</v>
      </c>
      <c r="H430" s="96">
        <f>H431+H434+H464</f>
        <v>0</v>
      </c>
      <c r="I430" s="96">
        <f>I431+I434+I464</f>
        <v>0</v>
      </c>
    </row>
    <row r="431" spans="1:12" ht="99.75" customHeight="1">
      <c r="A431" s="76" t="s">
        <v>300</v>
      </c>
      <c r="B431" s="58">
        <v>951</v>
      </c>
      <c r="C431" s="43" t="s">
        <v>689</v>
      </c>
      <c r="D431" s="43" t="s">
        <v>102</v>
      </c>
      <c r="E431" s="53" t="s">
        <v>1097</v>
      </c>
      <c r="F431" s="53" t="s">
        <v>198</v>
      </c>
      <c r="G431" s="41">
        <f t="shared" ref="G431:I432" si="113">G432</f>
        <v>2001.1718100000001</v>
      </c>
      <c r="H431" s="41">
        <f t="shared" si="113"/>
        <v>0</v>
      </c>
      <c r="I431" s="41">
        <f t="shared" si="113"/>
        <v>0</v>
      </c>
    </row>
    <row r="432" spans="1:12" ht="52.5" customHeight="1">
      <c r="A432" s="77" t="s">
        <v>649</v>
      </c>
      <c r="B432" s="58">
        <v>951</v>
      </c>
      <c r="C432" s="43" t="s">
        <v>689</v>
      </c>
      <c r="D432" s="43" t="s">
        <v>102</v>
      </c>
      <c r="E432" s="43" t="s">
        <v>1097</v>
      </c>
      <c r="F432" s="43" t="s">
        <v>648</v>
      </c>
      <c r="G432" s="348">
        <f t="shared" si="113"/>
        <v>2001.1718100000001</v>
      </c>
      <c r="H432" s="348">
        <f t="shared" si="113"/>
        <v>0</v>
      </c>
      <c r="I432" s="348">
        <f t="shared" si="113"/>
        <v>0</v>
      </c>
    </row>
    <row r="433" spans="1:9" ht="22.5" customHeight="1">
      <c r="A433" s="77" t="s">
        <v>117</v>
      </c>
      <c r="B433" s="58">
        <v>951</v>
      </c>
      <c r="C433" s="43" t="s">
        <v>689</v>
      </c>
      <c r="D433" s="43" t="s">
        <v>102</v>
      </c>
      <c r="E433" s="43" t="s">
        <v>1097</v>
      </c>
      <c r="F433" s="43" t="s">
        <v>156</v>
      </c>
      <c r="G433" s="348">
        <f>'3'!F713</f>
        <v>2001.1718100000001</v>
      </c>
      <c r="H433" s="348">
        <f>'3'!G713</f>
        <v>0</v>
      </c>
      <c r="I433" s="348">
        <f>'3'!H713</f>
        <v>0</v>
      </c>
    </row>
    <row r="434" spans="1:9" ht="133.5" customHeight="1">
      <c r="A434" s="76" t="s">
        <v>1043</v>
      </c>
      <c r="B434" s="58">
        <v>951</v>
      </c>
      <c r="C434" s="43" t="s">
        <v>689</v>
      </c>
      <c r="D434" s="43" t="s">
        <v>102</v>
      </c>
      <c r="E434" s="53" t="s">
        <v>1097</v>
      </c>
      <c r="F434" s="53" t="s">
        <v>198</v>
      </c>
      <c r="G434" s="41">
        <f t="shared" ref="G434:I435" si="114">G435</f>
        <v>20.21386</v>
      </c>
      <c r="H434" s="41">
        <f t="shared" si="114"/>
        <v>0</v>
      </c>
      <c r="I434" s="41">
        <f t="shared" si="114"/>
        <v>0</v>
      </c>
    </row>
    <row r="435" spans="1:9" ht="51" customHeight="1">
      <c r="A435" s="77" t="s">
        <v>649</v>
      </c>
      <c r="B435" s="58">
        <v>951</v>
      </c>
      <c r="C435" s="43" t="s">
        <v>689</v>
      </c>
      <c r="D435" s="43" t="s">
        <v>102</v>
      </c>
      <c r="E435" s="43" t="s">
        <v>1097</v>
      </c>
      <c r="F435" s="43" t="s">
        <v>648</v>
      </c>
      <c r="G435" s="348">
        <f t="shared" si="114"/>
        <v>20.21386</v>
      </c>
      <c r="H435" s="348">
        <f t="shared" si="114"/>
        <v>0</v>
      </c>
      <c r="I435" s="348">
        <f t="shared" si="114"/>
        <v>0</v>
      </c>
    </row>
    <row r="436" spans="1:9" ht="18.75" customHeight="1">
      <c r="A436" s="77" t="s">
        <v>117</v>
      </c>
      <c r="B436" s="58">
        <v>951</v>
      </c>
      <c r="C436" s="43" t="s">
        <v>689</v>
      </c>
      <c r="D436" s="43" t="s">
        <v>102</v>
      </c>
      <c r="E436" s="43" t="s">
        <v>1097</v>
      </c>
      <c r="F436" s="43" t="s">
        <v>156</v>
      </c>
      <c r="G436" s="348">
        <f>'3'!F716</f>
        <v>20.21386</v>
      </c>
      <c r="H436" s="348">
        <f>'3'!G716</f>
        <v>0</v>
      </c>
      <c r="I436" s="348">
        <f>'3'!H716</f>
        <v>0</v>
      </c>
    </row>
    <row r="437" spans="1:9" ht="47.25" hidden="1" customHeight="1">
      <c r="A437" s="81" t="s">
        <v>490</v>
      </c>
      <c r="B437" s="60">
        <v>951</v>
      </c>
      <c r="C437" s="59" t="s">
        <v>689</v>
      </c>
      <c r="D437" s="59" t="s">
        <v>102</v>
      </c>
      <c r="E437" s="59" t="s">
        <v>55</v>
      </c>
      <c r="F437" s="59" t="s">
        <v>198</v>
      </c>
      <c r="G437" s="96">
        <f>G441+G438</f>
        <v>0</v>
      </c>
      <c r="H437" s="96">
        <f>H441+H438</f>
        <v>0</v>
      </c>
      <c r="I437" s="96">
        <f>I441+I438</f>
        <v>0</v>
      </c>
    </row>
    <row r="438" spans="1:9" ht="94.5" hidden="1" customHeight="1">
      <c r="A438" s="77" t="s">
        <v>491</v>
      </c>
      <c r="B438" s="58">
        <v>951</v>
      </c>
      <c r="C438" s="43" t="s">
        <v>689</v>
      </c>
      <c r="D438" s="43" t="s">
        <v>102</v>
      </c>
      <c r="E438" s="43" t="s">
        <v>492</v>
      </c>
      <c r="F438" s="43" t="s">
        <v>198</v>
      </c>
      <c r="G438" s="348">
        <f t="shared" ref="G438:I439" si="115">G439</f>
        <v>0</v>
      </c>
      <c r="H438" s="348">
        <f t="shared" si="115"/>
        <v>0</v>
      </c>
      <c r="I438" s="348">
        <f t="shared" si="115"/>
        <v>0</v>
      </c>
    </row>
    <row r="439" spans="1:9" ht="47.25" hidden="1" customHeight="1">
      <c r="A439" s="77" t="s">
        <v>649</v>
      </c>
      <c r="B439" s="58">
        <v>951</v>
      </c>
      <c r="C439" s="43" t="s">
        <v>689</v>
      </c>
      <c r="D439" s="43" t="s">
        <v>102</v>
      </c>
      <c r="E439" s="43" t="s">
        <v>492</v>
      </c>
      <c r="F439" s="43" t="s">
        <v>648</v>
      </c>
      <c r="G439" s="348">
        <f t="shared" si="115"/>
        <v>0</v>
      </c>
      <c r="H439" s="348">
        <f t="shared" si="115"/>
        <v>0</v>
      </c>
      <c r="I439" s="348">
        <f t="shared" si="115"/>
        <v>0</v>
      </c>
    </row>
    <row r="440" spans="1:9" ht="15.75" hidden="1" customHeight="1">
      <c r="A440" s="77" t="s">
        <v>117</v>
      </c>
      <c r="B440" s="58">
        <v>951</v>
      </c>
      <c r="C440" s="43" t="s">
        <v>689</v>
      </c>
      <c r="D440" s="43" t="s">
        <v>102</v>
      </c>
      <c r="E440" s="43" t="s">
        <v>492</v>
      </c>
      <c r="F440" s="43" t="s">
        <v>156</v>
      </c>
      <c r="G440" s="348">
        <v>0</v>
      </c>
      <c r="H440" s="348">
        <v>0</v>
      </c>
      <c r="I440" s="348">
        <v>0</v>
      </c>
    </row>
    <row r="441" spans="1:9" ht="94.5" hidden="1" customHeight="1">
      <c r="A441" s="77" t="s">
        <v>493</v>
      </c>
      <c r="B441" s="58">
        <v>951</v>
      </c>
      <c r="C441" s="43" t="s">
        <v>689</v>
      </c>
      <c r="D441" s="43" t="s">
        <v>102</v>
      </c>
      <c r="E441" s="43" t="s">
        <v>494</v>
      </c>
      <c r="F441" s="43" t="s">
        <v>198</v>
      </c>
      <c r="G441" s="348">
        <f t="shared" ref="G441:I442" si="116">G442</f>
        <v>0</v>
      </c>
      <c r="H441" s="348">
        <f t="shared" si="116"/>
        <v>0</v>
      </c>
      <c r="I441" s="348">
        <f t="shared" si="116"/>
        <v>0</v>
      </c>
    </row>
    <row r="442" spans="1:9" ht="47.25" hidden="1" customHeight="1">
      <c r="A442" s="77" t="s">
        <v>649</v>
      </c>
      <c r="B442" s="58">
        <v>951</v>
      </c>
      <c r="C442" s="43" t="s">
        <v>689</v>
      </c>
      <c r="D442" s="43" t="s">
        <v>102</v>
      </c>
      <c r="E442" s="43" t="s">
        <v>494</v>
      </c>
      <c r="F442" s="43" t="s">
        <v>648</v>
      </c>
      <c r="G442" s="348">
        <f t="shared" si="116"/>
        <v>0</v>
      </c>
      <c r="H442" s="348">
        <f t="shared" si="116"/>
        <v>0</v>
      </c>
      <c r="I442" s="348">
        <f t="shared" si="116"/>
        <v>0</v>
      </c>
    </row>
    <row r="443" spans="1:9" ht="15.75" hidden="1" customHeight="1">
      <c r="A443" s="77" t="s">
        <v>117</v>
      </c>
      <c r="B443" s="58">
        <v>951</v>
      </c>
      <c r="C443" s="43" t="s">
        <v>689</v>
      </c>
      <c r="D443" s="43" t="s">
        <v>102</v>
      </c>
      <c r="E443" s="43" t="s">
        <v>494</v>
      </c>
      <c r="F443" s="43" t="s">
        <v>156</v>
      </c>
      <c r="G443" s="348"/>
      <c r="H443" s="348"/>
      <c r="I443" s="348"/>
    </row>
    <row r="444" spans="1:9" ht="63" hidden="1" customHeight="1">
      <c r="A444" s="153" t="s">
        <v>495</v>
      </c>
      <c r="B444" s="58" t="s">
        <v>111</v>
      </c>
      <c r="C444" s="150" t="s">
        <v>689</v>
      </c>
      <c r="D444" s="150" t="s">
        <v>102</v>
      </c>
      <c r="E444" s="150" t="s">
        <v>783</v>
      </c>
      <c r="F444" s="150" t="s">
        <v>198</v>
      </c>
      <c r="G444" s="54">
        <f>G448+G445</f>
        <v>0</v>
      </c>
      <c r="H444" s="54">
        <f>H448+H445</f>
        <v>0</v>
      </c>
      <c r="I444" s="54">
        <f>I448+I445</f>
        <v>0</v>
      </c>
    </row>
    <row r="445" spans="1:9" ht="94.5" hidden="1" customHeight="1">
      <c r="A445" s="77" t="s">
        <v>496</v>
      </c>
      <c r="B445" s="58" t="s">
        <v>111</v>
      </c>
      <c r="C445" s="43" t="s">
        <v>689</v>
      </c>
      <c r="D445" s="43" t="s">
        <v>102</v>
      </c>
      <c r="E445" s="43" t="s">
        <v>497</v>
      </c>
      <c r="F445" s="43" t="s">
        <v>198</v>
      </c>
      <c r="G445" s="348">
        <f t="shared" ref="G445:I446" si="117">G446</f>
        <v>0</v>
      </c>
      <c r="H445" s="348">
        <f t="shared" si="117"/>
        <v>0</v>
      </c>
      <c r="I445" s="348">
        <f t="shared" si="117"/>
        <v>0</v>
      </c>
    </row>
    <row r="446" spans="1:9" ht="47.25" hidden="1" customHeight="1">
      <c r="A446" s="77" t="s">
        <v>649</v>
      </c>
      <c r="B446" s="58" t="s">
        <v>111</v>
      </c>
      <c r="C446" s="43" t="s">
        <v>689</v>
      </c>
      <c r="D446" s="43" t="s">
        <v>102</v>
      </c>
      <c r="E446" s="43" t="s">
        <v>497</v>
      </c>
      <c r="F446" s="43" t="s">
        <v>648</v>
      </c>
      <c r="G446" s="348">
        <f t="shared" si="117"/>
        <v>0</v>
      </c>
      <c r="H446" s="348">
        <f t="shared" si="117"/>
        <v>0</v>
      </c>
      <c r="I446" s="348">
        <f t="shared" si="117"/>
        <v>0</v>
      </c>
    </row>
    <row r="447" spans="1:9" ht="15.75" hidden="1" customHeight="1">
      <c r="A447" s="77" t="s">
        <v>117</v>
      </c>
      <c r="B447" s="58" t="s">
        <v>111</v>
      </c>
      <c r="C447" s="43" t="s">
        <v>689</v>
      </c>
      <c r="D447" s="43" t="s">
        <v>102</v>
      </c>
      <c r="E447" s="43" t="s">
        <v>497</v>
      </c>
      <c r="F447" s="43" t="s">
        <v>156</v>
      </c>
      <c r="G447" s="348">
        <f>'5'!D169</f>
        <v>0</v>
      </c>
      <c r="H447" s="348">
        <f>'5'!E169</f>
        <v>0</v>
      </c>
      <c r="I447" s="348">
        <f>'5'!F169</f>
        <v>0</v>
      </c>
    </row>
    <row r="448" spans="1:9" ht="110.25" hidden="1" customHeight="1">
      <c r="A448" s="77" t="s">
        <v>498</v>
      </c>
      <c r="B448" s="58" t="s">
        <v>111</v>
      </c>
      <c r="C448" s="43" t="s">
        <v>689</v>
      </c>
      <c r="D448" s="43" t="s">
        <v>102</v>
      </c>
      <c r="E448" s="43" t="s">
        <v>497</v>
      </c>
      <c r="F448" s="43" t="s">
        <v>198</v>
      </c>
      <c r="G448" s="348">
        <f>G449</f>
        <v>0</v>
      </c>
      <c r="H448" s="348">
        <f t="shared" ref="G448:I449" si="118">H449</f>
        <v>0</v>
      </c>
      <c r="I448" s="348">
        <f t="shared" si="118"/>
        <v>0</v>
      </c>
    </row>
    <row r="449" spans="1:9" ht="47.25" hidden="1" customHeight="1">
      <c r="A449" s="77" t="s">
        <v>649</v>
      </c>
      <c r="B449" s="58" t="s">
        <v>111</v>
      </c>
      <c r="C449" s="43" t="s">
        <v>689</v>
      </c>
      <c r="D449" s="43" t="s">
        <v>102</v>
      </c>
      <c r="E449" s="43" t="s">
        <v>497</v>
      </c>
      <c r="F449" s="43" t="s">
        <v>648</v>
      </c>
      <c r="G449" s="348">
        <f t="shared" si="118"/>
        <v>0</v>
      </c>
      <c r="H449" s="348">
        <f t="shared" si="118"/>
        <v>0</v>
      </c>
      <c r="I449" s="348">
        <f t="shared" si="118"/>
        <v>0</v>
      </c>
    </row>
    <row r="450" spans="1:9" ht="15.75" hidden="1" customHeight="1">
      <c r="A450" s="77" t="s">
        <v>117</v>
      </c>
      <c r="B450" s="58" t="s">
        <v>111</v>
      </c>
      <c r="C450" s="43" t="s">
        <v>689</v>
      </c>
      <c r="D450" s="43" t="s">
        <v>102</v>
      </c>
      <c r="E450" s="43" t="s">
        <v>497</v>
      </c>
      <c r="F450" s="43" t="s">
        <v>156</v>
      </c>
      <c r="G450" s="348">
        <f>'5'!D170</f>
        <v>0</v>
      </c>
      <c r="H450" s="348">
        <f>'5'!E170</f>
        <v>0</v>
      </c>
      <c r="I450" s="348">
        <f>'5'!F170</f>
        <v>0</v>
      </c>
    </row>
    <row r="451" spans="1:9" ht="78.75" hidden="1" customHeight="1">
      <c r="A451" s="81" t="s">
        <v>560</v>
      </c>
      <c r="B451" s="58" t="s">
        <v>111</v>
      </c>
      <c r="C451" s="150" t="s">
        <v>689</v>
      </c>
      <c r="D451" s="150" t="s">
        <v>102</v>
      </c>
      <c r="E451" s="150" t="s">
        <v>783</v>
      </c>
      <c r="F451" s="150" t="s">
        <v>198</v>
      </c>
      <c r="G451" s="54">
        <f>G455+G452</f>
        <v>0</v>
      </c>
      <c r="H451" s="54">
        <f>H455+H452</f>
        <v>0</v>
      </c>
      <c r="I451" s="54">
        <f>I455+I452</f>
        <v>0</v>
      </c>
    </row>
    <row r="452" spans="1:9" ht="94.5" hidden="1" customHeight="1">
      <c r="A452" s="77" t="s">
        <v>784</v>
      </c>
      <c r="B452" s="58" t="s">
        <v>111</v>
      </c>
      <c r="C452" s="43" t="s">
        <v>689</v>
      </c>
      <c r="D452" s="43" t="s">
        <v>102</v>
      </c>
      <c r="E452" s="43" t="s">
        <v>562</v>
      </c>
      <c r="F452" s="43" t="s">
        <v>198</v>
      </c>
      <c r="G452" s="348">
        <f t="shared" ref="G452:I453" si="119">G453</f>
        <v>0</v>
      </c>
      <c r="H452" s="348">
        <f t="shared" si="119"/>
        <v>0</v>
      </c>
      <c r="I452" s="348">
        <f t="shared" si="119"/>
        <v>0</v>
      </c>
    </row>
    <row r="453" spans="1:9" ht="47.25" hidden="1" customHeight="1">
      <c r="A453" s="77" t="s">
        <v>649</v>
      </c>
      <c r="B453" s="58" t="s">
        <v>111</v>
      </c>
      <c r="C453" s="43" t="s">
        <v>689</v>
      </c>
      <c r="D453" s="43" t="s">
        <v>102</v>
      </c>
      <c r="E453" s="43" t="s">
        <v>562</v>
      </c>
      <c r="F453" s="43" t="s">
        <v>648</v>
      </c>
      <c r="G453" s="348">
        <f t="shared" si="119"/>
        <v>0</v>
      </c>
      <c r="H453" s="348">
        <f t="shared" si="119"/>
        <v>0</v>
      </c>
      <c r="I453" s="348">
        <f t="shared" si="119"/>
        <v>0</v>
      </c>
    </row>
    <row r="454" spans="1:9" ht="15.75" hidden="1" customHeight="1">
      <c r="A454" s="77" t="s">
        <v>117</v>
      </c>
      <c r="B454" s="58" t="s">
        <v>111</v>
      </c>
      <c r="C454" s="43" t="s">
        <v>689</v>
      </c>
      <c r="D454" s="43" t="s">
        <v>102</v>
      </c>
      <c r="E454" s="43" t="s">
        <v>562</v>
      </c>
      <c r="F454" s="43" t="s">
        <v>156</v>
      </c>
      <c r="G454" s="348">
        <f>'5'!D172</f>
        <v>0</v>
      </c>
      <c r="H454" s="348">
        <f>'5'!E172</f>
        <v>0</v>
      </c>
      <c r="I454" s="348">
        <f>'5'!F172</f>
        <v>0</v>
      </c>
    </row>
    <row r="455" spans="1:9" ht="126" hidden="1" customHeight="1">
      <c r="A455" s="77" t="s">
        <v>785</v>
      </c>
      <c r="B455" s="58" t="s">
        <v>111</v>
      </c>
      <c r="C455" s="43" t="s">
        <v>689</v>
      </c>
      <c r="D455" s="43" t="s">
        <v>102</v>
      </c>
      <c r="E455" s="43" t="s">
        <v>562</v>
      </c>
      <c r="F455" s="43" t="s">
        <v>198</v>
      </c>
      <c r="G455" s="348">
        <f t="shared" ref="G455:I456" si="120">G456</f>
        <v>0</v>
      </c>
      <c r="H455" s="348">
        <f t="shared" si="120"/>
        <v>0</v>
      </c>
      <c r="I455" s="348">
        <f t="shared" si="120"/>
        <v>0</v>
      </c>
    </row>
    <row r="456" spans="1:9" ht="47.25" hidden="1" customHeight="1">
      <c r="A456" s="77" t="s">
        <v>649</v>
      </c>
      <c r="B456" s="58" t="s">
        <v>111</v>
      </c>
      <c r="C456" s="43" t="s">
        <v>689</v>
      </c>
      <c r="D456" s="43" t="s">
        <v>102</v>
      </c>
      <c r="E456" s="43" t="s">
        <v>562</v>
      </c>
      <c r="F456" s="43" t="s">
        <v>648</v>
      </c>
      <c r="G456" s="348">
        <f t="shared" si="120"/>
        <v>0</v>
      </c>
      <c r="H456" s="348">
        <f t="shared" si="120"/>
        <v>0</v>
      </c>
      <c r="I456" s="348">
        <f t="shared" si="120"/>
        <v>0</v>
      </c>
    </row>
    <row r="457" spans="1:9" ht="15.75" hidden="1" customHeight="1">
      <c r="A457" s="77" t="s">
        <v>117</v>
      </c>
      <c r="B457" s="58" t="s">
        <v>111</v>
      </c>
      <c r="C457" s="43" t="s">
        <v>689</v>
      </c>
      <c r="D457" s="43" t="s">
        <v>102</v>
      </c>
      <c r="E457" s="43" t="s">
        <v>562</v>
      </c>
      <c r="F457" s="43" t="s">
        <v>156</v>
      </c>
      <c r="G457" s="348">
        <f>'5'!D173</f>
        <v>0</v>
      </c>
      <c r="H457" s="348">
        <f>'5'!E173</f>
        <v>0</v>
      </c>
      <c r="I457" s="348">
        <f>'5'!F173</f>
        <v>0</v>
      </c>
    </row>
    <row r="458" spans="1:9" ht="63" hidden="1" customHeight="1">
      <c r="A458" s="81" t="s">
        <v>780</v>
      </c>
      <c r="B458" s="60" t="s">
        <v>111</v>
      </c>
      <c r="C458" s="59" t="s">
        <v>689</v>
      </c>
      <c r="D458" s="59" t="s">
        <v>102</v>
      </c>
      <c r="E458" s="59" t="s">
        <v>55</v>
      </c>
      <c r="F458" s="59" t="s">
        <v>198</v>
      </c>
      <c r="G458" s="96">
        <f>G459+G461</f>
        <v>0</v>
      </c>
      <c r="H458" s="96">
        <f>H459+H461</f>
        <v>0</v>
      </c>
      <c r="I458" s="96">
        <f>I459+I461</f>
        <v>0</v>
      </c>
    </row>
    <row r="459" spans="1:9" ht="78.75" hidden="1" customHeight="1">
      <c r="A459" s="76" t="s">
        <v>781</v>
      </c>
      <c r="B459" s="61" t="s">
        <v>111</v>
      </c>
      <c r="C459" s="53" t="s">
        <v>689</v>
      </c>
      <c r="D459" s="53" t="s">
        <v>102</v>
      </c>
      <c r="E459" s="53" t="s">
        <v>426</v>
      </c>
      <c r="F459" s="53" t="s">
        <v>648</v>
      </c>
      <c r="G459" s="41">
        <f>G460</f>
        <v>0</v>
      </c>
      <c r="H459" s="41">
        <f>H460</f>
        <v>0</v>
      </c>
      <c r="I459" s="41">
        <f>I460</f>
        <v>0</v>
      </c>
    </row>
    <row r="460" spans="1:9" ht="15.75" hidden="1" customHeight="1">
      <c r="A460" s="77" t="s">
        <v>117</v>
      </c>
      <c r="B460" s="61" t="s">
        <v>111</v>
      </c>
      <c r="C460" s="53" t="s">
        <v>689</v>
      </c>
      <c r="D460" s="53" t="s">
        <v>102</v>
      </c>
      <c r="E460" s="53" t="s">
        <v>426</v>
      </c>
      <c r="F460" s="43" t="s">
        <v>156</v>
      </c>
      <c r="G460" s="348">
        <f>'5'!D163</f>
        <v>0</v>
      </c>
      <c r="H460" s="348">
        <f>'5'!E163</f>
        <v>0</v>
      </c>
      <c r="I460" s="348">
        <f>'5'!F163</f>
        <v>0</v>
      </c>
    </row>
    <row r="461" spans="1:9" ht="94.5" hidden="1" customHeight="1">
      <c r="A461" s="76" t="s">
        <v>425</v>
      </c>
      <c r="B461" s="61" t="s">
        <v>111</v>
      </c>
      <c r="C461" s="53" t="s">
        <v>689</v>
      </c>
      <c r="D461" s="53" t="s">
        <v>102</v>
      </c>
      <c r="E461" s="53" t="s">
        <v>427</v>
      </c>
      <c r="F461" s="53" t="s">
        <v>648</v>
      </c>
      <c r="G461" s="41">
        <f>G462</f>
        <v>0</v>
      </c>
      <c r="H461" s="41">
        <f>H462</f>
        <v>0</v>
      </c>
      <c r="I461" s="41">
        <f>I462</f>
        <v>0</v>
      </c>
    </row>
    <row r="462" spans="1:9" ht="15.75" hidden="1" customHeight="1">
      <c r="A462" s="77" t="s">
        <v>117</v>
      </c>
      <c r="B462" s="61" t="s">
        <v>111</v>
      </c>
      <c r="C462" s="53" t="s">
        <v>689</v>
      </c>
      <c r="D462" s="53" t="s">
        <v>102</v>
      </c>
      <c r="E462" s="53" t="s">
        <v>427</v>
      </c>
      <c r="F462" s="43" t="s">
        <v>156</v>
      </c>
      <c r="G462" s="348">
        <f>'5'!D164</f>
        <v>0</v>
      </c>
      <c r="H462" s="348">
        <f>'5'!E164</f>
        <v>0</v>
      </c>
      <c r="I462" s="348">
        <f>'5'!F164</f>
        <v>0</v>
      </c>
    </row>
    <row r="463" spans="1:9" ht="15.75" hidden="1" customHeight="1">
      <c r="A463" s="77"/>
      <c r="B463" s="58"/>
      <c r="C463" s="43"/>
      <c r="D463" s="43"/>
      <c r="E463" s="43"/>
      <c r="F463" s="43"/>
      <c r="G463" s="348"/>
      <c r="H463" s="348"/>
      <c r="I463" s="348"/>
    </row>
    <row r="464" spans="1:9" ht="126" hidden="1" customHeight="1">
      <c r="A464" s="77" t="s">
        <v>373</v>
      </c>
      <c r="B464" s="58">
        <v>951</v>
      </c>
      <c r="C464" s="43" t="s">
        <v>689</v>
      </c>
      <c r="D464" s="43" t="s">
        <v>102</v>
      </c>
      <c r="E464" s="43" t="s">
        <v>389</v>
      </c>
      <c r="F464" s="43" t="s">
        <v>198</v>
      </c>
      <c r="G464" s="348">
        <f>G465</f>
        <v>0</v>
      </c>
      <c r="H464" s="348">
        <f>H465</f>
        <v>0</v>
      </c>
      <c r="I464" s="348">
        <f>I465</f>
        <v>0</v>
      </c>
    </row>
    <row r="465" spans="1:9" ht="15.75" hidden="1" customHeight="1">
      <c r="A465" s="77" t="s">
        <v>117</v>
      </c>
      <c r="B465" s="58">
        <v>951</v>
      </c>
      <c r="C465" s="43" t="s">
        <v>689</v>
      </c>
      <c r="D465" s="43" t="s">
        <v>102</v>
      </c>
      <c r="E465" s="43" t="s">
        <v>389</v>
      </c>
      <c r="F465" s="43" t="s">
        <v>156</v>
      </c>
      <c r="G465" s="348"/>
      <c r="H465" s="348"/>
      <c r="I465" s="348"/>
    </row>
    <row r="466" spans="1:9" s="200" customFormat="1" ht="82.5" customHeight="1">
      <c r="A466" s="86" t="s">
        <v>267</v>
      </c>
      <c r="B466" s="60">
        <v>951</v>
      </c>
      <c r="C466" s="59" t="s">
        <v>689</v>
      </c>
      <c r="D466" s="59" t="s">
        <v>102</v>
      </c>
      <c r="E466" s="59" t="s">
        <v>58</v>
      </c>
      <c r="F466" s="59" t="s">
        <v>198</v>
      </c>
      <c r="G466" s="96">
        <f>G467</f>
        <v>6048</v>
      </c>
      <c r="H466" s="96">
        <f t="shared" ref="H466:I468" si="121">H467</f>
        <v>6658</v>
      </c>
      <c r="I466" s="96">
        <f t="shared" si="121"/>
        <v>7807</v>
      </c>
    </row>
    <row r="467" spans="1:9" ht="51" customHeight="1">
      <c r="A467" s="77" t="s">
        <v>649</v>
      </c>
      <c r="B467" s="58">
        <v>951</v>
      </c>
      <c r="C467" s="43" t="s">
        <v>689</v>
      </c>
      <c r="D467" s="43" t="s">
        <v>102</v>
      </c>
      <c r="E467" s="43" t="s">
        <v>58</v>
      </c>
      <c r="F467" s="43" t="s">
        <v>198</v>
      </c>
      <c r="G467" s="348">
        <f>G468</f>
        <v>6048</v>
      </c>
      <c r="H467" s="348">
        <f t="shared" si="121"/>
        <v>6658</v>
      </c>
      <c r="I467" s="348">
        <f t="shared" si="121"/>
        <v>7807</v>
      </c>
    </row>
    <row r="468" spans="1:9" ht="31.5">
      <c r="A468" s="77" t="s">
        <v>854</v>
      </c>
      <c r="B468" s="58">
        <v>951</v>
      </c>
      <c r="C468" s="43" t="s">
        <v>689</v>
      </c>
      <c r="D468" s="43" t="s">
        <v>102</v>
      </c>
      <c r="E468" s="43" t="s">
        <v>58</v>
      </c>
      <c r="F468" s="43" t="s">
        <v>648</v>
      </c>
      <c r="G468" s="348">
        <f>G469</f>
        <v>6048</v>
      </c>
      <c r="H468" s="348">
        <f t="shared" si="121"/>
        <v>6658</v>
      </c>
      <c r="I468" s="348">
        <f t="shared" si="121"/>
        <v>7807</v>
      </c>
    </row>
    <row r="469" spans="1:9" ht="16.5" customHeight="1">
      <c r="A469" s="77" t="s">
        <v>117</v>
      </c>
      <c r="B469" s="58">
        <v>951</v>
      </c>
      <c r="C469" s="43" t="s">
        <v>689</v>
      </c>
      <c r="D469" s="43" t="s">
        <v>102</v>
      </c>
      <c r="E469" s="43" t="s">
        <v>58</v>
      </c>
      <c r="F469" s="43" t="s">
        <v>156</v>
      </c>
      <c r="G469" s="348">
        <f>'5'!D175</f>
        <v>6048</v>
      </c>
      <c r="H469" s="348">
        <f>'5'!E175</f>
        <v>6658</v>
      </c>
      <c r="I469" s="348">
        <f>'5'!F175</f>
        <v>7807</v>
      </c>
    </row>
    <row r="470" spans="1:9" s="200" customFormat="1" ht="110.25" hidden="1" customHeight="1">
      <c r="A470" s="81" t="s">
        <v>778</v>
      </c>
      <c r="B470" s="60">
        <v>951</v>
      </c>
      <c r="C470" s="59" t="s">
        <v>689</v>
      </c>
      <c r="D470" s="59" t="s">
        <v>102</v>
      </c>
      <c r="E470" s="59" t="s">
        <v>779</v>
      </c>
      <c r="F470" s="59" t="s">
        <v>198</v>
      </c>
      <c r="G470" s="96">
        <f>G471+G472</f>
        <v>0</v>
      </c>
      <c r="H470" s="96">
        <f>H471+H472</f>
        <v>0</v>
      </c>
      <c r="I470" s="96">
        <f>I471+I472</f>
        <v>0</v>
      </c>
    </row>
    <row r="471" spans="1:9" ht="126" hidden="1" customHeight="1">
      <c r="A471" s="77" t="s">
        <v>1044</v>
      </c>
      <c r="B471" s="58">
        <v>951</v>
      </c>
      <c r="C471" s="43" t="s">
        <v>689</v>
      </c>
      <c r="D471" s="43" t="s">
        <v>102</v>
      </c>
      <c r="E471" s="43" t="s">
        <v>504</v>
      </c>
      <c r="F471" s="43" t="s">
        <v>156</v>
      </c>
      <c r="G471" s="348">
        <f>'5'!D177</f>
        <v>0</v>
      </c>
      <c r="H471" s="348">
        <f>'5'!E177</f>
        <v>0</v>
      </c>
      <c r="I471" s="348">
        <f>'5'!F177</f>
        <v>0</v>
      </c>
    </row>
    <row r="472" spans="1:9" ht="157.5" hidden="1" customHeight="1">
      <c r="A472" s="77" t="s">
        <v>1045</v>
      </c>
      <c r="B472" s="58">
        <v>951</v>
      </c>
      <c r="C472" s="43" t="s">
        <v>689</v>
      </c>
      <c r="D472" s="43" t="s">
        <v>102</v>
      </c>
      <c r="E472" s="43" t="s">
        <v>504</v>
      </c>
      <c r="F472" s="43" t="s">
        <v>156</v>
      </c>
      <c r="G472" s="348">
        <f>'5'!D178</f>
        <v>0</v>
      </c>
      <c r="H472" s="348">
        <f>'5'!E178</f>
        <v>0</v>
      </c>
      <c r="I472" s="348">
        <f>'5'!F178</f>
        <v>0</v>
      </c>
    </row>
    <row r="473" spans="1:9" ht="68.25" customHeight="1">
      <c r="A473" s="81" t="s">
        <v>301</v>
      </c>
      <c r="B473" s="60">
        <v>951</v>
      </c>
      <c r="C473" s="59" t="s">
        <v>689</v>
      </c>
      <c r="D473" s="59" t="s">
        <v>102</v>
      </c>
      <c r="E473" s="59" t="s">
        <v>302</v>
      </c>
      <c r="F473" s="59" t="s">
        <v>198</v>
      </c>
      <c r="G473" s="96">
        <f>G477+G474</f>
        <v>169.70202</v>
      </c>
      <c r="H473" s="96">
        <f>H477+H474</f>
        <v>169.70202</v>
      </c>
      <c r="I473" s="96">
        <f>I477+I474</f>
        <v>169.70202</v>
      </c>
    </row>
    <row r="474" spans="1:9" ht="84.75" customHeight="1">
      <c r="A474" s="77" t="s">
        <v>1046</v>
      </c>
      <c r="B474" s="58">
        <v>951</v>
      </c>
      <c r="C474" s="43" t="s">
        <v>689</v>
      </c>
      <c r="D474" s="43" t="s">
        <v>102</v>
      </c>
      <c r="E474" s="43" t="s">
        <v>303</v>
      </c>
      <c r="F474" s="43" t="s">
        <v>198</v>
      </c>
      <c r="G474" s="348">
        <f t="shared" ref="G474:I475" si="122">G475</f>
        <v>168.005</v>
      </c>
      <c r="H474" s="348">
        <f t="shared" si="122"/>
        <v>168.005</v>
      </c>
      <c r="I474" s="348">
        <f t="shared" si="122"/>
        <v>168.005</v>
      </c>
    </row>
    <row r="475" spans="1:9" ht="48.75" customHeight="1">
      <c r="A475" s="77" t="s">
        <v>649</v>
      </c>
      <c r="B475" s="58">
        <v>951</v>
      </c>
      <c r="C475" s="43" t="s">
        <v>689</v>
      </c>
      <c r="D475" s="43" t="s">
        <v>102</v>
      </c>
      <c r="E475" s="43" t="s">
        <v>303</v>
      </c>
      <c r="F475" s="43" t="s">
        <v>648</v>
      </c>
      <c r="G475" s="348">
        <f t="shared" si="122"/>
        <v>168.005</v>
      </c>
      <c r="H475" s="348">
        <f t="shared" si="122"/>
        <v>168.005</v>
      </c>
      <c r="I475" s="348">
        <f t="shared" si="122"/>
        <v>168.005</v>
      </c>
    </row>
    <row r="476" spans="1:9" ht="20.25" customHeight="1">
      <c r="A476" s="77" t="s">
        <v>117</v>
      </c>
      <c r="B476" s="58">
        <v>951</v>
      </c>
      <c r="C476" s="43" t="s">
        <v>689</v>
      </c>
      <c r="D476" s="43" t="s">
        <v>102</v>
      </c>
      <c r="E476" s="43" t="s">
        <v>303</v>
      </c>
      <c r="F476" s="43" t="s">
        <v>156</v>
      </c>
      <c r="G476" s="348">
        <f>'5'!D180</f>
        <v>168.005</v>
      </c>
      <c r="H476" s="348">
        <v>168.005</v>
      </c>
      <c r="I476" s="348">
        <v>168.005</v>
      </c>
    </row>
    <row r="477" spans="1:9" ht="114.75" customHeight="1">
      <c r="A477" s="77" t="s">
        <v>1047</v>
      </c>
      <c r="B477" s="58">
        <v>951</v>
      </c>
      <c r="C477" s="43" t="s">
        <v>689</v>
      </c>
      <c r="D477" s="43" t="s">
        <v>102</v>
      </c>
      <c r="E477" s="43" t="s">
        <v>533</v>
      </c>
      <c r="F477" s="43" t="s">
        <v>198</v>
      </c>
      <c r="G477" s="348">
        <f t="shared" ref="G477:I478" si="123">G478</f>
        <v>1.69702</v>
      </c>
      <c r="H477" s="348">
        <f t="shared" si="123"/>
        <v>1.69702</v>
      </c>
      <c r="I477" s="348">
        <f t="shared" si="123"/>
        <v>1.69702</v>
      </c>
    </row>
    <row r="478" spans="1:9" ht="52.5" customHeight="1">
      <c r="A478" s="77" t="s">
        <v>649</v>
      </c>
      <c r="B478" s="58">
        <v>951</v>
      </c>
      <c r="C478" s="43" t="s">
        <v>689</v>
      </c>
      <c r="D478" s="43" t="s">
        <v>102</v>
      </c>
      <c r="E478" s="43" t="s">
        <v>533</v>
      </c>
      <c r="F478" s="43" t="s">
        <v>648</v>
      </c>
      <c r="G478" s="348">
        <f t="shared" si="123"/>
        <v>1.69702</v>
      </c>
      <c r="H478" s="348">
        <f t="shared" si="123"/>
        <v>1.69702</v>
      </c>
      <c r="I478" s="348">
        <f t="shared" si="123"/>
        <v>1.69702</v>
      </c>
    </row>
    <row r="479" spans="1:9" ht="18" customHeight="1">
      <c r="A479" s="77" t="s">
        <v>117</v>
      </c>
      <c r="B479" s="58">
        <v>951</v>
      </c>
      <c r="C479" s="43" t="s">
        <v>689</v>
      </c>
      <c r="D479" s="43" t="s">
        <v>102</v>
      </c>
      <c r="E479" s="43" t="s">
        <v>533</v>
      </c>
      <c r="F479" s="43" t="s">
        <v>156</v>
      </c>
      <c r="G479" s="348">
        <f>'5'!D181</f>
        <v>1.69702</v>
      </c>
      <c r="H479" s="348">
        <v>1.69702</v>
      </c>
      <c r="I479" s="348">
        <v>1.69702</v>
      </c>
    </row>
    <row r="480" spans="1:9" ht="120" customHeight="1">
      <c r="A480" s="86" t="s">
        <v>268</v>
      </c>
      <c r="B480" s="58" t="s">
        <v>111</v>
      </c>
      <c r="C480" s="43" t="s">
        <v>689</v>
      </c>
      <c r="D480" s="43" t="s">
        <v>102</v>
      </c>
      <c r="E480" s="43" t="s">
        <v>59</v>
      </c>
      <c r="F480" s="43" t="s">
        <v>198</v>
      </c>
      <c r="G480" s="348">
        <f>G481</f>
        <v>3050</v>
      </c>
      <c r="H480" s="348">
        <f>H481</f>
        <v>3495</v>
      </c>
      <c r="I480" s="348">
        <f t="shared" ref="G480:I481" si="124">I481</f>
        <v>4708</v>
      </c>
    </row>
    <row r="481" spans="1:9" ht="48" customHeight="1">
      <c r="A481" s="77" t="s">
        <v>649</v>
      </c>
      <c r="B481" s="58" t="s">
        <v>111</v>
      </c>
      <c r="C481" s="43" t="s">
        <v>689</v>
      </c>
      <c r="D481" s="43" t="s">
        <v>102</v>
      </c>
      <c r="E481" s="43" t="s">
        <v>59</v>
      </c>
      <c r="F481" s="43" t="s">
        <v>648</v>
      </c>
      <c r="G481" s="348">
        <f t="shared" si="124"/>
        <v>3050</v>
      </c>
      <c r="H481" s="348">
        <f t="shared" si="124"/>
        <v>3495</v>
      </c>
      <c r="I481" s="348">
        <f t="shared" si="124"/>
        <v>4708</v>
      </c>
    </row>
    <row r="482" spans="1:9" ht="20.25" customHeight="1">
      <c r="A482" s="77" t="s">
        <v>117</v>
      </c>
      <c r="B482" s="58" t="s">
        <v>111</v>
      </c>
      <c r="C482" s="43" t="s">
        <v>689</v>
      </c>
      <c r="D482" s="43" t="s">
        <v>102</v>
      </c>
      <c r="E482" s="43" t="s">
        <v>59</v>
      </c>
      <c r="F482" s="43" t="s">
        <v>156</v>
      </c>
      <c r="G482" s="348">
        <f>'5'!D183</f>
        <v>3050</v>
      </c>
      <c r="H482" s="348">
        <f>'5'!E183</f>
        <v>3495</v>
      </c>
      <c r="I482" s="348">
        <f>'5'!F183</f>
        <v>4708</v>
      </c>
    </row>
    <row r="483" spans="1:9" ht="78.75" hidden="1">
      <c r="A483" s="74" t="s">
        <v>855</v>
      </c>
      <c r="B483" s="47" t="s">
        <v>111</v>
      </c>
      <c r="C483" s="37" t="s">
        <v>689</v>
      </c>
      <c r="D483" s="37" t="s">
        <v>102</v>
      </c>
      <c r="E483" s="37" t="s">
        <v>856</v>
      </c>
      <c r="F483" s="37" t="s">
        <v>198</v>
      </c>
      <c r="G483" s="38">
        <f t="shared" ref="G483:I484" si="125">G484</f>
        <v>0</v>
      </c>
      <c r="H483" s="38">
        <f t="shared" si="125"/>
        <v>0</v>
      </c>
      <c r="I483" s="38">
        <f t="shared" si="125"/>
        <v>0</v>
      </c>
    </row>
    <row r="484" spans="1:9" ht="47.25" hidden="1">
      <c r="A484" s="74" t="s">
        <v>649</v>
      </c>
      <c r="B484" s="47" t="s">
        <v>111</v>
      </c>
      <c r="C484" s="37" t="s">
        <v>689</v>
      </c>
      <c r="D484" s="37" t="s">
        <v>102</v>
      </c>
      <c r="E484" s="37" t="s">
        <v>856</v>
      </c>
      <c r="F484" s="37" t="s">
        <v>648</v>
      </c>
      <c r="G484" s="38">
        <f t="shared" si="125"/>
        <v>0</v>
      </c>
      <c r="H484" s="38">
        <f t="shared" si="125"/>
        <v>0</v>
      </c>
      <c r="I484" s="38">
        <f t="shared" si="125"/>
        <v>0</v>
      </c>
    </row>
    <row r="485" spans="1:9" hidden="1">
      <c r="A485" s="74" t="s">
        <v>117</v>
      </c>
      <c r="B485" s="47" t="s">
        <v>111</v>
      </c>
      <c r="C485" s="37" t="s">
        <v>689</v>
      </c>
      <c r="D485" s="37" t="s">
        <v>102</v>
      </c>
      <c r="E485" s="37" t="s">
        <v>856</v>
      </c>
      <c r="F485" s="37" t="s">
        <v>156</v>
      </c>
      <c r="G485" s="38"/>
      <c r="H485" s="38"/>
      <c r="I485" s="38"/>
    </row>
    <row r="486" spans="1:9" ht="31.5">
      <c r="A486" s="194" t="s">
        <v>786</v>
      </c>
      <c r="B486" s="195">
        <v>951</v>
      </c>
      <c r="C486" s="196" t="s">
        <v>689</v>
      </c>
      <c r="D486" s="196" t="s">
        <v>107</v>
      </c>
      <c r="E486" s="196" t="s">
        <v>601</v>
      </c>
      <c r="F486" s="196" t="s">
        <v>198</v>
      </c>
      <c r="G486" s="197">
        <f>G488+G513+G515+G520+G517</f>
        <v>1165.7</v>
      </c>
      <c r="H486" s="197">
        <f t="shared" ref="H486:I486" si="126">H488+H513+H515+H520+H517</f>
        <v>2969</v>
      </c>
      <c r="I486" s="197">
        <f t="shared" si="126"/>
        <v>2959</v>
      </c>
    </row>
    <row r="487" spans="1:9" s="199" customFormat="1" ht="66" customHeight="1">
      <c r="A487" s="153" t="s">
        <v>776</v>
      </c>
      <c r="B487" s="198" t="s">
        <v>111</v>
      </c>
      <c r="C487" s="150" t="s">
        <v>689</v>
      </c>
      <c r="D487" s="150" t="s">
        <v>107</v>
      </c>
      <c r="E487" s="150" t="s">
        <v>857</v>
      </c>
      <c r="F487" s="150" t="s">
        <v>198</v>
      </c>
      <c r="G487" s="54">
        <f>G488+G491+G498+G501+G504</f>
        <v>1041.7</v>
      </c>
      <c r="H487" s="54">
        <f>H488+H491+H498+H501+H504</f>
        <v>2845</v>
      </c>
      <c r="I487" s="54">
        <f>I488+I491+I498+I501+I504</f>
        <v>2895</v>
      </c>
    </row>
    <row r="488" spans="1:9" ht="57" customHeight="1">
      <c r="A488" s="86" t="s">
        <v>787</v>
      </c>
      <c r="B488" s="58">
        <v>951</v>
      </c>
      <c r="C488" s="43" t="s">
        <v>689</v>
      </c>
      <c r="D488" s="43" t="s">
        <v>107</v>
      </c>
      <c r="E488" s="43" t="s">
        <v>60</v>
      </c>
      <c r="F488" s="43" t="s">
        <v>198</v>
      </c>
      <c r="G488" s="348">
        <f t="shared" ref="G488:I489" si="127">G489</f>
        <v>1041.7</v>
      </c>
      <c r="H488" s="348">
        <f t="shared" si="127"/>
        <v>2845</v>
      </c>
      <c r="I488" s="348">
        <f t="shared" si="127"/>
        <v>2895</v>
      </c>
    </row>
    <row r="489" spans="1:9" ht="52.5" customHeight="1">
      <c r="A489" s="77" t="s">
        <v>649</v>
      </c>
      <c r="B489" s="58">
        <v>951</v>
      </c>
      <c r="C489" s="43" t="s">
        <v>689</v>
      </c>
      <c r="D489" s="43" t="s">
        <v>107</v>
      </c>
      <c r="E489" s="43" t="s">
        <v>60</v>
      </c>
      <c r="F489" s="43" t="s">
        <v>648</v>
      </c>
      <c r="G489" s="348">
        <f t="shared" si="127"/>
        <v>1041.7</v>
      </c>
      <c r="H489" s="348">
        <f t="shared" si="127"/>
        <v>2845</v>
      </c>
      <c r="I489" s="348">
        <f t="shared" si="127"/>
        <v>2895</v>
      </c>
    </row>
    <row r="490" spans="1:9" ht="19.5" customHeight="1">
      <c r="A490" s="77" t="s">
        <v>117</v>
      </c>
      <c r="B490" s="58">
        <v>951</v>
      </c>
      <c r="C490" s="43" t="s">
        <v>689</v>
      </c>
      <c r="D490" s="43" t="s">
        <v>107</v>
      </c>
      <c r="E490" s="43" t="s">
        <v>60</v>
      </c>
      <c r="F490" s="43" t="s">
        <v>156</v>
      </c>
      <c r="G490" s="348">
        <f>'5'!D188</f>
        <v>1041.7</v>
      </c>
      <c r="H490" s="348">
        <f>'5'!E188</f>
        <v>2845</v>
      </c>
      <c r="I490" s="348">
        <f>'5'!F188</f>
        <v>2895</v>
      </c>
    </row>
    <row r="491" spans="1:9" ht="47.25" hidden="1" customHeight="1">
      <c r="A491" s="81" t="s">
        <v>423</v>
      </c>
      <c r="B491" s="60" t="s">
        <v>111</v>
      </c>
      <c r="C491" s="59" t="s">
        <v>689</v>
      </c>
      <c r="D491" s="59" t="s">
        <v>107</v>
      </c>
      <c r="E491" s="59" t="s">
        <v>55</v>
      </c>
      <c r="F491" s="59" t="s">
        <v>198</v>
      </c>
      <c r="G491" s="96">
        <f>G495+G492</f>
        <v>0</v>
      </c>
      <c r="H491" s="96">
        <f>H495+H492</f>
        <v>0</v>
      </c>
      <c r="I491" s="96">
        <f>I495+I492</f>
        <v>0</v>
      </c>
    </row>
    <row r="492" spans="1:9" ht="63" hidden="1" customHeight="1">
      <c r="A492" s="76" t="s">
        <v>424</v>
      </c>
      <c r="B492" s="58" t="s">
        <v>111</v>
      </c>
      <c r="C492" s="43" t="s">
        <v>689</v>
      </c>
      <c r="D492" s="43" t="s">
        <v>107</v>
      </c>
      <c r="E492" s="43" t="s">
        <v>426</v>
      </c>
      <c r="F492" s="43" t="s">
        <v>198</v>
      </c>
      <c r="G492" s="348">
        <f t="shared" ref="G492:I493" si="128">G493</f>
        <v>0</v>
      </c>
      <c r="H492" s="348">
        <f t="shared" si="128"/>
        <v>0</v>
      </c>
      <c r="I492" s="348">
        <f t="shared" si="128"/>
        <v>0</v>
      </c>
    </row>
    <row r="493" spans="1:9" ht="47.25" hidden="1" customHeight="1">
      <c r="A493" s="77" t="s">
        <v>649</v>
      </c>
      <c r="B493" s="58" t="s">
        <v>111</v>
      </c>
      <c r="C493" s="43" t="s">
        <v>689</v>
      </c>
      <c r="D493" s="43" t="s">
        <v>107</v>
      </c>
      <c r="E493" s="43" t="s">
        <v>426</v>
      </c>
      <c r="F493" s="43" t="s">
        <v>648</v>
      </c>
      <c r="G493" s="348">
        <f t="shared" si="128"/>
        <v>0</v>
      </c>
      <c r="H493" s="348">
        <f t="shared" si="128"/>
        <v>0</v>
      </c>
      <c r="I493" s="348">
        <f t="shared" si="128"/>
        <v>0</v>
      </c>
    </row>
    <row r="494" spans="1:9" ht="15.75" hidden="1" customHeight="1">
      <c r="A494" s="77" t="s">
        <v>117</v>
      </c>
      <c r="B494" s="58" t="s">
        <v>111</v>
      </c>
      <c r="C494" s="43" t="s">
        <v>689</v>
      </c>
      <c r="D494" s="43" t="s">
        <v>107</v>
      </c>
      <c r="E494" s="43" t="s">
        <v>426</v>
      </c>
      <c r="F494" s="43" t="s">
        <v>156</v>
      </c>
      <c r="G494" s="348"/>
      <c r="H494" s="348"/>
      <c r="I494" s="348"/>
    </row>
    <row r="495" spans="1:9" ht="94.5" hidden="1" customHeight="1">
      <c r="A495" s="76" t="s">
        <v>425</v>
      </c>
      <c r="B495" s="58" t="s">
        <v>111</v>
      </c>
      <c r="C495" s="43" t="s">
        <v>689</v>
      </c>
      <c r="D495" s="43" t="s">
        <v>107</v>
      </c>
      <c r="E495" s="43" t="s">
        <v>427</v>
      </c>
      <c r="F495" s="43" t="s">
        <v>198</v>
      </c>
      <c r="G495" s="348">
        <f t="shared" ref="G495:I496" si="129">G496</f>
        <v>0</v>
      </c>
      <c r="H495" s="348">
        <f t="shared" si="129"/>
        <v>0</v>
      </c>
      <c r="I495" s="348">
        <f t="shared" si="129"/>
        <v>0</v>
      </c>
    </row>
    <row r="496" spans="1:9" ht="47.25" hidden="1" customHeight="1">
      <c r="A496" s="77" t="s">
        <v>649</v>
      </c>
      <c r="B496" s="58" t="s">
        <v>111</v>
      </c>
      <c r="C496" s="43" t="s">
        <v>689</v>
      </c>
      <c r="D496" s="43" t="s">
        <v>107</v>
      </c>
      <c r="E496" s="43" t="s">
        <v>427</v>
      </c>
      <c r="F496" s="43" t="s">
        <v>648</v>
      </c>
      <c r="G496" s="348">
        <f t="shared" si="129"/>
        <v>0</v>
      </c>
      <c r="H496" s="348">
        <f t="shared" si="129"/>
        <v>0</v>
      </c>
      <c r="I496" s="348">
        <f t="shared" si="129"/>
        <v>0</v>
      </c>
    </row>
    <row r="497" spans="1:9" ht="15.75" hidden="1" customHeight="1">
      <c r="A497" s="77" t="s">
        <v>117</v>
      </c>
      <c r="B497" s="58" t="s">
        <v>111</v>
      </c>
      <c r="C497" s="43" t="s">
        <v>689</v>
      </c>
      <c r="D497" s="43" t="s">
        <v>107</v>
      </c>
      <c r="E497" s="43" t="s">
        <v>427</v>
      </c>
      <c r="F497" s="43" t="s">
        <v>156</v>
      </c>
      <c r="G497" s="348"/>
      <c r="H497" s="348"/>
      <c r="I497" s="348"/>
    </row>
    <row r="498" spans="1:9" s="200" customFormat="1" ht="31.5" hidden="1" customHeight="1">
      <c r="A498" s="76" t="s">
        <v>789</v>
      </c>
      <c r="B498" s="61" t="s">
        <v>111</v>
      </c>
      <c r="C498" s="53" t="s">
        <v>689</v>
      </c>
      <c r="D498" s="53" t="s">
        <v>107</v>
      </c>
      <c r="E498" s="53" t="s">
        <v>448</v>
      </c>
      <c r="F498" s="53" t="s">
        <v>198</v>
      </c>
      <c r="G498" s="41">
        <f t="shared" ref="G498:I499" si="130">G499</f>
        <v>0</v>
      </c>
      <c r="H498" s="41">
        <f t="shared" si="130"/>
        <v>0</v>
      </c>
      <c r="I498" s="41">
        <f t="shared" si="130"/>
        <v>0</v>
      </c>
    </row>
    <row r="499" spans="1:9" ht="47.25" hidden="1" customHeight="1">
      <c r="A499" s="77" t="s">
        <v>649</v>
      </c>
      <c r="B499" s="58" t="s">
        <v>111</v>
      </c>
      <c r="C499" s="43" t="s">
        <v>689</v>
      </c>
      <c r="D499" s="43" t="s">
        <v>107</v>
      </c>
      <c r="E499" s="53" t="s">
        <v>448</v>
      </c>
      <c r="F499" s="53" t="s">
        <v>648</v>
      </c>
      <c r="G499" s="348">
        <f t="shared" si="130"/>
        <v>0</v>
      </c>
      <c r="H499" s="348">
        <f t="shared" si="130"/>
        <v>0</v>
      </c>
      <c r="I499" s="348">
        <f t="shared" si="130"/>
        <v>0</v>
      </c>
    </row>
    <row r="500" spans="1:9" ht="15.75" hidden="1" customHeight="1">
      <c r="A500" s="77" t="s">
        <v>117</v>
      </c>
      <c r="B500" s="58" t="s">
        <v>111</v>
      </c>
      <c r="C500" s="43" t="s">
        <v>689</v>
      </c>
      <c r="D500" s="43" t="s">
        <v>107</v>
      </c>
      <c r="E500" s="53" t="s">
        <v>448</v>
      </c>
      <c r="F500" s="53" t="s">
        <v>156</v>
      </c>
      <c r="G500" s="348"/>
      <c r="H500" s="348"/>
      <c r="I500" s="348"/>
    </row>
    <row r="501" spans="1:9" s="200" customFormat="1" ht="47.25" hidden="1" customHeight="1">
      <c r="A501" s="76" t="s">
        <v>746</v>
      </c>
      <c r="B501" s="61" t="s">
        <v>111</v>
      </c>
      <c r="C501" s="53" t="s">
        <v>689</v>
      </c>
      <c r="D501" s="53" t="s">
        <v>107</v>
      </c>
      <c r="E501" s="53" t="s">
        <v>449</v>
      </c>
      <c r="F501" s="53" t="s">
        <v>198</v>
      </c>
      <c r="G501" s="41">
        <f t="shared" ref="G501:I502" si="131">G502</f>
        <v>0</v>
      </c>
      <c r="H501" s="41">
        <f t="shared" si="131"/>
        <v>0</v>
      </c>
      <c r="I501" s="41">
        <f t="shared" si="131"/>
        <v>0</v>
      </c>
    </row>
    <row r="502" spans="1:9" ht="47.25" hidden="1" customHeight="1">
      <c r="A502" s="77" t="s">
        <v>649</v>
      </c>
      <c r="B502" s="58" t="s">
        <v>111</v>
      </c>
      <c r="C502" s="43" t="s">
        <v>689</v>
      </c>
      <c r="D502" s="43" t="s">
        <v>107</v>
      </c>
      <c r="E502" s="53" t="s">
        <v>449</v>
      </c>
      <c r="F502" s="43" t="s">
        <v>648</v>
      </c>
      <c r="G502" s="348">
        <f t="shared" si="131"/>
        <v>0</v>
      </c>
      <c r="H502" s="348">
        <f t="shared" si="131"/>
        <v>0</v>
      </c>
      <c r="I502" s="348">
        <f t="shared" si="131"/>
        <v>0</v>
      </c>
    </row>
    <row r="503" spans="1:9" ht="15.75" hidden="1" customHeight="1">
      <c r="A503" s="77" t="s">
        <v>117</v>
      </c>
      <c r="B503" s="58" t="s">
        <v>111</v>
      </c>
      <c r="C503" s="43" t="s">
        <v>689</v>
      </c>
      <c r="D503" s="43" t="s">
        <v>107</v>
      </c>
      <c r="E503" s="53" t="s">
        <v>449</v>
      </c>
      <c r="F503" s="43" t="s">
        <v>156</v>
      </c>
      <c r="G503" s="348"/>
      <c r="H503" s="348"/>
      <c r="I503" s="348"/>
    </row>
    <row r="504" spans="1:9" s="206" customFormat="1" ht="94.5" hidden="1" customHeight="1">
      <c r="A504" s="81" t="s">
        <v>535</v>
      </c>
      <c r="B504" s="60" t="s">
        <v>111</v>
      </c>
      <c r="C504" s="59" t="s">
        <v>689</v>
      </c>
      <c r="D504" s="59" t="s">
        <v>107</v>
      </c>
      <c r="E504" s="59" t="s">
        <v>788</v>
      </c>
      <c r="F504" s="59" t="s">
        <v>198</v>
      </c>
      <c r="G504" s="96">
        <f>G505+G508</f>
        <v>0</v>
      </c>
      <c r="H504" s="96">
        <f>H505+H508</f>
        <v>0</v>
      </c>
      <c r="I504" s="96">
        <f>I505+I508</f>
        <v>0</v>
      </c>
    </row>
    <row r="505" spans="1:9" s="200" customFormat="1" ht="110.25" hidden="1" customHeight="1">
      <c r="A505" s="76" t="s">
        <v>465</v>
      </c>
      <c r="B505" s="61" t="s">
        <v>111</v>
      </c>
      <c r="C505" s="53" t="s">
        <v>689</v>
      </c>
      <c r="D505" s="53" t="s">
        <v>107</v>
      </c>
      <c r="E505" s="53" t="s">
        <v>505</v>
      </c>
      <c r="F505" s="53" t="s">
        <v>198</v>
      </c>
      <c r="G505" s="41">
        <f t="shared" ref="G505:I506" si="132">G506</f>
        <v>0</v>
      </c>
      <c r="H505" s="41">
        <f t="shared" si="132"/>
        <v>0</v>
      </c>
      <c r="I505" s="41">
        <f t="shared" si="132"/>
        <v>0</v>
      </c>
    </row>
    <row r="506" spans="1:9" ht="47.25" hidden="1" customHeight="1">
      <c r="A506" s="77" t="s">
        <v>649</v>
      </c>
      <c r="B506" s="58" t="s">
        <v>111</v>
      </c>
      <c r="C506" s="43" t="s">
        <v>689</v>
      </c>
      <c r="D506" s="43" t="s">
        <v>107</v>
      </c>
      <c r="E506" s="43" t="s">
        <v>505</v>
      </c>
      <c r="F506" s="43" t="s">
        <v>648</v>
      </c>
      <c r="G506" s="348">
        <f t="shared" si="132"/>
        <v>0</v>
      </c>
      <c r="H506" s="348">
        <f t="shared" si="132"/>
        <v>0</v>
      </c>
      <c r="I506" s="348">
        <f t="shared" si="132"/>
        <v>0</v>
      </c>
    </row>
    <row r="507" spans="1:9" ht="15.75" hidden="1" customHeight="1">
      <c r="A507" s="77" t="s">
        <v>117</v>
      </c>
      <c r="B507" s="58" t="s">
        <v>111</v>
      </c>
      <c r="C507" s="43" t="s">
        <v>689</v>
      </c>
      <c r="D507" s="43" t="s">
        <v>107</v>
      </c>
      <c r="E507" s="43" t="s">
        <v>505</v>
      </c>
      <c r="F507" s="43" t="s">
        <v>156</v>
      </c>
      <c r="G507" s="348">
        <f>'5'!D202</f>
        <v>0</v>
      </c>
      <c r="H507" s="348">
        <f>'5'!E202</f>
        <v>0</v>
      </c>
      <c r="I507" s="348">
        <f>'5'!F202</f>
        <v>0</v>
      </c>
    </row>
    <row r="508" spans="1:9" s="200" customFormat="1" ht="141.75" hidden="1" customHeight="1">
      <c r="A508" s="76" t="s">
        <v>858</v>
      </c>
      <c r="B508" s="61" t="s">
        <v>111</v>
      </c>
      <c r="C508" s="53" t="s">
        <v>689</v>
      </c>
      <c r="D508" s="53" t="s">
        <v>107</v>
      </c>
      <c r="E508" s="53" t="s">
        <v>508</v>
      </c>
      <c r="F508" s="53" t="s">
        <v>198</v>
      </c>
      <c r="G508" s="207">
        <f t="shared" ref="G508:I509" si="133">G509</f>
        <v>0</v>
      </c>
      <c r="H508" s="207">
        <f t="shared" si="133"/>
        <v>0</v>
      </c>
      <c r="I508" s="207">
        <f t="shared" si="133"/>
        <v>0</v>
      </c>
    </row>
    <row r="509" spans="1:9" ht="47.25" hidden="1" customHeight="1">
      <c r="A509" s="77" t="s">
        <v>649</v>
      </c>
      <c r="B509" s="58" t="s">
        <v>111</v>
      </c>
      <c r="C509" s="43" t="s">
        <v>689</v>
      </c>
      <c r="D509" s="43" t="s">
        <v>107</v>
      </c>
      <c r="E509" s="43" t="s">
        <v>508</v>
      </c>
      <c r="F509" s="43" t="s">
        <v>648</v>
      </c>
      <c r="G509" s="155">
        <f t="shared" si="133"/>
        <v>0</v>
      </c>
      <c r="H509" s="155">
        <f t="shared" si="133"/>
        <v>0</v>
      </c>
      <c r="I509" s="155">
        <f t="shared" si="133"/>
        <v>0</v>
      </c>
    </row>
    <row r="510" spans="1:9" ht="15.75" hidden="1" customHeight="1">
      <c r="A510" s="77" t="s">
        <v>117</v>
      </c>
      <c r="B510" s="58" t="s">
        <v>111</v>
      </c>
      <c r="C510" s="43" t="s">
        <v>689</v>
      </c>
      <c r="D510" s="43" t="s">
        <v>107</v>
      </c>
      <c r="E510" s="43" t="s">
        <v>508</v>
      </c>
      <c r="F510" s="43" t="s">
        <v>156</v>
      </c>
      <c r="G510" s="155">
        <f>'5'!D203</f>
        <v>0</v>
      </c>
      <c r="H510" s="155">
        <f>'5'!E203</f>
        <v>0</v>
      </c>
      <c r="I510" s="155">
        <f>'5'!F203</f>
        <v>0</v>
      </c>
    </row>
    <row r="511" spans="1:9" ht="48.75" customHeight="1">
      <c r="A511" s="76" t="s">
        <v>658</v>
      </c>
      <c r="B511" s="61">
        <v>951</v>
      </c>
      <c r="C511" s="53" t="s">
        <v>689</v>
      </c>
      <c r="D511" s="53" t="s">
        <v>107</v>
      </c>
      <c r="E511" s="53" t="s">
        <v>18</v>
      </c>
      <c r="F511" s="53" t="s">
        <v>198</v>
      </c>
      <c r="G511" s="41">
        <f t="shared" ref="G511:I512" si="134">G512</f>
        <v>39</v>
      </c>
      <c r="H511" s="41">
        <f t="shared" si="134"/>
        <v>39</v>
      </c>
      <c r="I511" s="41">
        <f t="shared" si="134"/>
        <v>39</v>
      </c>
    </row>
    <row r="512" spans="1:9" ht="36" customHeight="1">
      <c r="A512" s="77" t="s">
        <v>790</v>
      </c>
      <c r="B512" s="58">
        <v>951</v>
      </c>
      <c r="C512" s="43" t="s">
        <v>689</v>
      </c>
      <c r="D512" s="43" t="s">
        <v>107</v>
      </c>
      <c r="E512" s="43" t="s">
        <v>859</v>
      </c>
      <c r="F512" s="43" t="s">
        <v>198</v>
      </c>
      <c r="G512" s="348">
        <f t="shared" si="134"/>
        <v>39</v>
      </c>
      <c r="H512" s="348">
        <f t="shared" si="134"/>
        <v>39</v>
      </c>
      <c r="I512" s="348">
        <f t="shared" si="134"/>
        <v>39</v>
      </c>
    </row>
    <row r="513" spans="1:12">
      <c r="A513" s="77" t="s">
        <v>117</v>
      </c>
      <c r="B513" s="58">
        <v>951</v>
      </c>
      <c r="C513" s="43" t="s">
        <v>689</v>
      </c>
      <c r="D513" s="43" t="s">
        <v>107</v>
      </c>
      <c r="E513" s="43" t="s">
        <v>61</v>
      </c>
      <c r="F513" s="43" t="s">
        <v>156</v>
      </c>
      <c r="G513" s="348">
        <f>'5'!D102</f>
        <v>39</v>
      </c>
      <c r="H513" s="348">
        <f>'5'!E102</f>
        <v>39</v>
      </c>
      <c r="I513" s="348">
        <f>'5'!F102</f>
        <v>39</v>
      </c>
    </row>
    <row r="514" spans="1:12" ht="66.75" customHeight="1">
      <c r="A514" s="76" t="s">
        <v>511</v>
      </c>
      <c r="B514" s="61">
        <v>951</v>
      </c>
      <c r="C514" s="53" t="s">
        <v>689</v>
      </c>
      <c r="D514" s="53" t="s">
        <v>107</v>
      </c>
      <c r="E514" s="53" t="s">
        <v>769</v>
      </c>
      <c r="F514" s="53" t="s">
        <v>198</v>
      </c>
      <c r="G514" s="41">
        <f>G515</f>
        <v>5</v>
      </c>
      <c r="H514" s="41">
        <f>H515</f>
        <v>5</v>
      </c>
      <c r="I514" s="41">
        <f>I515</f>
        <v>5</v>
      </c>
    </row>
    <row r="515" spans="1:12" ht="36" customHeight="1">
      <c r="A515" s="77" t="s">
        <v>179</v>
      </c>
      <c r="B515" s="58">
        <v>951</v>
      </c>
      <c r="C515" s="43" t="s">
        <v>689</v>
      </c>
      <c r="D515" s="43" t="s">
        <v>107</v>
      </c>
      <c r="E515" s="43" t="s">
        <v>62</v>
      </c>
      <c r="F515" s="43" t="s">
        <v>156</v>
      </c>
      <c r="G515" s="348">
        <f>'5'!D118</f>
        <v>5</v>
      </c>
      <c r="H515" s="348">
        <f>'5'!E118</f>
        <v>5</v>
      </c>
      <c r="I515" s="348">
        <f>'5'!F118</f>
        <v>5</v>
      </c>
    </row>
    <row r="516" spans="1:12" ht="81.75" customHeight="1">
      <c r="A516" s="76" t="s">
        <v>544</v>
      </c>
      <c r="B516" s="61">
        <v>951</v>
      </c>
      <c r="C516" s="53" t="s">
        <v>689</v>
      </c>
      <c r="D516" s="53" t="s">
        <v>107</v>
      </c>
      <c r="E516" s="61" t="s">
        <v>22</v>
      </c>
      <c r="F516" s="53" t="s">
        <v>198</v>
      </c>
      <c r="G516" s="41">
        <f t="shared" ref="G516:I517" si="135">G517</f>
        <v>60</v>
      </c>
      <c r="H516" s="41">
        <f t="shared" si="135"/>
        <v>60</v>
      </c>
      <c r="I516" s="41">
        <f t="shared" si="135"/>
        <v>20</v>
      </c>
    </row>
    <row r="517" spans="1:12" ht="56.25" customHeight="1">
      <c r="A517" s="77" t="s">
        <v>649</v>
      </c>
      <c r="B517" s="58">
        <v>951</v>
      </c>
      <c r="C517" s="43" t="s">
        <v>689</v>
      </c>
      <c r="D517" s="43" t="s">
        <v>107</v>
      </c>
      <c r="E517" s="58" t="s">
        <v>349</v>
      </c>
      <c r="F517" s="43" t="s">
        <v>648</v>
      </c>
      <c r="G517" s="348">
        <f t="shared" si="135"/>
        <v>60</v>
      </c>
      <c r="H517" s="348">
        <f t="shared" si="135"/>
        <v>60</v>
      </c>
      <c r="I517" s="348">
        <f t="shared" si="135"/>
        <v>20</v>
      </c>
    </row>
    <row r="518" spans="1:12" ht="36" customHeight="1">
      <c r="A518" s="77" t="s">
        <v>179</v>
      </c>
      <c r="B518" s="58">
        <v>951</v>
      </c>
      <c r="C518" s="43" t="s">
        <v>689</v>
      </c>
      <c r="D518" s="43" t="s">
        <v>107</v>
      </c>
      <c r="E518" s="58" t="s">
        <v>349</v>
      </c>
      <c r="F518" s="43" t="s">
        <v>156</v>
      </c>
      <c r="G518" s="348">
        <f>'5'!D126</f>
        <v>60</v>
      </c>
      <c r="H518" s="348">
        <f>'5'!E126</f>
        <v>60</v>
      </c>
      <c r="I518" s="348">
        <f>'5'!F126</f>
        <v>20</v>
      </c>
    </row>
    <row r="519" spans="1:12" ht="99.75" customHeight="1">
      <c r="A519" s="76" t="s">
        <v>709</v>
      </c>
      <c r="B519" s="61">
        <v>951</v>
      </c>
      <c r="C519" s="53" t="s">
        <v>689</v>
      </c>
      <c r="D519" s="53" t="s">
        <v>107</v>
      </c>
      <c r="E519" s="53" t="s">
        <v>259</v>
      </c>
      <c r="F519" s="53" t="s">
        <v>198</v>
      </c>
      <c r="G519" s="41">
        <f t="shared" ref="G519:I520" si="136">G520</f>
        <v>20</v>
      </c>
      <c r="H519" s="41">
        <f t="shared" si="136"/>
        <v>20</v>
      </c>
      <c r="I519" s="41">
        <f t="shared" si="136"/>
        <v>0</v>
      </c>
    </row>
    <row r="520" spans="1:12" ht="47.25" customHeight="1">
      <c r="A520" s="77" t="s">
        <v>649</v>
      </c>
      <c r="B520" s="58">
        <v>951</v>
      </c>
      <c r="C520" s="43" t="s">
        <v>689</v>
      </c>
      <c r="D520" s="43" t="s">
        <v>107</v>
      </c>
      <c r="E520" s="43" t="s">
        <v>405</v>
      </c>
      <c r="F520" s="43" t="s">
        <v>648</v>
      </c>
      <c r="G520" s="348">
        <f t="shared" si="136"/>
        <v>20</v>
      </c>
      <c r="H520" s="348">
        <f t="shared" si="136"/>
        <v>20</v>
      </c>
      <c r="I520" s="348">
        <f t="shared" si="136"/>
        <v>0</v>
      </c>
    </row>
    <row r="521" spans="1:12" ht="23.25" customHeight="1">
      <c r="A521" s="77" t="s">
        <v>117</v>
      </c>
      <c r="B521" s="58">
        <v>951</v>
      </c>
      <c r="C521" s="43" t="s">
        <v>689</v>
      </c>
      <c r="D521" s="43" t="s">
        <v>107</v>
      </c>
      <c r="E521" s="43" t="s">
        <v>405</v>
      </c>
      <c r="F521" s="43" t="s">
        <v>156</v>
      </c>
      <c r="G521" s="348">
        <f>'5'!D221</f>
        <v>20</v>
      </c>
      <c r="H521" s="348">
        <f>'5'!E221</f>
        <v>20</v>
      </c>
      <c r="I521" s="348">
        <f>'5'!F221</f>
        <v>0</v>
      </c>
    </row>
    <row r="522" spans="1:12" s="200" customFormat="1" ht="15.75" hidden="1" customHeight="1">
      <c r="A522" s="376" t="s">
        <v>792</v>
      </c>
      <c r="B522" s="208">
        <v>951</v>
      </c>
      <c r="C522" s="51" t="s">
        <v>678</v>
      </c>
      <c r="D522" s="51" t="s">
        <v>103</v>
      </c>
      <c r="E522" s="51" t="s">
        <v>601</v>
      </c>
      <c r="F522" s="51" t="s">
        <v>198</v>
      </c>
      <c r="G522" s="52">
        <f>G524</f>
        <v>0</v>
      </c>
      <c r="H522" s="52">
        <f>H524</f>
        <v>0</v>
      </c>
      <c r="I522" s="52">
        <f>I524</f>
        <v>0</v>
      </c>
    </row>
    <row r="523" spans="1:12" s="199" customFormat="1" ht="31.5" hidden="1" customHeight="1">
      <c r="A523" s="78" t="s">
        <v>793</v>
      </c>
      <c r="B523" s="44" t="s">
        <v>111</v>
      </c>
      <c r="C523" s="44" t="s">
        <v>678</v>
      </c>
      <c r="D523" s="44" t="s">
        <v>678</v>
      </c>
      <c r="E523" s="44" t="s">
        <v>601</v>
      </c>
      <c r="F523" s="44" t="s">
        <v>198</v>
      </c>
      <c r="G523" s="45">
        <f t="shared" ref="G523:I525" si="137">G524</f>
        <v>0</v>
      </c>
      <c r="H523" s="45">
        <f t="shared" si="137"/>
        <v>0</v>
      </c>
      <c r="I523" s="45">
        <f t="shared" si="137"/>
        <v>0</v>
      </c>
    </row>
    <row r="524" spans="1:12" ht="47.25" hidden="1" customHeight="1">
      <c r="A524" s="74" t="s">
        <v>794</v>
      </c>
      <c r="B524" s="201">
        <v>951</v>
      </c>
      <c r="C524" s="2" t="s">
        <v>678</v>
      </c>
      <c r="D524" s="2" t="s">
        <v>678</v>
      </c>
      <c r="E524" s="2" t="s">
        <v>772</v>
      </c>
      <c r="F524" s="37" t="s">
        <v>198</v>
      </c>
      <c r="G524" s="38">
        <f>G525</f>
        <v>0</v>
      </c>
      <c r="H524" s="38">
        <f t="shared" si="137"/>
        <v>0</v>
      </c>
      <c r="I524" s="38">
        <f t="shared" si="137"/>
        <v>0</v>
      </c>
    </row>
    <row r="525" spans="1:12" ht="31.5" hidden="1" customHeight="1">
      <c r="A525" s="74" t="s">
        <v>611</v>
      </c>
      <c r="B525" s="201">
        <v>951</v>
      </c>
      <c r="C525" s="2" t="s">
        <v>678</v>
      </c>
      <c r="D525" s="2" t="s">
        <v>678</v>
      </c>
      <c r="E525" s="37" t="s">
        <v>795</v>
      </c>
      <c r="F525" s="37" t="s">
        <v>612</v>
      </c>
      <c r="G525" s="38">
        <f>G526</f>
        <v>0</v>
      </c>
      <c r="H525" s="38">
        <f t="shared" si="137"/>
        <v>0</v>
      </c>
      <c r="I525" s="38">
        <f t="shared" si="137"/>
        <v>0</v>
      </c>
    </row>
    <row r="526" spans="1:12" ht="47.25" hidden="1" customHeight="1">
      <c r="A526" s="74" t="s">
        <v>613</v>
      </c>
      <c r="B526" s="201">
        <v>951</v>
      </c>
      <c r="C526" s="2" t="s">
        <v>678</v>
      </c>
      <c r="D526" s="2" t="s">
        <v>678</v>
      </c>
      <c r="E526" s="37" t="s">
        <v>451</v>
      </c>
      <c r="F526" s="37" t="s">
        <v>614</v>
      </c>
      <c r="G526" s="38"/>
      <c r="H526" s="38"/>
      <c r="I526" s="38"/>
    </row>
    <row r="527" spans="1:12" ht="15.75" hidden="1" customHeight="1">
      <c r="A527" s="74"/>
      <c r="B527" s="47"/>
      <c r="C527" s="37"/>
      <c r="D527" s="37"/>
      <c r="E527" s="37"/>
      <c r="F527" s="37"/>
      <c r="G527" s="38"/>
      <c r="H527" s="38"/>
      <c r="I527" s="38"/>
    </row>
    <row r="528" spans="1:12" ht="19.899999999999999" customHeight="1">
      <c r="A528" s="73" t="s">
        <v>796</v>
      </c>
      <c r="B528" s="191">
        <v>951</v>
      </c>
      <c r="C528" s="34" t="s">
        <v>120</v>
      </c>
      <c r="D528" s="34" t="s">
        <v>103</v>
      </c>
      <c r="E528" s="34" t="s">
        <v>601</v>
      </c>
      <c r="F528" s="34" t="s">
        <v>198</v>
      </c>
      <c r="G528" s="35">
        <f>G529+G534+G549+G596</f>
        <v>47200.028179999994</v>
      </c>
      <c r="H528" s="35">
        <f t="shared" ref="H528:I528" si="138">H529+H534+H549+H596</f>
        <v>53314.608833709535</v>
      </c>
      <c r="I528" s="35">
        <f t="shared" si="138"/>
        <v>56098.013459379887</v>
      </c>
      <c r="J528" s="90"/>
      <c r="K528" s="90"/>
      <c r="L528" s="90"/>
    </row>
    <row r="529" spans="1:9" ht="17.100000000000001" customHeight="1">
      <c r="A529" s="194" t="s">
        <v>98</v>
      </c>
      <c r="B529" s="195">
        <v>951</v>
      </c>
      <c r="C529" s="196" t="s">
        <v>120</v>
      </c>
      <c r="D529" s="196" t="s">
        <v>102</v>
      </c>
      <c r="E529" s="196" t="s">
        <v>601</v>
      </c>
      <c r="F529" s="196" t="s">
        <v>198</v>
      </c>
      <c r="G529" s="197">
        <f>G531</f>
        <v>2172</v>
      </c>
      <c r="H529" s="197">
        <f t="shared" ref="H529:I529" si="139">H531</f>
        <v>2097.7973499999998</v>
      </c>
      <c r="I529" s="197">
        <f t="shared" si="139"/>
        <v>1420.8112100000001</v>
      </c>
    </row>
    <row r="530" spans="1:9" ht="31.5" customHeight="1">
      <c r="A530" s="74" t="s">
        <v>797</v>
      </c>
      <c r="B530" s="47">
        <v>951</v>
      </c>
      <c r="C530" s="37" t="s">
        <v>120</v>
      </c>
      <c r="D530" s="37" t="s">
        <v>102</v>
      </c>
      <c r="E530" s="37" t="s">
        <v>63</v>
      </c>
      <c r="F530" s="37" t="s">
        <v>198</v>
      </c>
      <c r="G530" s="38">
        <f t="shared" ref="G530:I532" si="140">G531</f>
        <v>2172</v>
      </c>
      <c r="H530" s="38">
        <f t="shared" si="140"/>
        <v>2097.7973499999998</v>
      </c>
      <c r="I530" s="38">
        <f t="shared" si="140"/>
        <v>1420.8112100000001</v>
      </c>
    </row>
    <row r="531" spans="1:9" ht="43.5" customHeight="1">
      <c r="A531" s="77" t="s">
        <v>798</v>
      </c>
      <c r="B531" s="58">
        <v>951</v>
      </c>
      <c r="C531" s="43" t="s">
        <v>120</v>
      </c>
      <c r="D531" s="43" t="s">
        <v>102</v>
      </c>
      <c r="E531" s="43" t="s">
        <v>63</v>
      </c>
      <c r="F531" s="43" t="s">
        <v>198</v>
      </c>
      <c r="G531" s="348">
        <f t="shared" si="140"/>
        <v>2172</v>
      </c>
      <c r="H531" s="348">
        <f t="shared" si="140"/>
        <v>2097.7973499999998</v>
      </c>
      <c r="I531" s="348">
        <f t="shared" si="140"/>
        <v>1420.8112100000001</v>
      </c>
    </row>
    <row r="532" spans="1:9" ht="31.5">
      <c r="A532" s="77" t="s">
        <v>758</v>
      </c>
      <c r="B532" s="58">
        <v>951</v>
      </c>
      <c r="C532" s="43" t="s">
        <v>120</v>
      </c>
      <c r="D532" s="43" t="s">
        <v>102</v>
      </c>
      <c r="E532" s="43" t="s">
        <v>63</v>
      </c>
      <c r="F532" s="43" t="s">
        <v>759</v>
      </c>
      <c r="G532" s="348">
        <f t="shared" si="140"/>
        <v>2172</v>
      </c>
      <c r="H532" s="348">
        <f t="shared" si="140"/>
        <v>2097.7973499999998</v>
      </c>
      <c r="I532" s="348">
        <f t="shared" si="140"/>
        <v>1420.8112100000001</v>
      </c>
    </row>
    <row r="533" spans="1:9" ht="30" customHeight="1">
      <c r="A533" s="77" t="s">
        <v>113</v>
      </c>
      <c r="B533" s="58">
        <v>951</v>
      </c>
      <c r="C533" s="43" t="s">
        <v>120</v>
      </c>
      <c r="D533" s="43" t="s">
        <v>102</v>
      </c>
      <c r="E533" s="43" t="s">
        <v>63</v>
      </c>
      <c r="F533" s="43" t="s">
        <v>114</v>
      </c>
      <c r="G533" s="348">
        <f>'5'!D287</f>
        <v>2172</v>
      </c>
      <c r="H533" s="348">
        <f>'5'!E287</f>
        <v>2097.7973499999998</v>
      </c>
      <c r="I533" s="348">
        <f>'5'!F287</f>
        <v>1420.8112100000001</v>
      </c>
    </row>
    <row r="534" spans="1:9" ht="21" customHeight="1">
      <c r="A534" s="194" t="s">
        <v>304</v>
      </c>
      <c r="B534" s="195">
        <v>951</v>
      </c>
      <c r="C534" s="196" t="s">
        <v>120</v>
      </c>
      <c r="D534" s="196" t="s">
        <v>105</v>
      </c>
      <c r="E534" s="196" t="s">
        <v>601</v>
      </c>
      <c r="F534" s="196" t="s">
        <v>198</v>
      </c>
      <c r="G534" s="197">
        <f>G535+G541</f>
        <v>720</v>
      </c>
      <c r="H534" s="197">
        <f t="shared" ref="H534:I534" si="141">H535</f>
        <v>300</v>
      </c>
      <c r="I534" s="197">
        <f t="shared" si="141"/>
        <v>300</v>
      </c>
    </row>
    <row r="535" spans="1:9" ht="70.5" customHeight="1">
      <c r="A535" s="76" t="s">
        <v>860</v>
      </c>
      <c r="B535" s="58">
        <v>951</v>
      </c>
      <c r="C535" s="53" t="s">
        <v>120</v>
      </c>
      <c r="D535" s="53" t="s">
        <v>105</v>
      </c>
      <c r="E535" s="53" t="s">
        <v>64</v>
      </c>
      <c r="F535" s="53" t="s">
        <v>198</v>
      </c>
      <c r="G535" s="41">
        <f t="shared" ref="G535:I536" si="142">G536</f>
        <v>300</v>
      </c>
      <c r="H535" s="41">
        <f t="shared" si="142"/>
        <v>300</v>
      </c>
      <c r="I535" s="41">
        <f t="shared" si="142"/>
        <v>300</v>
      </c>
    </row>
    <row r="536" spans="1:9" ht="38.25" customHeight="1">
      <c r="A536" s="77" t="s">
        <v>758</v>
      </c>
      <c r="B536" s="58" t="s">
        <v>111</v>
      </c>
      <c r="C536" s="43" t="s">
        <v>120</v>
      </c>
      <c r="D536" s="43" t="s">
        <v>105</v>
      </c>
      <c r="E536" s="43" t="s">
        <v>65</v>
      </c>
      <c r="F536" s="43" t="s">
        <v>759</v>
      </c>
      <c r="G536" s="348">
        <f t="shared" si="142"/>
        <v>300</v>
      </c>
      <c r="H536" s="348">
        <f t="shared" si="142"/>
        <v>300</v>
      </c>
      <c r="I536" s="348">
        <f t="shared" si="142"/>
        <v>300</v>
      </c>
    </row>
    <row r="537" spans="1:9" ht="56.25" customHeight="1">
      <c r="A537" s="77" t="s">
        <v>115</v>
      </c>
      <c r="B537" s="58">
        <v>951</v>
      </c>
      <c r="C537" s="43" t="s">
        <v>120</v>
      </c>
      <c r="D537" s="43" t="s">
        <v>105</v>
      </c>
      <c r="E537" s="43" t="s">
        <v>65</v>
      </c>
      <c r="F537" s="43" t="s">
        <v>799</v>
      </c>
      <c r="G537" s="348">
        <f>'5'!D152</f>
        <v>300</v>
      </c>
      <c r="H537" s="348">
        <f>'5'!E152</f>
        <v>300</v>
      </c>
      <c r="I537" s="348">
        <f>'5'!F152</f>
        <v>300</v>
      </c>
    </row>
    <row r="538" spans="1:9" ht="31.5" hidden="1" customHeight="1">
      <c r="A538" s="78" t="s">
        <v>273</v>
      </c>
      <c r="B538" s="209">
        <v>952</v>
      </c>
      <c r="C538" s="37" t="s">
        <v>120</v>
      </c>
      <c r="D538" s="37" t="s">
        <v>105</v>
      </c>
      <c r="E538" s="44" t="s">
        <v>601</v>
      </c>
      <c r="F538" s="44" t="s">
        <v>198</v>
      </c>
      <c r="G538" s="45">
        <f t="shared" ref="G538:I539" si="143">G539</f>
        <v>0</v>
      </c>
      <c r="H538" s="45">
        <f t="shared" si="143"/>
        <v>0</v>
      </c>
      <c r="I538" s="45">
        <f t="shared" si="143"/>
        <v>0</v>
      </c>
    </row>
    <row r="539" spans="1:9" ht="31.5" hidden="1" customHeight="1">
      <c r="A539" s="74" t="s">
        <v>758</v>
      </c>
      <c r="B539" s="47">
        <v>953</v>
      </c>
      <c r="C539" s="37" t="s">
        <v>120</v>
      </c>
      <c r="D539" s="37" t="s">
        <v>105</v>
      </c>
      <c r="E539" s="37" t="s">
        <v>274</v>
      </c>
      <c r="F539" s="37" t="s">
        <v>759</v>
      </c>
      <c r="G539" s="38">
        <f t="shared" si="143"/>
        <v>0</v>
      </c>
      <c r="H539" s="38">
        <f t="shared" si="143"/>
        <v>0</v>
      </c>
      <c r="I539" s="38">
        <f t="shared" si="143"/>
        <v>0</v>
      </c>
    </row>
    <row r="540" spans="1:9" ht="47.25" hidden="1" customHeight="1">
      <c r="A540" s="74" t="s">
        <v>115</v>
      </c>
      <c r="B540" s="47">
        <v>954</v>
      </c>
      <c r="C540" s="37" t="s">
        <v>120</v>
      </c>
      <c r="D540" s="37" t="s">
        <v>105</v>
      </c>
      <c r="E540" s="37" t="s">
        <v>274</v>
      </c>
      <c r="F540" s="37" t="s">
        <v>799</v>
      </c>
      <c r="G540" s="38"/>
      <c r="H540" s="38"/>
      <c r="I540" s="38"/>
    </row>
    <row r="541" spans="1:9" ht="47.25" customHeight="1">
      <c r="A541" s="74" t="s">
        <v>604</v>
      </c>
      <c r="B541" s="47" t="s">
        <v>111</v>
      </c>
      <c r="C541" s="37" t="s">
        <v>120</v>
      </c>
      <c r="D541" s="37" t="s">
        <v>105</v>
      </c>
      <c r="E541" s="37" t="s">
        <v>601</v>
      </c>
      <c r="F541" s="37" t="s">
        <v>198</v>
      </c>
      <c r="G541" s="38">
        <f>G542</f>
        <v>420</v>
      </c>
      <c r="H541" s="38">
        <f t="shared" ref="H541:I544" si="144">H542</f>
        <v>0</v>
      </c>
      <c r="I541" s="38">
        <f t="shared" si="144"/>
        <v>0</v>
      </c>
    </row>
    <row r="542" spans="1:9" ht="47.25" customHeight="1">
      <c r="A542" s="74" t="s">
        <v>104</v>
      </c>
      <c r="B542" s="47" t="s">
        <v>111</v>
      </c>
      <c r="C542" s="37" t="s">
        <v>120</v>
      </c>
      <c r="D542" s="37" t="s">
        <v>105</v>
      </c>
      <c r="E542" s="37" t="s">
        <v>601</v>
      </c>
      <c r="F542" s="37" t="s">
        <v>198</v>
      </c>
      <c r="G542" s="38">
        <f>G543+G546</f>
        <v>420</v>
      </c>
      <c r="H542" s="38">
        <f>H543+H546</f>
        <v>0</v>
      </c>
      <c r="I542" s="38">
        <f>I543+I546</f>
        <v>0</v>
      </c>
    </row>
    <row r="543" spans="1:9" ht="267.75" hidden="1" customHeight="1">
      <c r="A543" s="75" t="s">
        <v>861</v>
      </c>
      <c r="B543" s="201" t="s">
        <v>111</v>
      </c>
      <c r="C543" s="2" t="s">
        <v>120</v>
      </c>
      <c r="D543" s="2" t="s">
        <v>105</v>
      </c>
      <c r="E543" s="2" t="s">
        <v>430</v>
      </c>
      <c r="F543" s="2" t="s">
        <v>198</v>
      </c>
      <c r="G543" s="39">
        <f>G544</f>
        <v>0</v>
      </c>
      <c r="H543" s="39">
        <f t="shared" si="144"/>
        <v>0</v>
      </c>
      <c r="I543" s="39">
        <f t="shared" si="144"/>
        <v>0</v>
      </c>
    </row>
    <row r="544" spans="1:9" ht="15.75" hidden="1" customHeight="1">
      <c r="A544" s="74" t="s">
        <v>615</v>
      </c>
      <c r="B544" s="47" t="s">
        <v>111</v>
      </c>
      <c r="C544" s="37" t="s">
        <v>120</v>
      </c>
      <c r="D544" s="37" t="s">
        <v>105</v>
      </c>
      <c r="E544" s="37" t="s">
        <v>430</v>
      </c>
      <c r="F544" s="37" t="s">
        <v>616</v>
      </c>
      <c r="G544" s="38">
        <f>G545</f>
        <v>0</v>
      </c>
      <c r="H544" s="38">
        <f t="shared" si="144"/>
        <v>0</v>
      </c>
      <c r="I544" s="38">
        <f t="shared" si="144"/>
        <v>0</v>
      </c>
    </row>
    <row r="545" spans="1:9" ht="78.75" hidden="1" customHeight="1">
      <c r="A545" s="74" t="s">
        <v>801</v>
      </c>
      <c r="B545" s="47" t="s">
        <v>111</v>
      </c>
      <c r="C545" s="37" t="s">
        <v>120</v>
      </c>
      <c r="D545" s="37" t="s">
        <v>105</v>
      </c>
      <c r="E545" s="37" t="s">
        <v>430</v>
      </c>
      <c r="F545" s="37" t="s">
        <v>691</v>
      </c>
      <c r="G545" s="38"/>
      <c r="H545" s="38"/>
      <c r="I545" s="38"/>
    </row>
    <row r="546" spans="1:9" ht="78.75" customHeight="1">
      <c r="A546" s="76" t="s">
        <v>548</v>
      </c>
      <c r="B546" s="61" t="s">
        <v>111</v>
      </c>
      <c r="C546" s="53" t="s">
        <v>120</v>
      </c>
      <c r="D546" s="53" t="s">
        <v>105</v>
      </c>
      <c r="E546" s="53" t="s">
        <v>547</v>
      </c>
      <c r="F546" s="53" t="s">
        <v>198</v>
      </c>
      <c r="G546" s="19">
        <f t="shared" ref="G546:I547" si="145">G547</f>
        <v>420</v>
      </c>
      <c r="H546" s="19">
        <f t="shared" si="145"/>
        <v>0</v>
      </c>
      <c r="I546" s="19">
        <f t="shared" si="145"/>
        <v>0</v>
      </c>
    </row>
    <row r="547" spans="1:9" ht="31.5" customHeight="1">
      <c r="A547" s="77" t="s">
        <v>758</v>
      </c>
      <c r="B547" s="58" t="s">
        <v>111</v>
      </c>
      <c r="C547" s="43" t="s">
        <v>120</v>
      </c>
      <c r="D547" s="43" t="s">
        <v>105</v>
      </c>
      <c r="E547" s="43" t="s">
        <v>547</v>
      </c>
      <c r="F547" s="43" t="s">
        <v>759</v>
      </c>
      <c r="G547" s="4">
        <f t="shared" si="145"/>
        <v>420</v>
      </c>
      <c r="H547" s="4">
        <f t="shared" si="145"/>
        <v>0</v>
      </c>
      <c r="I547" s="4">
        <f t="shared" si="145"/>
        <v>0</v>
      </c>
    </row>
    <row r="548" spans="1:9" ht="47.25" customHeight="1">
      <c r="A548" s="77" t="s">
        <v>115</v>
      </c>
      <c r="B548" s="58" t="s">
        <v>111</v>
      </c>
      <c r="C548" s="43" t="s">
        <v>120</v>
      </c>
      <c r="D548" s="43" t="s">
        <v>105</v>
      </c>
      <c r="E548" s="43" t="s">
        <v>547</v>
      </c>
      <c r="F548" s="43" t="s">
        <v>799</v>
      </c>
      <c r="G548" s="4">
        <f>'5'!D301</f>
        <v>420</v>
      </c>
      <c r="H548" s="4">
        <f>'5'!E301</f>
        <v>0</v>
      </c>
      <c r="I548" s="4">
        <f>'5'!F301</f>
        <v>0</v>
      </c>
    </row>
    <row r="549" spans="1:9" ht="19.5" customHeight="1">
      <c r="A549" s="194" t="s">
        <v>192</v>
      </c>
      <c r="B549" s="195">
        <v>951</v>
      </c>
      <c r="C549" s="196" t="s">
        <v>120</v>
      </c>
      <c r="D549" s="196" t="s">
        <v>107</v>
      </c>
      <c r="E549" s="196" t="s">
        <v>601</v>
      </c>
      <c r="F549" s="196" t="s">
        <v>198</v>
      </c>
      <c r="G549" s="197">
        <f>G551+G564+G576+G579+G583+G589</f>
        <v>41697.738179999993</v>
      </c>
      <c r="H549" s="197">
        <f t="shared" ref="H549:I549" si="146">H551+H564+H576+H579+H583+H589</f>
        <v>48199.338483709536</v>
      </c>
      <c r="I549" s="197">
        <f t="shared" si="146"/>
        <v>51557.334249379885</v>
      </c>
    </row>
    <row r="550" spans="1:9" ht="149.25" customHeight="1">
      <c r="A550" s="153" t="s">
        <v>402</v>
      </c>
      <c r="B550" s="198">
        <v>951</v>
      </c>
      <c r="C550" s="150" t="s">
        <v>120</v>
      </c>
      <c r="D550" s="150" t="s">
        <v>107</v>
      </c>
      <c r="E550" s="150" t="s">
        <v>381</v>
      </c>
      <c r="F550" s="150" t="s">
        <v>198</v>
      </c>
      <c r="G550" s="54">
        <f>G551+G564+G570+G556</f>
        <v>39658.429229999994</v>
      </c>
      <c r="H550" s="54">
        <f>H551+H564+H570+H556</f>
        <v>0</v>
      </c>
      <c r="I550" s="54">
        <f>I551+I564+I570+I556</f>
        <v>0</v>
      </c>
    </row>
    <row r="551" spans="1:9" ht="98.25" customHeight="1">
      <c r="A551" s="76" t="s">
        <v>1150</v>
      </c>
      <c r="B551" s="61">
        <v>951</v>
      </c>
      <c r="C551" s="53" t="s">
        <v>120</v>
      </c>
      <c r="D551" s="53" t="s">
        <v>107</v>
      </c>
      <c r="E551" s="43" t="s">
        <v>927</v>
      </c>
      <c r="F551" s="53" t="s">
        <v>198</v>
      </c>
      <c r="G551" s="41">
        <f>G552+G554</f>
        <v>17022.059999999994</v>
      </c>
      <c r="H551" s="41">
        <f>H552+H554</f>
        <v>0</v>
      </c>
      <c r="I551" s="41">
        <f>I552+I554</f>
        <v>0</v>
      </c>
    </row>
    <row r="552" spans="1:9" ht="31.5" hidden="1">
      <c r="A552" s="77" t="s">
        <v>758</v>
      </c>
      <c r="B552" s="58" t="s">
        <v>111</v>
      </c>
      <c r="C552" s="43" t="s">
        <v>120</v>
      </c>
      <c r="D552" s="43" t="s">
        <v>107</v>
      </c>
      <c r="E552" s="43" t="s">
        <v>927</v>
      </c>
      <c r="F552" s="43" t="s">
        <v>759</v>
      </c>
      <c r="G552" s="348">
        <f>G553</f>
        <v>0</v>
      </c>
      <c r="H552" s="348">
        <f>H553</f>
        <v>0</v>
      </c>
      <c r="I552" s="348">
        <f>I553</f>
        <v>0</v>
      </c>
    </row>
    <row r="553" spans="1:9" ht="47.25" hidden="1">
      <c r="A553" s="77" t="s">
        <v>115</v>
      </c>
      <c r="B553" s="58" t="s">
        <v>111</v>
      </c>
      <c r="C553" s="43" t="s">
        <v>120</v>
      </c>
      <c r="D553" s="43" t="s">
        <v>107</v>
      </c>
      <c r="E553" s="43" t="s">
        <v>927</v>
      </c>
      <c r="F553" s="43" t="s">
        <v>799</v>
      </c>
      <c r="G553" s="348">
        <f>'5'!D242</f>
        <v>0</v>
      </c>
      <c r="H553" s="348">
        <f>'5'!E242</f>
        <v>0</v>
      </c>
      <c r="I553" s="348">
        <f>'5'!F242</f>
        <v>0</v>
      </c>
    </row>
    <row r="554" spans="1:9" ht="34.5" customHeight="1">
      <c r="A554" s="370" t="s">
        <v>758</v>
      </c>
      <c r="B554" s="58">
        <v>951</v>
      </c>
      <c r="C554" s="43" t="s">
        <v>120</v>
      </c>
      <c r="D554" s="43" t="s">
        <v>107</v>
      </c>
      <c r="E554" s="43" t="s">
        <v>927</v>
      </c>
      <c r="F554" s="43" t="s">
        <v>759</v>
      </c>
      <c r="G554" s="348">
        <f>G555</f>
        <v>17022.059999999994</v>
      </c>
      <c r="H554" s="348">
        <f>H555</f>
        <v>0</v>
      </c>
      <c r="I554" s="348">
        <f>I555</f>
        <v>0</v>
      </c>
    </row>
    <row r="555" spans="1:9" ht="47.25" customHeight="1">
      <c r="A555" s="370" t="s">
        <v>115</v>
      </c>
      <c r="B555" s="58">
        <v>951</v>
      </c>
      <c r="C555" s="43" t="s">
        <v>120</v>
      </c>
      <c r="D555" s="43" t="s">
        <v>107</v>
      </c>
      <c r="E555" s="43" t="s">
        <v>927</v>
      </c>
      <c r="F555" s="43" t="s">
        <v>799</v>
      </c>
      <c r="G555" s="348">
        <f>'3'!F842</f>
        <v>17022.059999999994</v>
      </c>
      <c r="H555" s="348">
        <f>'3'!G842</f>
        <v>0</v>
      </c>
      <c r="I555" s="348">
        <f>'3'!H842</f>
        <v>0</v>
      </c>
    </row>
    <row r="556" spans="1:9" ht="94.5" hidden="1" customHeight="1">
      <c r="A556" s="76" t="s">
        <v>863</v>
      </c>
      <c r="B556" s="61">
        <v>951</v>
      </c>
      <c r="C556" s="53" t="s">
        <v>120</v>
      </c>
      <c r="D556" s="53" t="s">
        <v>107</v>
      </c>
      <c r="E556" s="53" t="s">
        <v>442</v>
      </c>
      <c r="F556" s="53" t="s">
        <v>198</v>
      </c>
      <c r="G556" s="41">
        <f>G557+G559</f>
        <v>0</v>
      </c>
      <c r="H556" s="41">
        <f>H557+H559</f>
        <v>0</v>
      </c>
      <c r="I556" s="41">
        <f>I557+I559</f>
        <v>0</v>
      </c>
    </row>
    <row r="557" spans="1:9" ht="47.25" hidden="1" customHeight="1">
      <c r="A557" s="77" t="s">
        <v>661</v>
      </c>
      <c r="B557" s="58">
        <v>951</v>
      </c>
      <c r="C557" s="43" t="s">
        <v>120</v>
      </c>
      <c r="D557" s="43" t="s">
        <v>107</v>
      </c>
      <c r="E557" s="43" t="s">
        <v>442</v>
      </c>
      <c r="F557" s="43" t="s">
        <v>662</v>
      </c>
      <c r="G557" s="348">
        <f>G558</f>
        <v>0</v>
      </c>
      <c r="H557" s="348">
        <f>H558</f>
        <v>0</v>
      </c>
      <c r="I557" s="348">
        <f>I558</f>
        <v>0</v>
      </c>
    </row>
    <row r="558" spans="1:9" ht="15.75" hidden="1" customHeight="1">
      <c r="A558" s="77" t="s">
        <v>663</v>
      </c>
      <c r="B558" s="58">
        <v>951</v>
      </c>
      <c r="C558" s="43" t="s">
        <v>120</v>
      </c>
      <c r="D558" s="43" t="s">
        <v>107</v>
      </c>
      <c r="E558" s="43" t="s">
        <v>442</v>
      </c>
      <c r="F558" s="43" t="s">
        <v>664</v>
      </c>
      <c r="G558" s="348">
        <f>'3'!F845</f>
        <v>0</v>
      </c>
      <c r="H558" s="348">
        <f>'3'!G845</f>
        <v>0</v>
      </c>
      <c r="I558" s="348">
        <f>'3'!H845</f>
        <v>0</v>
      </c>
    </row>
    <row r="559" spans="1:9" ht="15.75" hidden="1" customHeight="1">
      <c r="A559" s="77"/>
      <c r="B559" s="58"/>
      <c r="C559" s="43"/>
      <c r="D559" s="43"/>
      <c r="E559" s="43"/>
      <c r="F559" s="43"/>
      <c r="G559" s="348"/>
      <c r="H559" s="348"/>
      <c r="I559" s="348"/>
    </row>
    <row r="560" spans="1:9" ht="15.75" hidden="1" customHeight="1">
      <c r="A560" s="77"/>
      <c r="B560" s="58"/>
      <c r="C560" s="43"/>
      <c r="D560" s="43"/>
      <c r="E560" s="43"/>
      <c r="F560" s="43"/>
      <c r="G560" s="348"/>
      <c r="H560" s="348"/>
      <c r="I560" s="348"/>
    </row>
    <row r="561" spans="1:9" ht="15.75" hidden="1" customHeight="1">
      <c r="A561" s="77"/>
      <c r="B561" s="58"/>
      <c r="C561" s="43"/>
      <c r="D561" s="43"/>
      <c r="E561" s="43"/>
      <c r="F561" s="43"/>
      <c r="G561" s="348"/>
      <c r="H561" s="348"/>
      <c r="I561" s="348"/>
    </row>
    <row r="562" spans="1:9" ht="15.75" hidden="1" customHeight="1">
      <c r="A562" s="77"/>
      <c r="B562" s="58"/>
      <c r="C562" s="43"/>
      <c r="D562" s="43"/>
      <c r="E562" s="43"/>
      <c r="F562" s="43"/>
      <c r="G562" s="348"/>
      <c r="H562" s="348"/>
      <c r="I562" s="348"/>
    </row>
    <row r="563" spans="1:9" ht="15.75" hidden="1" customHeight="1">
      <c r="A563" s="77"/>
      <c r="B563" s="58"/>
      <c r="C563" s="43"/>
      <c r="D563" s="43"/>
      <c r="E563" s="43"/>
      <c r="F563" s="43"/>
      <c r="G563" s="348"/>
      <c r="H563" s="348"/>
      <c r="I563" s="348"/>
    </row>
    <row r="564" spans="1:9" ht="117.75" customHeight="1">
      <c r="A564" s="76" t="s">
        <v>344</v>
      </c>
      <c r="B564" s="58">
        <v>951</v>
      </c>
      <c r="C564" s="43" t="s">
        <v>120</v>
      </c>
      <c r="D564" s="43" t="s">
        <v>107</v>
      </c>
      <c r="E564" s="43" t="s">
        <v>385</v>
      </c>
      <c r="F564" s="53" t="s">
        <v>198</v>
      </c>
      <c r="G564" s="41">
        <f>G565+G567</f>
        <v>22636.36923</v>
      </c>
      <c r="H564" s="41">
        <f>H565+H567</f>
        <v>0</v>
      </c>
      <c r="I564" s="41">
        <f>I565+I567</f>
        <v>0</v>
      </c>
    </row>
    <row r="565" spans="1:9" ht="36" customHeight="1">
      <c r="A565" s="77" t="s">
        <v>611</v>
      </c>
      <c r="B565" s="58" t="s">
        <v>111</v>
      </c>
      <c r="C565" s="43" t="s">
        <v>120</v>
      </c>
      <c r="D565" s="43" t="s">
        <v>107</v>
      </c>
      <c r="E565" s="43" t="s">
        <v>385</v>
      </c>
      <c r="F565" s="43" t="s">
        <v>612</v>
      </c>
      <c r="G565" s="348">
        <f>G566</f>
        <v>500</v>
      </c>
      <c r="H565" s="348">
        <f>H566</f>
        <v>0</v>
      </c>
      <c r="I565" s="348">
        <f>I566</f>
        <v>0</v>
      </c>
    </row>
    <row r="566" spans="1:9" ht="49.5" customHeight="1">
      <c r="A566" s="77" t="s">
        <v>613</v>
      </c>
      <c r="B566" s="58" t="s">
        <v>111</v>
      </c>
      <c r="C566" s="43" t="s">
        <v>120</v>
      </c>
      <c r="D566" s="43" t="s">
        <v>107</v>
      </c>
      <c r="E566" s="43" t="s">
        <v>385</v>
      </c>
      <c r="F566" s="43" t="s">
        <v>614</v>
      </c>
      <c r="G566" s="348">
        <f>'3'!F853</f>
        <v>500</v>
      </c>
      <c r="H566" s="348">
        <f>'3'!G853</f>
        <v>0</v>
      </c>
      <c r="I566" s="348">
        <f>'3'!H853</f>
        <v>0</v>
      </c>
    </row>
    <row r="567" spans="1:9" ht="33" customHeight="1">
      <c r="A567" s="77" t="s">
        <v>758</v>
      </c>
      <c r="B567" s="58">
        <v>951</v>
      </c>
      <c r="C567" s="43" t="s">
        <v>120</v>
      </c>
      <c r="D567" s="43" t="s">
        <v>107</v>
      </c>
      <c r="E567" s="43" t="s">
        <v>385</v>
      </c>
      <c r="F567" s="43" t="s">
        <v>759</v>
      </c>
      <c r="G567" s="348">
        <f>G568+G569</f>
        <v>22136.36923</v>
      </c>
      <c r="H567" s="348">
        <f>H568+H569</f>
        <v>0</v>
      </c>
      <c r="I567" s="348">
        <f>I568+I569</f>
        <v>0</v>
      </c>
    </row>
    <row r="568" spans="1:9" ht="33" customHeight="1">
      <c r="A568" s="77" t="s">
        <v>113</v>
      </c>
      <c r="B568" s="58" t="s">
        <v>111</v>
      </c>
      <c r="C568" s="43" t="s">
        <v>120</v>
      </c>
      <c r="D568" s="43" t="s">
        <v>107</v>
      </c>
      <c r="E568" s="43" t="s">
        <v>385</v>
      </c>
      <c r="F568" s="43" t="s">
        <v>114</v>
      </c>
      <c r="G568" s="348">
        <f>'3'!F855</f>
        <v>19921.36923</v>
      </c>
      <c r="H568" s="348">
        <f>'3'!G855</f>
        <v>0</v>
      </c>
      <c r="I568" s="348">
        <f>'3'!H855</f>
        <v>0</v>
      </c>
    </row>
    <row r="569" spans="1:9" ht="36.75" customHeight="1">
      <c r="A569" s="77" t="s">
        <v>115</v>
      </c>
      <c r="B569" s="58">
        <v>951</v>
      </c>
      <c r="C569" s="43" t="s">
        <v>120</v>
      </c>
      <c r="D569" s="43" t="s">
        <v>107</v>
      </c>
      <c r="E569" s="43" t="s">
        <v>385</v>
      </c>
      <c r="F569" s="43" t="s">
        <v>799</v>
      </c>
      <c r="G569" s="348">
        <f>'3'!F856</f>
        <v>2215</v>
      </c>
      <c r="H569" s="348">
        <f>'3'!G856</f>
        <v>0</v>
      </c>
      <c r="I569" s="348">
        <f>'3'!H856</f>
        <v>0</v>
      </c>
    </row>
    <row r="570" spans="1:9" ht="110.25" hidden="1" customHeight="1">
      <c r="A570" s="76" t="s">
        <v>345</v>
      </c>
      <c r="B570" s="58">
        <v>951</v>
      </c>
      <c r="C570" s="43" t="s">
        <v>120</v>
      </c>
      <c r="D570" s="43" t="s">
        <v>107</v>
      </c>
      <c r="E570" s="43" t="s">
        <v>386</v>
      </c>
      <c r="F570" s="53" t="s">
        <v>198</v>
      </c>
      <c r="G570" s="41">
        <f>G571+G573</f>
        <v>0</v>
      </c>
      <c r="H570" s="41">
        <f>H571+H573</f>
        <v>0</v>
      </c>
      <c r="I570" s="41">
        <f>I571+I573</f>
        <v>0</v>
      </c>
    </row>
    <row r="571" spans="1:9" ht="31.5" hidden="1" customHeight="1">
      <c r="A571" s="77" t="s">
        <v>611</v>
      </c>
      <c r="B571" s="58" t="s">
        <v>111</v>
      </c>
      <c r="C571" s="43" t="s">
        <v>120</v>
      </c>
      <c r="D571" s="43" t="s">
        <v>107</v>
      </c>
      <c r="E571" s="43" t="s">
        <v>386</v>
      </c>
      <c r="F571" s="43" t="s">
        <v>612</v>
      </c>
      <c r="G571" s="348">
        <f>G572</f>
        <v>0</v>
      </c>
      <c r="H571" s="348">
        <f>H572</f>
        <v>0</v>
      </c>
      <c r="I571" s="348">
        <f>I572</f>
        <v>0</v>
      </c>
    </row>
    <row r="572" spans="1:9" ht="47.25" hidden="1" customHeight="1">
      <c r="A572" s="77" t="s">
        <v>613</v>
      </c>
      <c r="B572" s="58" t="s">
        <v>111</v>
      </c>
      <c r="C572" s="43" t="s">
        <v>120</v>
      </c>
      <c r="D572" s="43" t="s">
        <v>107</v>
      </c>
      <c r="E572" s="43" t="s">
        <v>386</v>
      </c>
      <c r="F572" s="43" t="s">
        <v>614</v>
      </c>
      <c r="G572" s="348"/>
      <c r="H572" s="348"/>
      <c r="I572" s="348"/>
    </row>
    <row r="573" spans="1:9" ht="31.5" hidden="1" customHeight="1">
      <c r="A573" s="77" t="s">
        <v>758</v>
      </c>
      <c r="B573" s="58">
        <v>951</v>
      </c>
      <c r="C573" s="43" t="s">
        <v>120</v>
      </c>
      <c r="D573" s="43" t="s">
        <v>107</v>
      </c>
      <c r="E573" s="43" t="s">
        <v>386</v>
      </c>
      <c r="F573" s="43" t="s">
        <v>759</v>
      </c>
      <c r="G573" s="348">
        <f>G574</f>
        <v>0</v>
      </c>
      <c r="H573" s="348">
        <f>H574</f>
        <v>0</v>
      </c>
      <c r="I573" s="348">
        <f>I574</f>
        <v>0</v>
      </c>
    </row>
    <row r="574" spans="1:9" ht="31.5" hidden="1" customHeight="1">
      <c r="A574" s="77" t="s">
        <v>113</v>
      </c>
      <c r="B574" s="58">
        <v>951</v>
      </c>
      <c r="C574" s="43" t="s">
        <v>120</v>
      </c>
      <c r="D574" s="43" t="s">
        <v>107</v>
      </c>
      <c r="E574" s="43" t="s">
        <v>386</v>
      </c>
      <c r="F574" s="43" t="s">
        <v>114</v>
      </c>
      <c r="G574" s="348"/>
      <c r="H574" s="348"/>
      <c r="I574" s="348"/>
    </row>
    <row r="575" spans="1:9" s="200" customFormat="1" ht="66.75" customHeight="1">
      <c r="A575" s="76" t="s">
        <v>571</v>
      </c>
      <c r="B575" s="61">
        <v>951</v>
      </c>
      <c r="C575" s="53" t="s">
        <v>120</v>
      </c>
      <c r="D575" s="53" t="s">
        <v>107</v>
      </c>
      <c r="E575" s="43" t="s">
        <v>572</v>
      </c>
      <c r="F575" s="43" t="s">
        <v>198</v>
      </c>
      <c r="G575" s="348">
        <f>G579+G576</f>
        <v>2039.3089499999999</v>
      </c>
      <c r="H575" s="348">
        <f>H579+H576</f>
        <v>1652.9814337095372</v>
      </c>
      <c r="I575" s="348">
        <f>I579+I576</f>
        <v>2206.234999379883</v>
      </c>
    </row>
    <row r="576" spans="1:9" s="200" customFormat="1" ht="69.75" customHeight="1">
      <c r="A576" s="76" t="s">
        <v>890</v>
      </c>
      <c r="B576" s="61">
        <v>951</v>
      </c>
      <c r="C576" s="53" t="s">
        <v>120</v>
      </c>
      <c r="D576" s="53" t="s">
        <v>107</v>
      </c>
      <c r="E576" s="43" t="s">
        <v>573</v>
      </c>
      <c r="F576" s="43" t="s">
        <v>198</v>
      </c>
      <c r="G576" s="348">
        <f>G577</f>
        <v>1018.1385399999999</v>
      </c>
      <c r="H576" s="348">
        <f t="shared" ref="H576:I577" si="147">H577</f>
        <v>1332.7989299999999</v>
      </c>
      <c r="I576" s="348">
        <f t="shared" si="147"/>
        <v>1778.8872799999997</v>
      </c>
    </row>
    <row r="577" spans="1:10" s="200" customFormat="1" ht="36.75" customHeight="1">
      <c r="A577" s="77" t="s">
        <v>758</v>
      </c>
      <c r="B577" s="61">
        <v>951</v>
      </c>
      <c r="C577" s="53" t="s">
        <v>120</v>
      </c>
      <c r="D577" s="53" t="s">
        <v>107</v>
      </c>
      <c r="E577" s="43" t="s">
        <v>573</v>
      </c>
      <c r="F577" s="43" t="s">
        <v>759</v>
      </c>
      <c r="G577" s="348">
        <f>G578</f>
        <v>1018.1385399999999</v>
      </c>
      <c r="H577" s="348">
        <f t="shared" si="147"/>
        <v>1332.7989299999999</v>
      </c>
      <c r="I577" s="348">
        <f t="shared" si="147"/>
        <v>1778.8872799999997</v>
      </c>
    </row>
    <row r="578" spans="1:10" s="200" customFormat="1" ht="53.25" customHeight="1">
      <c r="A578" s="77" t="s">
        <v>115</v>
      </c>
      <c r="B578" s="61">
        <v>951</v>
      </c>
      <c r="C578" s="53" t="s">
        <v>120</v>
      </c>
      <c r="D578" s="53" t="s">
        <v>107</v>
      </c>
      <c r="E578" s="43" t="s">
        <v>573</v>
      </c>
      <c r="F578" s="43" t="s">
        <v>799</v>
      </c>
      <c r="G578" s="348">
        <f>'5'!D250</f>
        <v>1018.1385399999999</v>
      </c>
      <c r="H578" s="348">
        <f>'5'!E250</f>
        <v>1332.7989299999999</v>
      </c>
      <c r="I578" s="348">
        <f>'5'!F250</f>
        <v>1778.8872799999997</v>
      </c>
    </row>
    <row r="579" spans="1:10" ht="31.5" customHeight="1">
      <c r="A579" s="162" t="s">
        <v>758</v>
      </c>
      <c r="B579" s="61">
        <v>951</v>
      </c>
      <c r="C579" s="53" t="s">
        <v>120</v>
      </c>
      <c r="D579" s="53" t="s">
        <v>107</v>
      </c>
      <c r="E579" s="43" t="s">
        <v>573</v>
      </c>
      <c r="F579" s="43" t="s">
        <v>759</v>
      </c>
      <c r="G579" s="348">
        <f>G580</f>
        <v>1021.1704099999999</v>
      </c>
      <c r="H579" s="348">
        <f>H580</f>
        <v>320.1825037095374</v>
      </c>
      <c r="I579" s="348">
        <f>I580</f>
        <v>427.34771937988342</v>
      </c>
    </row>
    <row r="580" spans="1:10" ht="47.25">
      <c r="A580" s="77" t="s">
        <v>115</v>
      </c>
      <c r="B580" s="61">
        <v>951</v>
      </c>
      <c r="C580" s="53" t="s">
        <v>120</v>
      </c>
      <c r="D580" s="53" t="s">
        <v>107</v>
      </c>
      <c r="E580" s="43" t="s">
        <v>573</v>
      </c>
      <c r="F580" s="43" t="s">
        <v>799</v>
      </c>
      <c r="G580" s="348">
        <f>'5'!D251</f>
        <v>1021.1704099999999</v>
      </c>
      <c r="H580" s="348">
        <f>'5'!E251</f>
        <v>320.1825037095374</v>
      </c>
      <c r="I580" s="348">
        <f>'5'!F251</f>
        <v>427.34771937988342</v>
      </c>
    </row>
    <row r="581" spans="1:10" ht="52.5" customHeight="1">
      <c r="A581" s="153" t="s">
        <v>604</v>
      </c>
      <c r="B581" s="198">
        <v>951</v>
      </c>
      <c r="C581" s="150" t="s">
        <v>120</v>
      </c>
      <c r="D581" s="150" t="s">
        <v>107</v>
      </c>
      <c r="E581" s="150" t="s">
        <v>2</v>
      </c>
      <c r="F581" s="150" t="s">
        <v>198</v>
      </c>
      <c r="G581" s="54">
        <f>G582</f>
        <v>0</v>
      </c>
      <c r="H581" s="54">
        <f t="shared" ref="H581" si="148">H582</f>
        <v>46546.357049999999</v>
      </c>
      <c r="I581" s="54">
        <f>I582</f>
        <v>49351.099249999999</v>
      </c>
    </row>
    <row r="582" spans="1:10" s="200" customFormat="1" ht="52.5" customHeight="1">
      <c r="A582" s="76" t="s">
        <v>104</v>
      </c>
      <c r="B582" s="61">
        <v>951</v>
      </c>
      <c r="C582" s="53" t="s">
        <v>120</v>
      </c>
      <c r="D582" s="53" t="s">
        <v>107</v>
      </c>
      <c r="E582" s="53" t="s">
        <v>2</v>
      </c>
      <c r="F582" s="53" t="s">
        <v>198</v>
      </c>
      <c r="G582" s="41">
        <f>G583+G586+G589</f>
        <v>0</v>
      </c>
      <c r="H582" s="41">
        <f>H583+H586+H589</f>
        <v>46546.357049999999</v>
      </c>
      <c r="I582" s="41">
        <f>I583+I586+I589</f>
        <v>49351.099249999999</v>
      </c>
    </row>
    <row r="583" spans="1:10" ht="98.25" customHeight="1">
      <c r="A583" s="76" t="s">
        <v>862</v>
      </c>
      <c r="B583" s="61" t="s">
        <v>111</v>
      </c>
      <c r="C583" s="53" t="s">
        <v>120</v>
      </c>
      <c r="D583" s="53" t="s">
        <v>107</v>
      </c>
      <c r="E583" s="43" t="s">
        <v>928</v>
      </c>
      <c r="F583" s="43" t="s">
        <v>198</v>
      </c>
      <c r="G583" s="348">
        <f>G584</f>
        <v>0</v>
      </c>
      <c r="H583" s="348">
        <f t="shared" ref="H583:I583" si="149">H584</f>
        <v>20890.3344</v>
      </c>
      <c r="I583" s="348">
        <f t="shared" si="149"/>
        <v>20890.3344</v>
      </c>
    </row>
    <row r="584" spans="1:10" ht="55.5" customHeight="1">
      <c r="A584" s="77" t="s">
        <v>661</v>
      </c>
      <c r="B584" s="61">
        <v>951</v>
      </c>
      <c r="C584" s="53" t="s">
        <v>120</v>
      </c>
      <c r="D584" s="53" t="s">
        <v>107</v>
      </c>
      <c r="E584" s="43" t="s">
        <v>928</v>
      </c>
      <c r="F584" s="43" t="s">
        <v>662</v>
      </c>
      <c r="G584" s="348">
        <f>G585</f>
        <v>0</v>
      </c>
      <c r="H584" s="348">
        <f t="shared" ref="H584:I584" si="150">H585</f>
        <v>20890.3344</v>
      </c>
      <c r="I584" s="348">
        <f t="shared" si="150"/>
        <v>20890.3344</v>
      </c>
    </row>
    <row r="585" spans="1:10" ht="18" customHeight="1">
      <c r="A585" s="77" t="s">
        <v>663</v>
      </c>
      <c r="B585" s="61" t="s">
        <v>111</v>
      </c>
      <c r="C585" s="53" t="s">
        <v>120</v>
      </c>
      <c r="D585" s="53" t="s">
        <v>107</v>
      </c>
      <c r="E585" s="43" t="s">
        <v>928</v>
      </c>
      <c r="F585" s="43" t="s">
        <v>664</v>
      </c>
      <c r="G585" s="348">
        <v>0</v>
      </c>
      <c r="H585" s="348">
        <v>20890.3344</v>
      </c>
      <c r="I585" s="348">
        <v>20890.3344</v>
      </c>
    </row>
    <row r="586" spans="1:10" ht="94.5" hidden="1" customHeight="1">
      <c r="A586" s="76" t="s">
        <v>863</v>
      </c>
      <c r="B586" s="58">
        <v>951</v>
      </c>
      <c r="C586" s="43" t="s">
        <v>120</v>
      </c>
      <c r="D586" s="43" t="s">
        <v>107</v>
      </c>
      <c r="E586" s="43" t="s">
        <v>461</v>
      </c>
      <c r="F586" s="43" t="s">
        <v>198</v>
      </c>
      <c r="G586" s="348">
        <f>G587</f>
        <v>0</v>
      </c>
      <c r="H586" s="348">
        <f t="shared" ref="H586:I587" si="151">H587</f>
        <v>0</v>
      </c>
      <c r="I586" s="348">
        <f t="shared" si="151"/>
        <v>0</v>
      </c>
    </row>
    <row r="587" spans="1:10" ht="47.25" hidden="1" customHeight="1">
      <c r="A587" s="77" t="s">
        <v>661</v>
      </c>
      <c r="B587" s="58">
        <v>951</v>
      </c>
      <c r="C587" s="43" t="s">
        <v>120</v>
      </c>
      <c r="D587" s="43" t="s">
        <v>107</v>
      </c>
      <c r="E587" s="43" t="s">
        <v>461</v>
      </c>
      <c r="F587" s="43" t="s">
        <v>662</v>
      </c>
      <c r="G587" s="348">
        <f>G588</f>
        <v>0</v>
      </c>
      <c r="H587" s="348">
        <f t="shared" si="151"/>
        <v>0</v>
      </c>
      <c r="I587" s="348">
        <f t="shared" si="151"/>
        <v>0</v>
      </c>
    </row>
    <row r="588" spans="1:10" ht="15.75" hidden="1" customHeight="1">
      <c r="A588" s="77" t="s">
        <v>663</v>
      </c>
      <c r="B588" s="58">
        <v>951</v>
      </c>
      <c r="C588" s="43" t="s">
        <v>120</v>
      </c>
      <c r="D588" s="43" t="s">
        <v>107</v>
      </c>
      <c r="E588" s="43" t="s">
        <v>461</v>
      </c>
      <c r="F588" s="43" t="s">
        <v>664</v>
      </c>
      <c r="G588" s="348">
        <v>0</v>
      </c>
      <c r="H588" s="348">
        <v>0</v>
      </c>
      <c r="I588" s="348">
        <v>0</v>
      </c>
    </row>
    <row r="589" spans="1:10" ht="118.5" customHeight="1">
      <c r="A589" s="76" t="s">
        <v>344</v>
      </c>
      <c r="B589" s="58">
        <v>951</v>
      </c>
      <c r="C589" s="43" t="s">
        <v>120</v>
      </c>
      <c r="D589" s="43" t="s">
        <v>107</v>
      </c>
      <c r="E589" s="43" t="s">
        <v>351</v>
      </c>
      <c r="F589" s="53" t="s">
        <v>198</v>
      </c>
      <c r="G589" s="348">
        <f>G590+G592</f>
        <v>0</v>
      </c>
      <c r="H589" s="348">
        <f>H590+H592</f>
        <v>25656.022649999999</v>
      </c>
      <c r="I589" s="348">
        <f t="shared" ref="I589" si="152">I590+I592</f>
        <v>28460.76485</v>
      </c>
      <c r="J589" s="90"/>
    </row>
    <row r="590" spans="1:10" ht="33" customHeight="1">
      <c r="A590" s="77" t="s">
        <v>611</v>
      </c>
      <c r="B590" s="58" t="s">
        <v>111</v>
      </c>
      <c r="C590" s="43" t="s">
        <v>120</v>
      </c>
      <c r="D590" s="43" t="s">
        <v>107</v>
      </c>
      <c r="E590" s="43" t="s">
        <v>351</v>
      </c>
      <c r="F590" s="43" t="s">
        <v>612</v>
      </c>
      <c r="G590" s="348">
        <f>G591</f>
        <v>0</v>
      </c>
      <c r="H590" s="348">
        <f t="shared" ref="H590:I590" si="153">H591</f>
        <v>700</v>
      </c>
      <c r="I590" s="348">
        <f t="shared" si="153"/>
        <v>700</v>
      </c>
    </row>
    <row r="591" spans="1:10" ht="54.75" customHeight="1">
      <c r="A591" s="74" t="s">
        <v>613</v>
      </c>
      <c r="B591" s="47" t="s">
        <v>111</v>
      </c>
      <c r="C591" s="37" t="s">
        <v>120</v>
      </c>
      <c r="D591" s="37" t="s">
        <v>107</v>
      </c>
      <c r="E591" s="37" t="s">
        <v>351</v>
      </c>
      <c r="F591" s="37" t="s">
        <v>614</v>
      </c>
      <c r="G591" s="348">
        <v>0</v>
      </c>
      <c r="H591" s="348">
        <f>'3'!G879</f>
        <v>700</v>
      </c>
      <c r="I591" s="348">
        <f>'3'!H879</f>
        <v>700</v>
      </c>
    </row>
    <row r="592" spans="1:10" ht="35.25" customHeight="1">
      <c r="A592" s="74" t="s">
        <v>758</v>
      </c>
      <c r="B592" s="47">
        <v>951</v>
      </c>
      <c r="C592" s="37" t="s">
        <v>120</v>
      </c>
      <c r="D592" s="37" t="s">
        <v>107</v>
      </c>
      <c r="E592" s="37" t="s">
        <v>351</v>
      </c>
      <c r="F592" s="37" t="s">
        <v>759</v>
      </c>
      <c r="G592" s="348">
        <f>G593+G594</f>
        <v>0</v>
      </c>
      <c r="H592" s="348">
        <f t="shared" ref="H592:I592" si="154">H593+H594</f>
        <v>24956.022649999999</v>
      </c>
      <c r="I592" s="348">
        <f t="shared" si="154"/>
        <v>27760.76485</v>
      </c>
    </row>
    <row r="593" spans="1:12" ht="36.75" customHeight="1">
      <c r="A593" s="74" t="s">
        <v>113</v>
      </c>
      <c r="B593" s="47" t="s">
        <v>111</v>
      </c>
      <c r="C593" s="37" t="s">
        <v>120</v>
      </c>
      <c r="D593" s="37" t="s">
        <v>107</v>
      </c>
      <c r="E593" s="37" t="s">
        <v>351</v>
      </c>
      <c r="F593" s="37" t="s">
        <v>114</v>
      </c>
      <c r="G593" s="348">
        <v>0</v>
      </c>
      <c r="H593" s="348">
        <f>'3'!G881</f>
        <v>22606.022649999999</v>
      </c>
      <c r="I593" s="348">
        <f>'3'!H881</f>
        <v>25260.76485</v>
      </c>
    </row>
    <row r="594" spans="1:12" ht="54.75" customHeight="1">
      <c r="A594" s="74" t="s">
        <v>115</v>
      </c>
      <c r="B594" s="47">
        <v>951</v>
      </c>
      <c r="C594" s="37" t="s">
        <v>120</v>
      </c>
      <c r="D594" s="37" t="s">
        <v>107</v>
      </c>
      <c r="E594" s="37" t="s">
        <v>351</v>
      </c>
      <c r="F594" s="37" t="s">
        <v>799</v>
      </c>
      <c r="G594" s="348">
        <v>0</v>
      </c>
      <c r="H594" s="348">
        <f>'3'!G882</f>
        <v>2350</v>
      </c>
      <c r="I594" s="348">
        <f>'3'!H882</f>
        <v>2500</v>
      </c>
    </row>
    <row r="595" spans="1:12" ht="15.75" hidden="1" customHeight="1">
      <c r="A595" s="74"/>
      <c r="B595" s="201"/>
      <c r="C595" s="2"/>
      <c r="D595" s="2"/>
      <c r="E595" s="43"/>
      <c r="F595" s="37"/>
      <c r="G595" s="38"/>
      <c r="H595" s="38"/>
      <c r="I595" s="38"/>
    </row>
    <row r="596" spans="1:12" ht="34.5" customHeight="1">
      <c r="A596" s="87" t="s">
        <v>925</v>
      </c>
      <c r="B596" s="203" t="s">
        <v>111</v>
      </c>
      <c r="C596" s="157" t="s">
        <v>120</v>
      </c>
      <c r="D596" s="157" t="s">
        <v>622</v>
      </c>
      <c r="E596" s="157" t="s">
        <v>601</v>
      </c>
      <c r="F596" s="157" t="s">
        <v>198</v>
      </c>
      <c r="G596" s="158">
        <f>G599</f>
        <v>2610.29</v>
      </c>
      <c r="H596" s="158">
        <f t="shared" ref="H596:I596" si="155">H599</f>
        <v>2717.473</v>
      </c>
      <c r="I596" s="158">
        <f t="shared" si="155"/>
        <v>2819.8680000000004</v>
      </c>
    </row>
    <row r="597" spans="1:12" ht="33" customHeight="1">
      <c r="A597" s="74" t="str">
        <f>A410</f>
        <v>Непрограммные направления деятельности органов местного самоуправления</v>
      </c>
      <c r="B597" s="201">
        <v>951</v>
      </c>
      <c r="C597" s="2" t="s">
        <v>120</v>
      </c>
      <c r="D597" s="2" t="s">
        <v>622</v>
      </c>
      <c r="E597" s="37" t="s">
        <v>1</v>
      </c>
      <c r="F597" s="37" t="s">
        <v>198</v>
      </c>
      <c r="G597" s="38">
        <f>G598</f>
        <v>2610.29</v>
      </c>
      <c r="H597" s="38">
        <f t="shared" ref="H597:I597" si="156">H598</f>
        <v>2717.473</v>
      </c>
      <c r="I597" s="38">
        <f t="shared" si="156"/>
        <v>2819.8680000000004</v>
      </c>
    </row>
    <row r="598" spans="1:12" ht="48.75" customHeight="1">
      <c r="A598" s="77" t="str">
        <f>A411</f>
        <v>Мероприятия непрограммных направлений деятельности органов местного самоуправления</v>
      </c>
      <c r="B598" s="61">
        <v>951</v>
      </c>
      <c r="C598" s="53" t="s">
        <v>120</v>
      </c>
      <c r="D598" s="53" t="s">
        <v>622</v>
      </c>
      <c r="E598" s="43" t="s">
        <v>2</v>
      </c>
      <c r="F598" s="43" t="s">
        <v>198</v>
      </c>
      <c r="G598" s="348">
        <f>G599</f>
        <v>2610.29</v>
      </c>
      <c r="H598" s="348">
        <f t="shared" ref="H598:I598" si="157">H599</f>
        <v>2717.473</v>
      </c>
      <c r="I598" s="348">
        <f t="shared" si="157"/>
        <v>2819.8680000000004</v>
      </c>
    </row>
    <row r="599" spans="1:12" s="200" customFormat="1" ht="84.75" customHeight="1">
      <c r="A599" s="76" t="str">
        <f>A417</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99" s="61">
        <v>951</v>
      </c>
      <c r="C599" s="53" t="s">
        <v>120</v>
      </c>
      <c r="D599" s="53" t="s">
        <v>622</v>
      </c>
      <c r="E599" s="53" t="s">
        <v>350</v>
      </c>
      <c r="F599" s="53" t="s">
        <v>198</v>
      </c>
      <c r="G599" s="41">
        <f>G600+G602</f>
        <v>2610.29</v>
      </c>
      <c r="H599" s="41">
        <f t="shared" ref="H599:I599" si="158">H600+H602</f>
        <v>2717.473</v>
      </c>
      <c r="I599" s="41">
        <f t="shared" si="158"/>
        <v>2819.8680000000004</v>
      </c>
    </row>
    <row r="600" spans="1:12" ht="96.75" customHeight="1">
      <c r="A600" s="77" t="s">
        <v>605</v>
      </c>
      <c r="B600" s="61">
        <v>951</v>
      </c>
      <c r="C600" s="53" t="s">
        <v>120</v>
      </c>
      <c r="D600" s="53" t="s">
        <v>622</v>
      </c>
      <c r="E600" s="43" t="s">
        <v>350</v>
      </c>
      <c r="F600" s="43" t="s">
        <v>606</v>
      </c>
      <c r="G600" s="348">
        <f>G601</f>
        <v>2314.6950000000002</v>
      </c>
      <c r="H600" s="348">
        <f t="shared" ref="H600:I600" si="159">H601</f>
        <v>2314.6959999999999</v>
      </c>
      <c r="I600" s="348">
        <f t="shared" si="159"/>
        <v>2314.6950000000002</v>
      </c>
    </row>
    <row r="601" spans="1:12" ht="48.75" customHeight="1">
      <c r="A601" s="74" t="s">
        <v>607</v>
      </c>
      <c r="B601" s="201">
        <v>951</v>
      </c>
      <c r="C601" s="2" t="s">
        <v>120</v>
      </c>
      <c r="D601" s="2" t="s">
        <v>622</v>
      </c>
      <c r="E601" s="37" t="s">
        <v>350</v>
      </c>
      <c r="F601" s="37" t="s">
        <v>608</v>
      </c>
      <c r="G601" s="38">
        <f>'3'!F887</f>
        <v>2314.6950000000002</v>
      </c>
      <c r="H601" s="38">
        <f>'3'!G887</f>
        <v>2314.6959999999999</v>
      </c>
      <c r="I601" s="38">
        <f>'3'!H887</f>
        <v>2314.6950000000002</v>
      </c>
    </row>
    <row r="602" spans="1:12" ht="35.25" customHeight="1">
      <c r="A602" s="74" t="s">
        <v>611</v>
      </c>
      <c r="B602" s="201">
        <v>951</v>
      </c>
      <c r="C602" s="2" t="s">
        <v>120</v>
      </c>
      <c r="D602" s="2" t="s">
        <v>622</v>
      </c>
      <c r="E602" s="37" t="s">
        <v>350</v>
      </c>
      <c r="F602" s="37" t="s">
        <v>612</v>
      </c>
      <c r="G602" s="38">
        <f>G603</f>
        <v>295.59500000000003</v>
      </c>
      <c r="H602" s="38">
        <f t="shared" ref="H602:I602" si="160">H603</f>
        <v>402.77699999999993</v>
      </c>
      <c r="I602" s="38">
        <f t="shared" si="160"/>
        <v>505.173</v>
      </c>
    </row>
    <row r="603" spans="1:12" ht="51.75" customHeight="1">
      <c r="A603" s="74" t="s">
        <v>613</v>
      </c>
      <c r="B603" s="201">
        <v>951</v>
      </c>
      <c r="C603" s="2" t="s">
        <v>120</v>
      </c>
      <c r="D603" s="2" t="s">
        <v>622</v>
      </c>
      <c r="E603" s="37" t="s">
        <v>350</v>
      </c>
      <c r="F603" s="37" t="s">
        <v>614</v>
      </c>
      <c r="G603" s="38">
        <f>'3'!F889</f>
        <v>295.59500000000003</v>
      </c>
      <c r="H603" s="38">
        <f>'3'!G889</f>
        <v>402.77699999999993</v>
      </c>
      <c r="I603" s="38">
        <f>'3'!H889</f>
        <v>505.173</v>
      </c>
    </row>
    <row r="604" spans="1:12">
      <c r="A604" s="73" t="s">
        <v>806</v>
      </c>
      <c r="B604" s="191">
        <v>951</v>
      </c>
      <c r="C604" s="34" t="s">
        <v>627</v>
      </c>
      <c r="D604" s="34" t="s">
        <v>103</v>
      </c>
      <c r="E604" s="34" t="s">
        <v>601</v>
      </c>
      <c r="F604" s="34" t="s">
        <v>198</v>
      </c>
      <c r="G604" s="35">
        <f>G605</f>
        <v>250</v>
      </c>
      <c r="H604" s="35">
        <f t="shared" ref="H604:I604" si="161">H605</f>
        <v>250</v>
      </c>
      <c r="I604" s="35">
        <f t="shared" si="161"/>
        <v>300</v>
      </c>
      <c r="J604" s="90"/>
      <c r="K604" s="90"/>
      <c r="L604" s="90"/>
    </row>
    <row r="605" spans="1:12">
      <c r="A605" s="194" t="s">
        <v>807</v>
      </c>
      <c r="B605" s="195">
        <v>951</v>
      </c>
      <c r="C605" s="196" t="s">
        <v>627</v>
      </c>
      <c r="D605" s="196" t="s">
        <v>603</v>
      </c>
      <c r="E605" s="196" t="s">
        <v>601</v>
      </c>
      <c r="F605" s="196" t="s">
        <v>198</v>
      </c>
      <c r="G605" s="197">
        <f>G607+G638+G641</f>
        <v>250</v>
      </c>
      <c r="H605" s="197">
        <f t="shared" ref="H605:I605" si="162">H607+H638+H641</f>
        <v>250</v>
      </c>
      <c r="I605" s="197">
        <f t="shared" si="162"/>
        <v>300</v>
      </c>
    </row>
    <row r="606" spans="1:12" ht="68.25" customHeight="1">
      <c r="A606" s="76" t="s">
        <v>510</v>
      </c>
      <c r="B606" s="61">
        <v>951</v>
      </c>
      <c r="C606" s="53" t="s">
        <v>627</v>
      </c>
      <c r="D606" s="53" t="s">
        <v>603</v>
      </c>
      <c r="E606" s="53" t="s">
        <v>67</v>
      </c>
      <c r="F606" s="53" t="s">
        <v>198</v>
      </c>
      <c r="G606" s="41">
        <f>G607+G610+G621+G626+G630+G637+G644</f>
        <v>250</v>
      </c>
      <c r="H606" s="41">
        <f>H607+H610+H626+H630+H637+H644</f>
        <v>250</v>
      </c>
      <c r="I606" s="41">
        <f>I607+I610+I626+I630+I637+I644</f>
        <v>300</v>
      </c>
    </row>
    <row r="607" spans="1:12" ht="34.5" customHeight="1">
      <c r="A607" s="77" t="s">
        <v>808</v>
      </c>
      <c r="B607" s="58">
        <v>951</v>
      </c>
      <c r="C607" s="43" t="s">
        <v>627</v>
      </c>
      <c r="D607" s="43" t="s">
        <v>603</v>
      </c>
      <c r="E607" s="43" t="s">
        <v>68</v>
      </c>
      <c r="F607" s="43" t="s">
        <v>198</v>
      </c>
      <c r="G607" s="348">
        <f>G608</f>
        <v>250</v>
      </c>
      <c r="H607" s="348">
        <f t="shared" ref="H607:I608" si="163">H608</f>
        <v>250</v>
      </c>
      <c r="I607" s="348">
        <f t="shared" si="163"/>
        <v>300</v>
      </c>
    </row>
    <row r="608" spans="1:12" ht="35.25" customHeight="1">
      <c r="A608" s="77" t="s">
        <v>611</v>
      </c>
      <c r="B608" s="58">
        <v>951</v>
      </c>
      <c r="C608" s="43" t="s">
        <v>627</v>
      </c>
      <c r="D608" s="43" t="s">
        <v>603</v>
      </c>
      <c r="E608" s="43" t="s">
        <v>68</v>
      </c>
      <c r="F608" s="43" t="s">
        <v>612</v>
      </c>
      <c r="G608" s="348">
        <f>G609</f>
        <v>250</v>
      </c>
      <c r="H608" s="348">
        <f t="shared" si="163"/>
        <v>250</v>
      </c>
      <c r="I608" s="348">
        <f t="shared" si="163"/>
        <v>300</v>
      </c>
    </row>
    <row r="609" spans="1:9" ht="51.75" customHeight="1">
      <c r="A609" s="77" t="s">
        <v>613</v>
      </c>
      <c r="B609" s="58">
        <v>951</v>
      </c>
      <c r="C609" s="43" t="s">
        <v>627</v>
      </c>
      <c r="D609" s="43" t="s">
        <v>603</v>
      </c>
      <c r="E609" s="43" t="s">
        <v>68</v>
      </c>
      <c r="F609" s="43" t="s">
        <v>614</v>
      </c>
      <c r="G609" s="348">
        <f>'5'!D130</f>
        <v>250</v>
      </c>
      <c r="H609" s="348">
        <f>'5'!E130</f>
        <v>250</v>
      </c>
      <c r="I609" s="348">
        <f>'5'!F130</f>
        <v>300</v>
      </c>
    </row>
    <row r="610" spans="1:9" ht="47.25" hidden="1">
      <c r="A610" s="81" t="s">
        <v>306</v>
      </c>
      <c r="B610" s="58">
        <v>951</v>
      </c>
      <c r="C610" s="59" t="s">
        <v>627</v>
      </c>
      <c r="D610" s="59" t="s">
        <v>603</v>
      </c>
      <c r="E610" s="59" t="s">
        <v>67</v>
      </c>
      <c r="F610" s="59" t="s">
        <v>198</v>
      </c>
      <c r="G610" s="96">
        <f>G611+G616</f>
        <v>0</v>
      </c>
      <c r="H610" s="96">
        <f>H611+H616</f>
        <v>0</v>
      </c>
      <c r="I610" s="96">
        <f>I611+I616</f>
        <v>0</v>
      </c>
    </row>
    <row r="611" spans="1:9" ht="78.75" hidden="1">
      <c r="A611" s="76" t="s">
        <v>809</v>
      </c>
      <c r="B611" s="58">
        <v>951</v>
      </c>
      <c r="C611" s="53" t="s">
        <v>627</v>
      </c>
      <c r="D611" s="53" t="s">
        <v>603</v>
      </c>
      <c r="E611" s="53" t="s">
        <v>307</v>
      </c>
      <c r="F611" s="53" t="s">
        <v>198</v>
      </c>
      <c r="G611" s="41">
        <f>G612+G614</f>
        <v>0</v>
      </c>
      <c r="H611" s="41">
        <f>H612+H614</f>
        <v>0</v>
      </c>
      <c r="I611" s="41">
        <f>I612+I614</f>
        <v>0</v>
      </c>
    </row>
    <row r="612" spans="1:9" ht="47.25" hidden="1">
      <c r="A612" s="77" t="s">
        <v>661</v>
      </c>
      <c r="B612" s="58">
        <v>951</v>
      </c>
      <c r="C612" s="43" t="s">
        <v>627</v>
      </c>
      <c r="D612" s="43" t="s">
        <v>603</v>
      </c>
      <c r="E612" s="43" t="s">
        <v>307</v>
      </c>
      <c r="F612" s="43" t="s">
        <v>662</v>
      </c>
      <c r="G612" s="348">
        <f>G613</f>
        <v>0</v>
      </c>
      <c r="H612" s="348">
        <f>H613</f>
        <v>0</v>
      </c>
      <c r="I612" s="348">
        <f>I613</f>
        <v>0</v>
      </c>
    </row>
    <row r="613" spans="1:9" hidden="1">
      <c r="A613" s="77" t="s">
        <v>663</v>
      </c>
      <c r="B613" s="58">
        <v>951</v>
      </c>
      <c r="C613" s="43" t="s">
        <v>627</v>
      </c>
      <c r="D613" s="43" t="s">
        <v>603</v>
      </c>
      <c r="E613" s="43" t="s">
        <v>307</v>
      </c>
      <c r="F613" s="43" t="s">
        <v>664</v>
      </c>
      <c r="G613" s="348"/>
      <c r="H613" s="348"/>
      <c r="I613" s="348"/>
    </row>
    <row r="614" spans="1:9" ht="47.25" hidden="1">
      <c r="A614" s="77" t="s">
        <v>811</v>
      </c>
      <c r="B614" s="58">
        <v>952</v>
      </c>
      <c r="C614" s="43" t="s">
        <v>627</v>
      </c>
      <c r="D614" s="43" t="s">
        <v>603</v>
      </c>
      <c r="E614" s="43" t="s">
        <v>307</v>
      </c>
      <c r="F614" s="43" t="s">
        <v>648</v>
      </c>
      <c r="G614" s="348">
        <f>G615</f>
        <v>0</v>
      </c>
      <c r="H614" s="348">
        <f>H615</f>
        <v>0</v>
      </c>
      <c r="I614" s="348">
        <f>I615</f>
        <v>0</v>
      </c>
    </row>
    <row r="615" spans="1:9" ht="15.75" hidden="1" customHeight="1">
      <c r="A615" s="77" t="s">
        <v>110</v>
      </c>
      <c r="B615" s="58">
        <v>953</v>
      </c>
      <c r="C615" s="43" t="s">
        <v>627</v>
      </c>
      <c r="D615" s="43" t="s">
        <v>603</v>
      </c>
      <c r="E615" s="43" t="s">
        <v>307</v>
      </c>
      <c r="F615" s="43" t="s">
        <v>156</v>
      </c>
      <c r="G615" s="348"/>
      <c r="H615" s="348"/>
      <c r="I615" s="348"/>
    </row>
    <row r="616" spans="1:9" ht="110.25" hidden="1" customHeight="1">
      <c r="A616" s="76" t="s">
        <v>812</v>
      </c>
      <c r="B616" s="58">
        <v>951</v>
      </c>
      <c r="C616" s="53" t="s">
        <v>627</v>
      </c>
      <c r="D616" s="53" t="s">
        <v>603</v>
      </c>
      <c r="E616" s="53" t="s">
        <v>308</v>
      </c>
      <c r="F616" s="53" t="s">
        <v>198</v>
      </c>
      <c r="G616" s="41">
        <f>G617+G619</f>
        <v>0</v>
      </c>
      <c r="H616" s="41">
        <f>H617+H619</f>
        <v>0</v>
      </c>
      <c r="I616" s="41">
        <f>I617+I619</f>
        <v>0</v>
      </c>
    </row>
    <row r="617" spans="1:9" ht="47.25" hidden="1">
      <c r="A617" s="77" t="s">
        <v>661</v>
      </c>
      <c r="B617" s="58">
        <v>951</v>
      </c>
      <c r="C617" s="43" t="s">
        <v>627</v>
      </c>
      <c r="D617" s="43" t="s">
        <v>603</v>
      </c>
      <c r="E617" s="43" t="s">
        <v>308</v>
      </c>
      <c r="F617" s="43" t="s">
        <v>662</v>
      </c>
      <c r="G617" s="348">
        <f>G618</f>
        <v>0</v>
      </c>
      <c r="H617" s="348">
        <f>H618</f>
        <v>0</v>
      </c>
      <c r="I617" s="348">
        <f>I618</f>
        <v>0</v>
      </c>
    </row>
    <row r="618" spans="1:9" hidden="1">
      <c r="A618" s="77" t="s">
        <v>663</v>
      </c>
      <c r="B618" s="58">
        <v>951</v>
      </c>
      <c r="C618" s="43" t="s">
        <v>627</v>
      </c>
      <c r="D618" s="43" t="s">
        <v>603</v>
      </c>
      <c r="E618" s="43" t="s">
        <v>308</v>
      </c>
      <c r="F618" s="43" t="s">
        <v>664</v>
      </c>
      <c r="G618" s="348"/>
      <c r="H618" s="348"/>
      <c r="I618" s="348"/>
    </row>
    <row r="619" spans="1:9" ht="47.25" hidden="1" customHeight="1">
      <c r="A619" s="77" t="s">
        <v>811</v>
      </c>
      <c r="B619" s="58">
        <v>952</v>
      </c>
      <c r="C619" s="43" t="s">
        <v>627</v>
      </c>
      <c r="D619" s="43" t="s">
        <v>603</v>
      </c>
      <c r="E619" s="43" t="s">
        <v>308</v>
      </c>
      <c r="F619" s="43" t="s">
        <v>648</v>
      </c>
      <c r="G619" s="348">
        <f>G620</f>
        <v>0</v>
      </c>
      <c r="H619" s="348">
        <f>H620</f>
        <v>0</v>
      </c>
      <c r="I619" s="348">
        <f>I620</f>
        <v>0</v>
      </c>
    </row>
    <row r="620" spans="1:9" ht="15.75" hidden="1" customHeight="1">
      <c r="A620" s="77" t="s">
        <v>110</v>
      </c>
      <c r="B620" s="58">
        <v>953</v>
      </c>
      <c r="C620" s="43" t="s">
        <v>627</v>
      </c>
      <c r="D620" s="43" t="s">
        <v>603</v>
      </c>
      <c r="E620" s="43" t="s">
        <v>308</v>
      </c>
      <c r="F620" s="43" t="s">
        <v>156</v>
      </c>
      <c r="G620" s="348"/>
      <c r="H620" s="348"/>
      <c r="I620" s="348"/>
    </row>
    <row r="621" spans="1:9" ht="63" hidden="1" customHeight="1">
      <c r="A621" s="76" t="s">
        <v>370</v>
      </c>
      <c r="B621" s="61" t="s">
        <v>111</v>
      </c>
      <c r="C621" s="53" t="s">
        <v>627</v>
      </c>
      <c r="D621" s="53" t="s">
        <v>603</v>
      </c>
      <c r="E621" s="53" t="s">
        <v>369</v>
      </c>
      <c r="F621" s="53" t="s">
        <v>198</v>
      </c>
      <c r="G621" s="41">
        <f>G622+G624</f>
        <v>0</v>
      </c>
      <c r="H621" s="41">
        <f>H622+H624</f>
        <v>0</v>
      </c>
      <c r="I621" s="41">
        <f>I622+I624</f>
        <v>0</v>
      </c>
    </row>
    <row r="622" spans="1:9" ht="31.5" hidden="1" customHeight="1">
      <c r="A622" s="77" t="s">
        <v>611</v>
      </c>
      <c r="B622" s="58" t="s">
        <v>111</v>
      </c>
      <c r="C622" s="43" t="s">
        <v>627</v>
      </c>
      <c r="D622" s="43" t="s">
        <v>603</v>
      </c>
      <c r="E622" s="43" t="s">
        <v>369</v>
      </c>
      <c r="F622" s="43" t="s">
        <v>612</v>
      </c>
      <c r="G622" s="348">
        <f>G623</f>
        <v>0</v>
      </c>
      <c r="H622" s="348">
        <f>H623</f>
        <v>0</v>
      </c>
      <c r="I622" s="348">
        <f>I623</f>
        <v>0</v>
      </c>
    </row>
    <row r="623" spans="1:9" ht="47.25" hidden="1" customHeight="1">
      <c r="A623" s="77" t="s">
        <v>613</v>
      </c>
      <c r="B623" s="58" t="s">
        <v>111</v>
      </c>
      <c r="C623" s="43" t="s">
        <v>627</v>
      </c>
      <c r="D623" s="43" t="s">
        <v>603</v>
      </c>
      <c r="E623" s="43" t="s">
        <v>369</v>
      </c>
      <c r="F623" s="43" t="s">
        <v>614</v>
      </c>
      <c r="G623" s="348">
        <f>500-500</f>
        <v>0</v>
      </c>
      <c r="H623" s="348">
        <v>0</v>
      </c>
      <c r="I623" s="348">
        <v>0</v>
      </c>
    </row>
    <row r="624" spans="1:9" ht="47.25" hidden="1" customHeight="1">
      <c r="A624" s="77" t="s">
        <v>661</v>
      </c>
      <c r="B624" s="58" t="s">
        <v>111</v>
      </c>
      <c r="C624" s="43" t="s">
        <v>627</v>
      </c>
      <c r="D624" s="43" t="s">
        <v>603</v>
      </c>
      <c r="E624" s="43" t="s">
        <v>369</v>
      </c>
      <c r="F624" s="43" t="s">
        <v>662</v>
      </c>
      <c r="G624" s="348">
        <f>G625</f>
        <v>0</v>
      </c>
      <c r="H624" s="348">
        <f>H625</f>
        <v>0</v>
      </c>
      <c r="I624" s="348">
        <f>I625</f>
        <v>0</v>
      </c>
    </row>
    <row r="625" spans="1:9" ht="15.75" hidden="1" customHeight="1">
      <c r="A625" s="77" t="s">
        <v>663</v>
      </c>
      <c r="B625" s="58" t="s">
        <v>111</v>
      </c>
      <c r="C625" s="43" t="s">
        <v>627</v>
      </c>
      <c r="D625" s="43" t="s">
        <v>603</v>
      </c>
      <c r="E625" s="43" t="s">
        <v>369</v>
      </c>
      <c r="F625" s="43" t="s">
        <v>664</v>
      </c>
      <c r="G625" s="348">
        <v>0</v>
      </c>
      <c r="H625" s="348">
        <v>0</v>
      </c>
      <c r="I625" s="348">
        <v>0</v>
      </c>
    </row>
    <row r="626" spans="1:9" ht="47.25" hidden="1" customHeight="1">
      <c r="A626" s="81" t="s">
        <v>306</v>
      </c>
      <c r="B626" s="60">
        <v>951</v>
      </c>
      <c r="C626" s="59" t="s">
        <v>627</v>
      </c>
      <c r="D626" s="59" t="s">
        <v>603</v>
      </c>
      <c r="E626" s="59" t="s">
        <v>601</v>
      </c>
      <c r="F626" s="59" t="s">
        <v>198</v>
      </c>
      <c r="G626" s="96">
        <f>G627</f>
        <v>0</v>
      </c>
      <c r="H626" s="96">
        <f t="shared" ref="H626:I628" si="164">H627</f>
        <v>0</v>
      </c>
      <c r="I626" s="96">
        <f t="shared" si="164"/>
        <v>0</v>
      </c>
    </row>
    <row r="627" spans="1:9" ht="110.25" hidden="1" customHeight="1">
      <c r="A627" s="77" t="s">
        <v>813</v>
      </c>
      <c r="B627" s="58">
        <v>951</v>
      </c>
      <c r="C627" s="43" t="s">
        <v>627</v>
      </c>
      <c r="D627" s="43" t="s">
        <v>603</v>
      </c>
      <c r="E627" s="43" t="s">
        <v>531</v>
      </c>
      <c r="F627" s="43" t="s">
        <v>198</v>
      </c>
      <c r="G627" s="348">
        <f>G628</f>
        <v>0</v>
      </c>
      <c r="H627" s="348">
        <f t="shared" si="164"/>
        <v>0</v>
      </c>
      <c r="I627" s="348">
        <f t="shared" si="164"/>
        <v>0</v>
      </c>
    </row>
    <row r="628" spans="1:9" ht="47.25" hidden="1" customHeight="1">
      <c r="A628" s="77" t="s">
        <v>864</v>
      </c>
      <c r="B628" s="58" t="s">
        <v>111</v>
      </c>
      <c r="C628" s="43" t="s">
        <v>627</v>
      </c>
      <c r="D628" s="43" t="s">
        <v>603</v>
      </c>
      <c r="E628" s="43" t="s">
        <v>531</v>
      </c>
      <c r="F628" s="43" t="s">
        <v>662</v>
      </c>
      <c r="G628" s="348">
        <f>G629</f>
        <v>0</v>
      </c>
      <c r="H628" s="348">
        <f t="shared" si="164"/>
        <v>0</v>
      </c>
      <c r="I628" s="348">
        <f t="shared" si="164"/>
        <v>0</v>
      </c>
    </row>
    <row r="629" spans="1:9" ht="15.75" hidden="1" customHeight="1">
      <c r="A629" s="77" t="s">
        <v>663</v>
      </c>
      <c r="B629" s="58">
        <v>951</v>
      </c>
      <c r="C629" s="43" t="s">
        <v>627</v>
      </c>
      <c r="D629" s="43" t="s">
        <v>603</v>
      </c>
      <c r="E629" s="43" t="s">
        <v>531</v>
      </c>
      <c r="F629" s="43" t="s">
        <v>664</v>
      </c>
      <c r="G629" s="348"/>
      <c r="H629" s="348">
        <v>0</v>
      </c>
      <c r="I629" s="348">
        <v>0</v>
      </c>
    </row>
    <row r="630" spans="1:9" ht="63" hidden="1" customHeight="1">
      <c r="A630" s="81" t="s">
        <v>815</v>
      </c>
      <c r="B630" s="60">
        <v>951</v>
      </c>
      <c r="C630" s="59" t="s">
        <v>627</v>
      </c>
      <c r="D630" s="59" t="s">
        <v>603</v>
      </c>
      <c r="E630" s="59" t="s">
        <v>67</v>
      </c>
      <c r="F630" s="59" t="s">
        <v>198</v>
      </c>
      <c r="G630" s="96">
        <f>G634+G631</f>
        <v>0</v>
      </c>
      <c r="H630" s="96">
        <f>H634+H631</f>
        <v>0</v>
      </c>
      <c r="I630" s="96">
        <f>I634+I631</f>
        <v>0</v>
      </c>
    </row>
    <row r="631" spans="1:9" ht="94.5" hidden="1" customHeight="1">
      <c r="A631" s="76" t="s">
        <v>816</v>
      </c>
      <c r="B631" s="61">
        <v>951</v>
      </c>
      <c r="C631" s="53" t="s">
        <v>627</v>
      </c>
      <c r="D631" s="53" t="s">
        <v>603</v>
      </c>
      <c r="E631" s="53" t="s">
        <v>440</v>
      </c>
      <c r="F631" s="53" t="s">
        <v>198</v>
      </c>
      <c r="G631" s="41">
        <f t="shared" ref="G631:I632" si="165">G632</f>
        <v>0</v>
      </c>
      <c r="H631" s="41">
        <f t="shared" si="165"/>
        <v>0</v>
      </c>
      <c r="I631" s="41">
        <f t="shared" si="165"/>
        <v>0</v>
      </c>
    </row>
    <row r="632" spans="1:9" ht="31.5" hidden="1" customHeight="1">
      <c r="A632" s="77" t="s">
        <v>611</v>
      </c>
      <c r="B632" s="58">
        <v>951</v>
      </c>
      <c r="C632" s="43" t="s">
        <v>627</v>
      </c>
      <c r="D632" s="43" t="s">
        <v>603</v>
      </c>
      <c r="E632" s="43" t="s">
        <v>440</v>
      </c>
      <c r="F632" s="43" t="s">
        <v>612</v>
      </c>
      <c r="G632" s="348">
        <f t="shared" si="165"/>
        <v>0</v>
      </c>
      <c r="H632" s="348">
        <f t="shared" si="165"/>
        <v>0</v>
      </c>
      <c r="I632" s="348">
        <f t="shared" si="165"/>
        <v>0</v>
      </c>
    </row>
    <row r="633" spans="1:9" ht="47.25" hidden="1" customHeight="1">
      <c r="A633" s="77" t="s">
        <v>613</v>
      </c>
      <c r="B633" s="58">
        <v>951</v>
      </c>
      <c r="C633" s="43" t="s">
        <v>627</v>
      </c>
      <c r="D633" s="43" t="s">
        <v>603</v>
      </c>
      <c r="E633" s="43" t="s">
        <v>440</v>
      </c>
      <c r="F633" s="43" t="s">
        <v>614</v>
      </c>
      <c r="G633" s="348"/>
      <c r="H633" s="348"/>
      <c r="I633" s="348"/>
    </row>
    <row r="634" spans="1:9" ht="63" hidden="1" customHeight="1">
      <c r="A634" s="76" t="s">
        <v>1065</v>
      </c>
      <c r="B634" s="61">
        <v>951</v>
      </c>
      <c r="C634" s="53" t="s">
        <v>627</v>
      </c>
      <c r="D634" s="53" t="s">
        <v>603</v>
      </c>
      <c r="E634" s="53" t="s">
        <v>471</v>
      </c>
      <c r="F634" s="53" t="s">
        <v>198</v>
      </c>
      <c r="G634" s="41">
        <f t="shared" ref="G634:I635" si="166">G635</f>
        <v>0</v>
      </c>
      <c r="H634" s="41">
        <f t="shared" si="166"/>
        <v>0</v>
      </c>
      <c r="I634" s="41">
        <f t="shared" si="166"/>
        <v>0</v>
      </c>
    </row>
    <row r="635" spans="1:9" ht="31.5" hidden="1" customHeight="1">
      <c r="A635" s="77" t="s">
        <v>611</v>
      </c>
      <c r="B635" s="58">
        <v>951</v>
      </c>
      <c r="C635" s="43" t="s">
        <v>627</v>
      </c>
      <c r="D635" s="43" t="s">
        <v>603</v>
      </c>
      <c r="E635" s="43" t="s">
        <v>471</v>
      </c>
      <c r="F635" s="43" t="s">
        <v>612</v>
      </c>
      <c r="G635" s="348">
        <f t="shared" si="166"/>
        <v>0</v>
      </c>
      <c r="H635" s="348">
        <f t="shared" si="166"/>
        <v>0</v>
      </c>
      <c r="I635" s="348">
        <f t="shared" si="166"/>
        <v>0</v>
      </c>
    </row>
    <row r="636" spans="1:9" ht="47.25" hidden="1" customHeight="1">
      <c r="A636" s="77" t="s">
        <v>613</v>
      </c>
      <c r="B636" s="58">
        <v>951</v>
      </c>
      <c r="C636" s="43" t="s">
        <v>627</v>
      </c>
      <c r="D636" s="43" t="s">
        <v>603</v>
      </c>
      <c r="E636" s="43" t="s">
        <v>471</v>
      </c>
      <c r="F636" s="43" t="s">
        <v>614</v>
      </c>
      <c r="G636" s="348"/>
      <c r="H636" s="348"/>
      <c r="I636" s="348"/>
    </row>
    <row r="637" spans="1:9" ht="63.75" hidden="1" customHeight="1">
      <c r="A637" s="81" t="s">
        <v>466</v>
      </c>
      <c r="B637" s="60">
        <v>951</v>
      </c>
      <c r="C637" s="59" t="s">
        <v>627</v>
      </c>
      <c r="D637" s="59" t="s">
        <v>603</v>
      </c>
      <c r="E637" s="59" t="s">
        <v>67</v>
      </c>
      <c r="F637" s="59" t="s">
        <v>198</v>
      </c>
      <c r="G637" s="96">
        <f>G641+G638</f>
        <v>0</v>
      </c>
      <c r="H637" s="96">
        <f>H641+H638</f>
        <v>0</v>
      </c>
      <c r="I637" s="96">
        <f>I641+I638</f>
        <v>0</v>
      </c>
    </row>
    <row r="638" spans="1:9" ht="97.5" hidden="1" customHeight="1">
      <c r="A638" s="77" t="s">
        <v>865</v>
      </c>
      <c r="B638" s="58">
        <v>951</v>
      </c>
      <c r="C638" s="43" t="s">
        <v>627</v>
      </c>
      <c r="D638" s="43" t="s">
        <v>603</v>
      </c>
      <c r="E638" s="43" t="s">
        <v>441</v>
      </c>
      <c r="F638" s="43" t="s">
        <v>198</v>
      </c>
      <c r="G638" s="348">
        <f t="shared" ref="G638:I639" si="167">G639</f>
        <v>0</v>
      </c>
      <c r="H638" s="348">
        <f t="shared" si="167"/>
        <v>0</v>
      </c>
      <c r="I638" s="348">
        <f t="shared" si="167"/>
        <v>0</v>
      </c>
    </row>
    <row r="639" spans="1:9" ht="36.75" hidden="1" customHeight="1">
      <c r="A639" s="77" t="s">
        <v>611</v>
      </c>
      <c r="B639" s="58">
        <v>951</v>
      </c>
      <c r="C639" s="43" t="s">
        <v>627</v>
      </c>
      <c r="D639" s="43" t="s">
        <v>603</v>
      </c>
      <c r="E639" s="43" t="s">
        <v>441</v>
      </c>
      <c r="F639" s="43" t="s">
        <v>612</v>
      </c>
      <c r="G639" s="348">
        <f t="shared" si="167"/>
        <v>0</v>
      </c>
      <c r="H639" s="348">
        <f t="shared" si="167"/>
        <v>0</v>
      </c>
      <c r="I639" s="348">
        <f t="shared" si="167"/>
        <v>0</v>
      </c>
    </row>
    <row r="640" spans="1:9" ht="50.25" hidden="1" customHeight="1">
      <c r="A640" s="77" t="s">
        <v>613</v>
      </c>
      <c r="B640" s="58">
        <v>951</v>
      </c>
      <c r="C640" s="43" t="s">
        <v>627</v>
      </c>
      <c r="D640" s="43" t="s">
        <v>603</v>
      </c>
      <c r="E640" s="43" t="s">
        <v>441</v>
      </c>
      <c r="F640" s="43" t="s">
        <v>614</v>
      </c>
      <c r="G640" s="348">
        <f>'5'!D146</f>
        <v>0</v>
      </c>
      <c r="H640" s="348">
        <f>'5'!E146</f>
        <v>0</v>
      </c>
      <c r="I640" s="348">
        <f>'5'!F146</f>
        <v>0</v>
      </c>
    </row>
    <row r="641" spans="1:12" ht="116.25" hidden="1" customHeight="1">
      <c r="A641" s="77" t="s">
        <v>866</v>
      </c>
      <c r="B641" s="58">
        <v>951</v>
      </c>
      <c r="C641" s="43" t="s">
        <v>627</v>
      </c>
      <c r="D641" s="43" t="s">
        <v>603</v>
      </c>
      <c r="E641" s="43" t="s">
        <v>817</v>
      </c>
      <c r="F641" s="43" t="s">
        <v>198</v>
      </c>
      <c r="G641" s="348">
        <f t="shared" ref="G641:I642" si="168">G642</f>
        <v>0</v>
      </c>
      <c r="H641" s="348">
        <f t="shared" si="168"/>
        <v>0</v>
      </c>
      <c r="I641" s="348">
        <f t="shared" si="168"/>
        <v>0</v>
      </c>
    </row>
    <row r="642" spans="1:12" ht="33.6" hidden="1" customHeight="1">
      <c r="A642" s="77" t="s">
        <v>611</v>
      </c>
      <c r="B642" s="58">
        <v>951</v>
      </c>
      <c r="C642" s="43" t="s">
        <v>627</v>
      </c>
      <c r="D642" s="43" t="s">
        <v>603</v>
      </c>
      <c r="E642" s="43" t="s">
        <v>817</v>
      </c>
      <c r="F642" s="43" t="s">
        <v>612</v>
      </c>
      <c r="G642" s="348">
        <f t="shared" si="168"/>
        <v>0</v>
      </c>
      <c r="H642" s="348">
        <f t="shared" si="168"/>
        <v>0</v>
      </c>
      <c r="I642" s="348">
        <f t="shared" si="168"/>
        <v>0</v>
      </c>
    </row>
    <row r="643" spans="1:12" ht="50.25" hidden="1" customHeight="1">
      <c r="A643" s="77" t="s">
        <v>613</v>
      </c>
      <c r="B643" s="58">
        <v>951</v>
      </c>
      <c r="C643" s="43" t="s">
        <v>627</v>
      </c>
      <c r="D643" s="43" t="s">
        <v>603</v>
      </c>
      <c r="E643" s="43" t="s">
        <v>817</v>
      </c>
      <c r="F643" s="43" t="s">
        <v>614</v>
      </c>
      <c r="G643" s="348">
        <f>'5'!D147</f>
        <v>0</v>
      </c>
      <c r="H643" s="348">
        <f>'5'!E147</f>
        <v>0</v>
      </c>
      <c r="I643" s="348">
        <f>'5'!F147</f>
        <v>0</v>
      </c>
    </row>
    <row r="644" spans="1:12" ht="31.5" hidden="1" customHeight="1">
      <c r="A644" s="376" t="s">
        <v>472</v>
      </c>
      <c r="B644" s="208">
        <v>951</v>
      </c>
      <c r="C644" s="51" t="s">
        <v>627</v>
      </c>
      <c r="D644" s="51" t="s">
        <v>603</v>
      </c>
      <c r="E644" s="51" t="s">
        <v>601</v>
      </c>
      <c r="F644" s="51" t="s">
        <v>198</v>
      </c>
      <c r="G644" s="52">
        <f>G648+G645</f>
        <v>0</v>
      </c>
      <c r="H644" s="52">
        <f>H648+H645</f>
        <v>0</v>
      </c>
      <c r="I644" s="52">
        <f>I648+I645</f>
        <v>0</v>
      </c>
    </row>
    <row r="645" spans="1:12" ht="47.25" hidden="1" customHeight="1">
      <c r="A645" s="75" t="s">
        <v>818</v>
      </c>
      <c r="B645" s="47">
        <v>951</v>
      </c>
      <c r="C645" s="37" t="s">
        <v>627</v>
      </c>
      <c r="D645" s="37" t="s">
        <v>603</v>
      </c>
      <c r="E645" s="37" t="s">
        <v>819</v>
      </c>
      <c r="F645" s="37" t="s">
        <v>198</v>
      </c>
      <c r="G645" s="38">
        <f t="shared" ref="G645:I646" si="169">G646</f>
        <v>0</v>
      </c>
      <c r="H645" s="38">
        <f t="shared" si="169"/>
        <v>0</v>
      </c>
      <c r="I645" s="38">
        <f t="shared" si="169"/>
        <v>0</v>
      </c>
    </row>
    <row r="646" spans="1:12" ht="31.5" hidden="1" customHeight="1">
      <c r="A646" s="74" t="s">
        <v>611</v>
      </c>
      <c r="B646" s="47">
        <v>951</v>
      </c>
      <c r="C646" s="37" t="s">
        <v>627</v>
      </c>
      <c r="D646" s="37" t="s">
        <v>603</v>
      </c>
      <c r="E646" s="37" t="s">
        <v>819</v>
      </c>
      <c r="F646" s="37" t="s">
        <v>612</v>
      </c>
      <c r="G646" s="38">
        <f t="shared" si="169"/>
        <v>0</v>
      </c>
      <c r="H646" s="38">
        <f t="shared" si="169"/>
        <v>0</v>
      </c>
      <c r="I646" s="38">
        <f t="shared" si="169"/>
        <v>0</v>
      </c>
    </row>
    <row r="647" spans="1:12" ht="47.25" hidden="1" customHeight="1">
      <c r="A647" s="74" t="s">
        <v>613</v>
      </c>
      <c r="B647" s="47">
        <v>951</v>
      </c>
      <c r="C647" s="37" t="s">
        <v>627</v>
      </c>
      <c r="D647" s="37" t="s">
        <v>603</v>
      </c>
      <c r="E647" s="37" t="s">
        <v>819</v>
      </c>
      <c r="F647" s="37" t="s">
        <v>614</v>
      </c>
      <c r="G647" s="38"/>
      <c r="H647" s="38"/>
      <c r="I647" s="38"/>
    </row>
    <row r="648" spans="1:12" ht="94.5" hidden="1" customHeight="1">
      <c r="A648" s="74" t="s">
        <v>476</v>
      </c>
      <c r="B648" s="47">
        <v>951</v>
      </c>
      <c r="C648" s="37" t="s">
        <v>627</v>
      </c>
      <c r="D648" s="37" t="s">
        <v>603</v>
      </c>
      <c r="E648" s="37" t="s">
        <v>532</v>
      </c>
      <c r="F648" s="37" t="s">
        <v>198</v>
      </c>
      <c r="G648" s="38">
        <f t="shared" ref="G648:I649" si="170">G649</f>
        <v>0</v>
      </c>
      <c r="H648" s="38">
        <f t="shared" si="170"/>
        <v>0</v>
      </c>
      <c r="I648" s="38">
        <f t="shared" si="170"/>
        <v>0</v>
      </c>
    </row>
    <row r="649" spans="1:12" ht="31.5" hidden="1" customHeight="1">
      <c r="A649" s="74" t="s">
        <v>611</v>
      </c>
      <c r="B649" s="47">
        <v>951</v>
      </c>
      <c r="C649" s="37" t="s">
        <v>627</v>
      </c>
      <c r="D649" s="37" t="s">
        <v>603</v>
      </c>
      <c r="E649" s="37" t="s">
        <v>532</v>
      </c>
      <c r="F649" s="37" t="s">
        <v>612</v>
      </c>
      <c r="G649" s="38">
        <f t="shared" si="170"/>
        <v>0</v>
      </c>
      <c r="H649" s="38">
        <f t="shared" si="170"/>
        <v>0</v>
      </c>
      <c r="I649" s="38">
        <f t="shared" si="170"/>
        <v>0</v>
      </c>
    </row>
    <row r="650" spans="1:12" ht="47.25" hidden="1" customHeight="1">
      <c r="A650" s="74" t="s">
        <v>613</v>
      </c>
      <c r="B650" s="47">
        <v>951</v>
      </c>
      <c r="C650" s="37" t="s">
        <v>627</v>
      </c>
      <c r="D650" s="37" t="s">
        <v>603</v>
      </c>
      <c r="E650" s="37" t="s">
        <v>532</v>
      </c>
      <c r="F650" s="37" t="s">
        <v>614</v>
      </c>
      <c r="G650" s="348">
        <v>0</v>
      </c>
      <c r="H650" s="348">
        <v>0</v>
      </c>
      <c r="I650" s="348">
        <v>0</v>
      </c>
    </row>
    <row r="651" spans="1:12" ht="45.75" customHeight="1">
      <c r="A651" s="73" t="s">
        <v>823</v>
      </c>
      <c r="B651" s="191">
        <v>951</v>
      </c>
      <c r="C651" s="34" t="s">
        <v>638</v>
      </c>
      <c r="D651" s="34" t="s">
        <v>103</v>
      </c>
      <c r="E651" s="34" t="s">
        <v>601</v>
      </c>
      <c r="F651" s="34" t="s">
        <v>198</v>
      </c>
      <c r="G651" s="35">
        <f>G653</f>
        <v>10</v>
      </c>
      <c r="H651" s="35">
        <f t="shared" ref="H651:I651" si="171">H653</f>
        <v>10</v>
      </c>
      <c r="I651" s="35">
        <f t="shared" si="171"/>
        <v>10</v>
      </c>
      <c r="J651" s="90"/>
      <c r="K651" s="90"/>
      <c r="L651" s="90"/>
    </row>
    <row r="652" spans="1:12" ht="81" customHeight="1">
      <c r="A652" s="76" t="s">
        <v>998</v>
      </c>
      <c r="B652" s="58">
        <v>951</v>
      </c>
      <c r="C652" s="43" t="s">
        <v>638</v>
      </c>
      <c r="D652" s="43" t="s">
        <v>102</v>
      </c>
      <c r="E652" s="43" t="s">
        <v>601</v>
      </c>
      <c r="F652" s="43" t="s">
        <v>198</v>
      </c>
      <c r="G652" s="348">
        <f>G653</f>
        <v>10</v>
      </c>
      <c r="H652" s="348">
        <f t="shared" ref="H652:I660" si="172">H653</f>
        <v>10</v>
      </c>
      <c r="I652" s="348">
        <f t="shared" si="172"/>
        <v>10</v>
      </c>
    </row>
    <row r="653" spans="1:12" ht="33.75" customHeight="1">
      <c r="A653" s="77" t="s">
        <v>825</v>
      </c>
      <c r="B653" s="58">
        <v>951</v>
      </c>
      <c r="C653" s="43" t="s">
        <v>638</v>
      </c>
      <c r="D653" s="43" t="s">
        <v>102</v>
      </c>
      <c r="E653" s="43" t="s">
        <v>257</v>
      </c>
      <c r="F653" s="43" t="s">
        <v>198</v>
      </c>
      <c r="G653" s="348">
        <f>G654</f>
        <v>10</v>
      </c>
      <c r="H653" s="348">
        <f t="shared" si="172"/>
        <v>10</v>
      </c>
      <c r="I653" s="348">
        <f t="shared" si="172"/>
        <v>10</v>
      </c>
    </row>
    <row r="654" spans="1:12" ht="33.75" customHeight="1">
      <c r="A654" s="77" t="s">
        <v>867</v>
      </c>
      <c r="B654" s="58">
        <v>951</v>
      </c>
      <c r="C654" s="43" t="s">
        <v>638</v>
      </c>
      <c r="D654" s="43" t="s">
        <v>102</v>
      </c>
      <c r="E654" s="43" t="s">
        <v>257</v>
      </c>
      <c r="F654" s="43" t="s">
        <v>198</v>
      </c>
      <c r="G654" s="348">
        <f>G655</f>
        <v>10</v>
      </c>
      <c r="H654" s="348">
        <f t="shared" si="172"/>
        <v>10</v>
      </c>
      <c r="I654" s="348">
        <f t="shared" si="172"/>
        <v>10</v>
      </c>
    </row>
    <row r="655" spans="1:12" ht="31.15" customHeight="1">
      <c r="A655" s="77" t="s">
        <v>116</v>
      </c>
      <c r="B655" s="58">
        <v>951</v>
      </c>
      <c r="C655" s="43" t="s">
        <v>638</v>
      </c>
      <c r="D655" s="43" t="s">
        <v>102</v>
      </c>
      <c r="E655" s="43" t="s">
        <v>257</v>
      </c>
      <c r="F655" s="43" t="s">
        <v>827</v>
      </c>
      <c r="G655" s="348">
        <f>G656</f>
        <v>10</v>
      </c>
      <c r="H655" s="348">
        <f t="shared" si="172"/>
        <v>10</v>
      </c>
      <c r="I655" s="348">
        <f t="shared" si="172"/>
        <v>10</v>
      </c>
    </row>
    <row r="656" spans="1:12" ht="19.149999999999999" customHeight="1">
      <c r="A656" s="77" t="s">
        <v>123</v>
      </c>
      <c r="B656" s="58">
        <v>951</v>
      </c>
      <c r="C656" s="43" t="s">
        <v>638</v>
      </c>
      <c r="D656" s="43" t="s">
        <v>102</v>
      </c>
      <c r="E656" s="43" t="s">
        <v>257</v>
      </c>
      <c r="F656" s="43" t="s">
        <v>828</v>
      </c>
      <c r="G656" s="348">
        <f>'5'!D226</f>
        <v>10</v>
      </c>
      <c r="H656" s="348">
        <f>'5'!E226</f>
        <v>10</v>
      </c>
      <c r="I656" s="348">
        <f>'5'!F226</f>
        <v>10</v>
      </c>
    </row>
    <row r="657" spans="1:10" s="200" customFormat="1" ht="47.25" hidden="1" customHeight="1">
      <c r="A657" s="76" t="s">
        <v>604</v>
      </c>
      <c r="B657" s="61">
        <v>951</v>
      </c>
      <c r="C657" s="53" t="s">
        <v>638</v>
      </c>
      <c r="D657" s="53" t="s">
        <v>102</v>
      </c>
      <c r="E657" s="53" t="s">
        <v>517</v>
      </c>
      <c r="F657" s="53" t="s">
        <v>198</v>
      </c>
      <c r="G657" s="41">
        <f>G658</f>
        <v>0</v>
      </c>
      <c r="H657" s="41">
        <f t="shared" si="172"/>
        <v>0</v>
      </c>
      <c r="I657" s="41">
        <f t="shared" si="172"/>
        <v>0</v>
      </c>
    </row>
    <row r="658" spans="1:10" ht="31.5" hidden="1" customHeight="1">
      <c r="A658" s="77" t="s">
        <v>825</v>
      </c>
      <c r="B658" s="58">
        <v>951</v>
      </c>
      <c r="C658" s="43" t="s">
        <v>638</v>
      </c>
      <c r="D658" s="43" t="s">
        <v>102</v>
      </c>
      <c r="E658" s="43" t="s">
        <v>517</v>
      </c>
      <c r="F658" s="43" t="s">
        <v>198</v>
      </c>
      <c r="G658" s="348">
        <f>G659</f>
        <v>0</v>
      </c>
      <c r="H658" s="348">
        <f t="shared" si="172"/>
        <v>0</v>
      </c>
      <c r="I658" s="348">
        <f t="shared" si="172"/>
        <v>0</v>
      </c>
    </row>
    <row r="659" spans="1:10" ht="31.5" hidden="1" customHeight="1">
      <c r="A659" s="77" t="s">
        <v>867</v>
      </c>
      <c r="B659" s="58">
        <v>951</v>
      </c>
      <c r="C659" s="43" t="s">
        <v>638</v>
      </c>
      <c r="D659" s="43" t="s">
        <v>102</v>
      </c>
      <c r="E659" s="43" t="s">
        <v>517</v>
      </c>
      <c r="F659" s="43" t="s">
        <v>827</v>
      </c>
      <c r="G659" s="348">
        <f>G660</f>
        <v>0</v>
      </c>
      <c r="H659" s="348">
        <f t="shared" si="172"/>
        <v>0</v>
      </c>
      <c r="I659" s="348">
        <f t="shared" si="172"/>
        <v>0</v>
      </c>
    </row>
    <row r="660" spans="1:10" ht="31.5" hidden="1" customHeight="1">
      <c r="A660" s="77" t="s">
        <v>116</v>
      </c>
      <c r="B660" s="58">
        <v>951</v>
      </c>
      <c r="C660" s="43" t="s">
        <v>638</v>
      </c>
      <c r="D660" s="43" t="s">
        <v>102</v>
      </c>
      <c r="E660" s="43" t="s">
        <v>517</v>
      </c>
      <c r="F660" s="43" t="s">
        <v>827</v>
      </c>
      <c r="G660" s="348">
        <f>G661</f>
        <v>0</v>
      </c>
      <c r="H660" s="348">
        <f t="shared" si="172"/>
        <v>0</v>
      </c>
      <c r="I660" s="348">
        <f t="shared" si="172"/>
        <v>0</v>
      </c>
    </row>
    <row r="661" spans="1:10" ht="15.75" hidden="1" customHeight="1">
      <c r="A661" s="77" t="s">
        <v>123</v>
      </c>
      <c r="B661" s="58">
        <v>952</v>
      </c>
      <c r="C661" s="43" t="s">
        <v>638</v>
      </c>
      <c r="D661" s="43" t="s">
        <v>102</v>
      </c>
      <c r="E661" s="43" t="s">
        <v>517</v>
      </c>
      <c r="F661" s="43" t="s">
        <v>828</v>
      </c>
      <c r="G661" s="348">
        <v>0</v>
      </c>
      <c r="H661" s="348">
        <v>0</v>
      </c>
      <c r="I661" s="348">
        <v>0</v>
      </c>
    </row>
    <row r="662" spans="1:10" ht="15.75" hidden="1" customHeight="1">
      <c r="A662" s="74"/>
      <c r="B662" s="47"/>
      <c r="C662" s="37"/>
      <c r="D662" s="37"/>
      <c r="E662" s="37"/>
      <c r="F662" s="37"/>
      <c r="G662" s="38"/>
      <c r="H662" s="38"/>
      <c r="I662" s="38"/>
    </row>
    <row r="663" spans="1:10" ht="33" customHeight="1">
      <c r="A663" s="80" t="s">
        <v>868</v>
      </c>
      <c r="B663" s="190" t="s">
        <v>199</v>
      </c>
      <c r="C663" s="190" t="s">
        <v>103</v>
      </c>
      <c r="D663" s="190" t="s">
        <v>103</v>
      </c>
      <c r="E663" s="190" t="s">
        <v>601</v>
      </c>
      <c r="F663" s="190" t="s">
        <v>198</v>
      </c>
      <c r="G663" s="31">
        <f>G664+G679</f>
        <v>7667.68</v>
      </c>
      <c r="H663" s="31">
        <f>H664+H679</f>
        <v>6688.66</v>
      </c>
      <c r="I663" s="31">
        <f t="shared" ref="I663" si="173">I664+I679</f>
        <v>6930.05</v>
      </c>
      <c r="J663" s="90"/>
    </row>
    <row r="664" spans="1:10" ht="78.75">
      <c r="A664" s="74" t="s">
        <v>609</v>
      </c>
      <c r="B664" s="47" t="s">
        <v>199</v>
      </c>
      <c r="C664" s="37" t="s">
        <v>102</v>
      </c>
      <c r="D664" s="37" t="s">
        <v>105</v>
      </c>
      <c r="E664" s="37" t="s">
        <v>601</v>
      </c>
      <c r="F664" s="37" t="s">
        <v>198</v>
      </c>
      <c r="G664" s="38">
        <f>G665</f>
        <v>7652.68</v>
      </c>
      <c r="H664" s="38">
        <f>H665</f>
        <v>6675.66</v>
      </c>
      <c r="I664" s="38">
        <f t="shared" ref="I664" si="174">I665</f>
        <v>6917.05</v>
      </c>
    </row>
    <row r="665" spans="1:10" ht="36.75" customHeight="1">
      <c r="A665" s="74" t="s">
        <v>604</v>
      </c>
      <c r="B665" s="47" t="s">
        <v>199</v>
      </c>
      <c r="C665" s="37" t="s">
        <v>102</v>
      </c>
      <c r="D665" s="37" t="s">
        <v>105</v>
      </c>
      <c r="E665" s="37" t="s">
        <v>1</v>
      </c>
      <c r="F665" s="37" t="s">
        <v>198</v>
      </c>
      <c r="G665" s="38">
        <f>G666</f>
        <v>7652.68</v>
      </c>
      <c r="H665" s="38">
        <f>H666</f>
        <v>6675.66</v>
      </c>
      <c r="I665" s="38">
        <f t="shared" ref="I665" si="175">I666</f>
        <v>6917.05</v>
      </c>
    </row>
    <row r="666" spans="1:10" ht="47.25">
      <c r="A666" s="77" t="s">
        <v>104</v>
      </c>
      <c r="B666" s="58" t="s">
        <v>199</v>
      </c>
      <c r="C666" s="43" t="s">
        <v>102</v>
      </c>
      <c r="D666" s="43" t="s">
        <v>105</v>
      </c>
      <c r="E666" s="43" t="s">
        <v>2</v>
      </c>
      <c r="F666" s="43" t="s">
        <v>198</v>
      </c>
      <c r="G666" s="348">
        <f>G672+G667</f>
        <v>7652.68</v>
      </c>
      <c r="H666" s="348">
        <f>H672+H667</f>
        <v>6675.66</v>
      </c>
      <c r="I666" s="348">
        <f t="shared" ref="I666" si="176">I672+I667</f>
        <v>6917.05</v>
      </c>
    </row>
    <row r="667" spans="1:10" ht="32.25" customHeight="1">
      <c r="A667" s="77" t="s">
        <v>610</v>
      </c>
      <c r="B667" s="58" t="s">
        <v>199</v>
      </c>
      <c r="C667" s="43" t="s">
        <v>102</v>
      </c>
      <c r="D667" s="43" t="s">
        <v>105</v>
      </c>
      <c r="E667" s="43" t="s">
        <v>4</v>
      </c>
      <c r="F667" s="43" t="s">
        <v>198</v>
      </c>
      <c r="G667" s="348">
        <f>G668+G670</f>
        <v>3140.5</v>
      </c>
      <c r="H667" s="348">
        <f>H668+H670</f>
        <v>3250.5</v>
      </c>
      <c r="I667" s="348">
        <f>I668+I670</f>
        <v>3380</v>
      </c>
    </row>
    <row r="668" spans="1:10" ht="98.25" customHeight="1">
      <c r="A668" s="77" t="s">
        <v>605</v>
      </c>
      <c r="B668" s="58" t="s">
        <v>199</v>
      </c>
      <c r="C668" s="43" t="s">
        <v>102</v>
      </c>
      <c r="D668" s="43" t="s">
        <v>105</v>
      </c>
      <c r="E668" s="43" t="s">
        <v>4</v>
      </c>
      <c r="F668" s="43" t="s">
        <v>606</v>
      </c>
      <c r="G668" s="348">
        <f>G669</f>
        <v>3140.5</v>
      </c>
      <c r="H668" s="348">
        <f>H669</f>
        <v>3250.5</v>
      </c>
      <c r="I668" s="348">
        <f>I669</f>
        <v>3380</v>
      </c>
    </row>
    <row r="669" spans="1:10" ht="49.5" customHeight="1">
      <c r="A669" s="77" t="s">
        <v>607</v>
      </c>
      <c r="B669" s="58" t="s">
        <v>199</v>
      </c>
      <c r="C669" s="43" t="s">
        <v>102</v>
      </c>
      <c r="D669" s="43" t="s">
        <v>105</v>
      </c>
      <c r="E669" s="43" t="s">
        <v>4</v>
      </c>
      <c r="F669" s="43" t="s">
        <v>608</v>
      </c>
      <c r="G669" s="348">
        <f>'3'!F25</f>
        <v>3140.5</v>
      </c>
      <c r="H669" s="348">
        <f>'3'!G25</f>
        <v>3250.5</v>
      </c>
      <c r="I669" s="348">
        <f>'3'!H25</f>
        <v>3380</v>
      </c>
    </row>
    <row r="670" spans="1:10" ht="31.5" hidden="1" customHeight="1">
      <c r="A670" s="77" t="s">
        <v>611</v>
      </c>
      <c r="B670" s="58" t="s">
        <v>199</v>
      </c>
      <c r="C670" s="43" t="s">
        <v>102</v>
      </c>
      <c r="D670" s="43" t="s">
        <v>105</v>
      </c>
      <c r="E670" s="43" t="s">
        <v>4</v>
      </c>
      <c r="F670" s="43" t="s">
        <v>612</v>
      </c>
      <c r="G670" s="348">
        <f>G671</f>
        <v>0</v>
      </c>
      <c r="H670" s="348">
        <f>H671</f>
        <v>0</v>
      </c>
      <c r="I670" s="348">
        <f>I671</f>
        <v>0</v>
      </c>
    </row>
    <row r="671" spans="1:10" ht="47.25" hidden="1" customHeight="1">
      <c r="A671" s="77" t="s">
        <v>613</v>
      </c>
      <c r="B671" s="58" t="s">
        <v>199</v>
      </c>
      <c r="C671" s="43" t="s">
        <v>102</v>
      </c>
      <c r="D671" s="43" t="s">
        <v>105</v>
      </c>
      <c r="E671" s="43" t="s">
        <v>4</v>
      </c>
      <c r="F671" s="43" t="s">
        <v>614</v>
      </c>
      <c r="G671" s="348">
        <v>0</v>
      </c>
      <c r="H671" s="348">
        <v>0</v>
      </c>
      <c r="I671" s="348">
        <v>0</v>
      </c>
    </row>
    <row r="672" spans="1:10" ht="48" customHeight="1">
      <c r="A672" s="77" t="s">
        <v>106</v>
      </c>
      <c r="B672" s="58" t="s">
        <v>199</v>
      </c>
      <c r="C672" s="43" t="s">
        <v>102</v>
      </c>
      <c r="D672" s="43" t="s">
        <v>105</v>
      </c>
      <c r="E672" s="43" t="s">
        <v>5</v>
      </c>
      <c r="F672" s="43" t="s">
        <v>198</v>
      </c>
      <c r="G672" s="348">
        <f>G673+G675+G677</f>
        <v>4512.18</v>
      </c>
      <c r="H672" s="348">
        <f>H673+H675+H677</f>
        <v>3425.16</v>
      </c>
      <c r="I672" s="348">
        <f>I673+I675+I677</f>
        <v>3537.05</v>
      </c>
    </row>
    <row r="673" spans="1:10" ht="95.25" customHeight="1">
      <c r="A673" s="77" t="s">
        <v>605</v>
      </c>
      <c r="B673" s="58" t="s">
        <v>199</v>
      </c>
      <c r="C673" s="43" t="s">
        <v>102</v>
      </c>
      <c r="D673" s="43" t="s">
        <v>105</v>
      </c>
      <c r="E673" s="43" t="s">
        <v>5</v>
      </c>
      <c r="F673" s="43" t="s">
        <v>606</v>
      </c>
      <c r="G673" s="348">
        <f>G674</f>
        <v>3503.18</v>
      </c>
      <c r="H673" s="348">
        <f>H674</f>
        <v>2797.16</v>
      </c>
      <c r="I673" s="348">
        <f>I674</f>
        <v>2909.05</v>
      </c>
    </row>
    <row r="674" spans="1:10" ht="51" customHeight="1">
      <c r="A674" s="77" t="s">
        <v>607</v>
      </c>
      <c r="B674" s="58" t="s">
        <v>199</v>
      </c>
      <c r="C674" s="43" t="s">
        <v>102</v>
      </c>
      <c r="D674" s="43" t="s">
        <v>105</v>
      </c>
      <c r="E674" s="43" t="s">
        <v>5</v>
      </c>
      <c r="F674" s="43" t="s">
        <v>608</v>
      </c>
      <c r="G674" s="348">
        <f>'3'!F30</f>
        <v>3503.18</v>
      </c>
      <c r="H674" s="348">
        <f>'3'!G30</f>
        <v>2797.16</v>
      </c>
      <c r="I674" s="348">
        <f>'3'!H30</f>
        <v>2909.05</v>
      </c>
    </row>
    <row r="675" spans="1:10" ht="33" customHeight="1">
      <c r="A675" s="77" t="s">
        <v>611</v>
      </c>
      <c r="B675" s="58" t="s">
        <v>199</v>
      </c>
      <c r="C675" s="43" t="s">
        <v>102</v>
      </c>
      <c r="D675" s="43" t="s">
        <v>105</v>
      </c>
      <c r="E675" s="43" t="s">
        <v>5</v>
      </c>
      <c r="F675" s="43" t="s">
        <v>612</v>
      </c>
      <c r="G675" s="348">
        <f>G676</f>
        <v>999</v>
      </c>
      <c r="H675" s="348">
        <f>H676</f>
        <v>618</v>
      </c>
      <c r="I675" s="348">
        <f>I676</f>
        <v>618</v>
      </c>
    </row>
    <row r="676" spans="1:10" ht="51" customHeight="1">
      <c r="A676" s="77" t="s">
        <v>613</v>
      </c>
      <c r="B676" s="58" t="s">
        <v>199</v>
      </c>
      <c r="C676" s="43" t="s">
        <v>102</v>
      </c>
      <c r="D676" s="43" t="s">
        <v>105</v>
      </c>
      <c r="E676" s="43" t="s">
        <v>5</v>
      </c>
      <c r="F676" s="43" t="s">
        <v>614</v>
      </c>
      <c r="G676" s="348">
        <f>'3'!F32</f>
        <v>999</v>
      </c>
      <c r="H676" s="348">
        <f>'3'!G32</f>
        <v>618</v>
      </c>
      <c r="I676" s="348">
        <f>'3'!H32</f>
        <v>618</v>
      </c>
    </row>
    <row r="677" spans="1:10" ht="20.25" customHeight="1">
      <c r="A677" s="77" t="s">
        <v>615</v>
      </c>
      <c r="B677" s="58" t="s">
        <v>199</v>
      </c>
      <c r="C677" s="43" t="s">
        <v>102</v>
      </c>
      <c r="D677" s="43" t="s">
        <v>105</v>
      </c>
      <c r="E677" s="43" t="s">
        <v>5</v>
      </c>
      <c r="F677" s="43" t="s">
        <v>616</v>
      </c>
      <c r="G677" s="348">
        <f>G678</f>
        <v>10</v>
      </c>
      <c r="H677" s="348">
        <f>H678</f>
        <v>10</v>
      </c>
      <c r="I677" s="348">
        <f>I678</f>
        <v>10</v>
      </c>
    </row>
    <row r="678" spans="1:10" ht="20.25" customHeight="1">
      <c r="A678" s="77" t="s">
        <v>617</v>
      </c>
      <c r="B678" s="58" t="s">
        <v>199</v>
      </c>
      <c r="C678" s="43" t="s">
        <v>102</v>
      </c>
      <c r="D678" s="43" t="s">
        <v>105</v>
      </c>
      <c r="E678" s="43" t="s">
        <v>5</v>
      </c>
      <c r="F678" s="43" t="s">
        <v>618</v>
      </c>
      <c r="G678" s="348">
        <f>'3'!F34</f>
        <v>10</v>
      </c>
      <c r="H678" s="348">
        <f>'3'!G34</f>
        <v>10</v>
      </c>
      <c r="I678" s="348">
        <f>'3'!H34</f>
        <v>10</v>
      </c>
    </row>
    <row r="679" spans="1:10" ht="68.25" customHeight="1">
      <c r="A679" s="76" t="s">
        <v>907</v>
      </c>
      <c r="B679" s="61" t="s">
        <v>199</v>
      </c>
      <c r="C679" s="53" t="s">
        <v>187</v>
      </c>
      <c r="D679" s="53" t="s">
        <v>620</v>
      </c>
      <c r="E679" s="53" t="s">
        <v>904</v>
      </c>
      <c r="F679" s="53" t="s">
        <v>198</v>
      </c>
      <c r="G679" s="348">
        <f>G680</f>
        <v>15</v>
      </c>
      <c r="H679" s="348">
        <f>H680</f>
        <v>13</v>
      </c>
      <c r="I679" s="348">
        <f t="shared" ref="H679:I680" si="177">I680</f>
        <v>13</v>
      </c>
    </row>
    <row r="680" spans="1:10" ht="37.5" customHeight="1">
      <c r="A680" s="77" t="s">
        <v>611</v>
      </c>
      <c r="B680" s="58" t="s">
        <v>199</v>
      </c>
      <c r="C680" s="43" t="s">
        <v>187</v>
      </c>
      <c r="D680" s="43" t="s">
        <v>620</v>
      </c>
      <c r="E680" s="43" t="s">
        <v>904</v>
      </c>
      <c r="F680" s="43" t="s">
        <v>612</v>
      </c>
      <c r="G680" s="348">
        <f>G681</f>
        <v>15</v>
      </c>
      <c r="H680" s="348">
        <f t="shared" si="177"/>
        <v>13</v>
      </c>
      <c r="I680" s="348">
        <f t="shared" si="177"/>
        <v>13</v>
      </c>
    </row>
    <row r="681" spans="1:10" ht="51" customHeight="1">
      <c r="A681" s="77" t="s">
        <v>613</v>
      </c>
      <c r="B681" s="58" t="s">
        <v>199</v>
      </c>
      <c r="C681" s="43" t="s">
        <v>187</v>
      </c>
      <c r="D681" s="43" t="s">
        <v>620</v>
      </c>
      <c r="E681" s="43" t="s">
        <v>904</v>
      </c>
      <c r="F681" s="43" t="s">
        <v>614</v>
      </c>
      <c r="G681" s="348">
        <f>13+2</f>
        <v>15</v>
      </c>
      <c r="H681" s="348">
        <v>13</v>
      </c>
      <c r="I681" s="348">
        <v>13</v>
      </c>
    </row>
    <row r="682" spans="1:10" ht="50.25" customHeight="1">
      <c r="A682" s="80" t="s">
        <v>869</v>
      </c>
      <c r="B682" s="190" t="s">
        <v>202</v>
      </c>
      <c r="C682" s="190" t="s">
        <v>103</v>
      </c>
      <c r="D682" s="190" t="s">
        <v>103</v>
      </c>
      <c r="E682" s="190" t="s">
        <v>601</v>
      </c>
      <c r="F682" s="190" t="s">
        <v>198</v>
      </c>
      <c r="G682" s="210">
        <f>G685+G711+G714+G697</f>
        <v>34995.483999999997</v>
      </c>
      <c r="H682" s="210">
        <f t="shared" ref="H682:I682" si="178">H685+H711+H714+H697</f>
        <v>23394.453999999998</v>
      </c>
      <c r="I682" s="210">
        <f t="shared" si="178"/>
        <v>22994.453999999998</v>
      </c>
    </row>
    <row r="683" spans="1:10" ht="65.25" customHeight="1">
      <c r="A683" s="77" t="s">
        <v>621</v>
      </c>
      <c r="B683" s="58" t="s">
        <v>202</v>
      </c>
      <c r="C683" s="43" t="s">
        <v>102</v>
      </c>
      <c r="D683" s="43" t="s">
        <v>622</v>
      </c>
      <c r="E683" s="43" t="s">
        <v>601</v>
      </c>
      <c r="F683" s="43" t="s">
        <v>198</v>
      </c>
      <c r="G683" s="348">
        <f t="shared" ref="G683:I684" si="179">G684</f>
        <v>11334</v>
      </c>
      <c r="H683" s="348">
        <f t="shared" si="179"/>
        <v>11834</v>
      </c>
      <c r="I683" s="348">
        <f t="shared" si="179"/>
        <v>11534</v>
      </c>
      <c r="J683" s="90"/>
    </row>
    <row r="684" spans="1:10" ht="45" customHeight="1">
      <c r="A684" s="77" t="s">
        <v>104</v>
      </c>
      <c r="B684" s="58" t="s">
        <v>202</v>
      </c>
      <c r="C684" s="43" t="s">
        <v>102</v>
      </c>
      <c r="D684" s="43" t="s">
        <v>622</v>
      </c>
      <c r="E684" s="43" t="s">
        <v>1</v>
      </c>
      <c r="F684" s="43" t="s">
        <v>198</v>
      </c>
      <c r="G684" s="348">
        <f t="shared" si="179"/>
        <v>11334</v>
      </c>
      <c r="H684" s="348">
        <f t="shared" si="179"/>
        <v>11834</v>
      </c>
      <c r="I684" s="348">
        <f t="shared" si="179"/>
        <v>11534</v>
      </c>
    </row>
    <row r="685" spans="1:10" ht="50.25" customHeight="1">
      <c r="A685" s="77" t="s">
        <v>623</v>
      </c>
      <c r="B685" s="58" t="s">
        <v>202</v>
      </c>
      <c r="C685" s="43" t="s">
        <v>102</v>
      </c>
      <c r="D685" s="43" t="s">
        <v>622</v>
      </c>
      <c r="E685" s="43" t="s">
        <v>2</v>
      </c>
      <c r="F685" s="43" t="s">
        <v>198</v>
      </c>
      <c r="G685" s="348">
        <f>G686+G688+G692+G706+G690</f>
        <v>11334</v>
      </c>
      <c r="H685" s="348">
        <f>H686+H688+H692+H706</f>
        <v>11834</v>
      </c>
      <c r="I685" s="348">
        <f>I686+I688+I692+I706</f>
        <v>11534</v>
      </c>
    </row>
    <row r="686" spans="1:10" ht="95.25" customHeight="1">
      <c r="A686" s="77" t="s">
        <v>605</v>
      </c>
      <c r="B686" s="58" t="s">
        <v>202</v>
      </c>
      <c r="C686" s="43" t="s">
        <v>102</v>
      </c>
      <c r="D686" s="43" t="s">
        <v>622</v>
      </c>
      <c r="E686" s="43" t="s">
        <v>5</v>
      </c>
      <c r="F686" s="43" t="s">
        <v>606</v>
      </c>
      <c r="G686" s="348">
        <f>G687</f>
        <v>9716.2180000000008</v>
      </c>
      <c r="H686" s="348">
        <f>H687</f>
        <v>10216.218000000001</v>
      </c>
      <c r="I686" s="348">
        <f>I687</f>
        <v>10916.218000000001</v>
      </c>
    </row>
    <row r="687" spans="1:10" ht="49.5" customHeight="1">
      <c r="A687" s="77" t="s">
        <v>607</v>
      </c>
      <c r="B687" s="58" t="s">
        <v>202</v>
      </c>
      <c r="C687" s="43" t="s">
        <v>102</v>
      </c>
      <c r="D687" s="43" t="s">
        <v>622</v>
      </c>
      <c r="E687" s="43" t="s">
        <v>5</v>
      </c>
      <c r="F687" s="43" t="s">
        <v>608</v>
      </c>
      <c r="G687" s="348">
        <f>'3'!F53</f>
        <v>9716.2180000000008</v>
      </c>
      <c r="H687" s="348">
        <f>'3'!G53</f>
        <v>10216.218000000001</v>
      </c>
      <c r="I687" s="348">
        <f>'3'!H53</f>
        <v>10916.218000000001</v>
      </c>
    </row>
    <row r="688" spans="1:10" ht="33" customHeight="1">
      <c r="A688" s="77" t="s">
        <v>611</v>
      </c>
      <c r="B688" s="58" t="s">
        <v>202</v>
      </c>
      <c r="C688" s="43" t="s">
        <v>102</v>
      </c>
      <c r="D688" s="43" t="s">
        <v>622</v>
      </c>
      <c r="E688" s="43" t="s">
        <v>5</v>
      </c>
      <c r="F688" s="43" t="s">
        <v>612</v>
      </c>
      <c r="G688" s="348">
        <f>G689</f>
        <v>1612.7820000000002</v>
      </c>
      <c r="H688" s="348">
        <f>H689</f>
        <v>1612.7820000000002</v>
      </c>
      <c r="I688" s="348">
        <f>I689</f>
        <v>612.78200000000015</v>
      </c>
    </row>
    <row r="689" spans="1:9" ht="48" customHeight="1">
      <c r="A689" s="77" t="s">
        <v>613</v>
      </c>
      <c r="B689" s="58" t="s">
        <v>202</v>
      </c>
      <c r="C689" s="43" t="s">
        <v>102</v>
      </c>
      <c r="D689" s="43" t="s">
        <v>622</v>
      </c>
      <c r="E689" s="43" t="s">
        <v>5</v>
      </c>
      <c r="F689" s="43" t="s">
        <v>614</v>
      </c>
      <c r="G689" s="348">
        <f>'3'!F55</f>
        <v>1612.7820000000002</v>
      </c>
      <c r="H689" s="348">
        <f>'3'!G55</f>
        <v>1612.7820000000002</v>
      </c>
      <c r="I689" s="348">
        <f>'3'!H55</f>
        <v>612.78200000000015</v>
      </c>
    </row>
    <row r="690" spans="1:9" ht="31.5" hidden="1">
      <c r="A690" s="77" t="s">
        <v>758</v>
      </c>
      <c r="B690" s="58" t="s">
        <v>202</v>
      </c>
      <c r="C690" s="43" t="s">
        <v>102</v>
      </c>
      <c r="D690" s="43" t="s">
        <v>638</v>
      </c>
      <c r="E690" s="43" t="s">
        <v>5</v>
      </c>
      <c r="F690" s="43" t="s">
        <v>759</v>
      </c>
      <c r="G690" s="348">
        <f>G691</f>
        <v>0</v>
      </c>
      <c r="H690" s="348">
        <f>H691</f>
        <v>0</v>
      </c>
      <c r="I690" s="348">
        <f>I691</f>
        <v>0</v>
      </c>
    </row>
    <row r="691" spans="1:9" ht="47.25" hidden="1">
      <c r="A691" s="77" t="s">
        <v>115</v>
      </c>
      <c r="B691" s="58" t="s">
        <v>202</v>
      </c>
      <c r="C691" s="43" t="s">
        <v>102</v>
      </c>
      <c r="D691" s="43" t="s">
        <v>622</v>
      </c>
      <c r="E691" s="43" t="s">
        <v>5</v>
      </c>
      <c r="F691" s="43" t="s">
        <v>799</v>
      </c>
      <c r="G691" s="348">
        <f>'3'!F57</f>
        <v>0</v>
      </c>
      <c r="H691" s="348">
        <v>0</v>
      </c>
      <c r="I691" s="348">
        <v>0</v>
      </c>
    </row>
    <row r="692" spans="1:9">
      <c r="A692" s="77" t="s">
        <v>615</v>
      </c>
      <c r="B692" s="58" t="s">
        <v>202</v>
      </c>
      <c r="C692" s="43" t="s">
        <v>102</v>
      </c>
      <c r="D692" s="43" t="s">
        <v>622</v>
      </c>
      <c r="E692" s="43" t="s">
        <v>5</v>
      </c>
      <c r="F692" s="43" t="s">
        <v>616</v>
      </c>
      <c r="G692" s="348">
        <f>G693</f>
        <v>5</v>
      </c>
      <c r="H692" s="348">
        <f>H693</f>
        <v>5</v>
      </c>
      <c r="I692" s="348">
        <f>I693</f>
        <v>5</v>
      </c>
    </row>
    <row r="693" spans="1:9">
      <c r="A693" s="77" t="s">
        <v>617</v>
      </c>
      <c r="B693" s="58" t="s">
        <v>202</v>
      </c>
      <c r="C693" s="43" t="s">
        <v>102</v>
      </c>
      <c r="D693" s="43" t="s">
        <v>622</v>
      </c>
      <c r="E693" s="43" t="s">
        <v>5</v>
      </c>
      <c r="F693" s="43" t="s">
        <v>618</v>
      </c>
      <c r="G693" s="348">
        <f>'3'!F59</f>
        <v>5</v>
      </c>
      <c r="H693" s="348">
        <f>'3'!G59</f>
        <v>5</v>
      </c>
      <c r="I693" s="348">
        <f>'3'!H59</f>
        <v>5</v>
      </c>
    </row>
    <row r="694" spans="1:9" hidden="1">
      <c r="A694" s="77" t="s">
        <v>654</v>
      </c>
      <c r="B694" s="58" t="s">
        <v>202</v>
      </c>
      <c r="C694" s="43" t="s">
        <v>102</v>
      </c>
      <c r="D694" s="43" t="s">
        <v>622</v>
      </c>
      <c r="E694" s="43" t="s">
        <v>870</v>
      </c>
      <c r="F694" s="43" t="s">
        <v>198</v>
      </c>
      <c r="G694" s="348">
        <f t="shared" ref="G694:I695" si="180">G695</f>
        <v>0</v>
      </c>
      <c r="H694" s="348">
        <f t="shared" si="180"/>
        <v>0</v>
      </c>
      <c r="I694" s="348">
        <f t="shared" si="180"/>
        <v>0</v>
      </c>
    </row>
    <row r="695" spans="1:9" hidden="1">
      <c r="A695" s="77" t="s">
        <v>615</v>
      </c>
      <c r="B695" s="58" t="s">
        <v>202</v>
      </c>
      <c r="C695" s="43" t="s">
        <v>102</v>
      </c>
      <c r="D695" s="43" t="s">
        <v>622</v>
      </c>
      <c r="E695" s="43" t="s">
        <v>870</v>
      </c>
      <c r="F695" s="43" t="s">
        <v>616</v>
      </c>
      <c r="G695" s="348">
        <f t="shared" si="180"/>
        <v>0</v>
      </c>
      <c r="H695" s="348">
        <f t="shared" si="180"/>
        <v>0</v>
      </c>
      <c r="I695" s="348">
        <f t="shared" si="180"/>
        <v>0</v>
      </c>
    </row>
    <row r="696" spans="1:9" hidden="1">
      <c r="A696" s="77" t="s">
        <v>654</v>
      </c>
      <c r="B696" s="58" t="s">
        <v>202</v>
      </c>
      <c r="C696" s="43" t="s">
        <v>102</v>
      </c>
      <c r="D696" s="43" t="s">
        <v>622</v>
      </c>
      <c r="E696" s="43" t="s">
        <v>870</v>
      </c>
      <c r="F696" s="43" t="s">
        <v>655</v>
      </c>
      <c r="G696" s="348"/>
      <c r="H696" s="348"/>
      <c r="I696" s="348"/>
    </row>
    <row r="697" spans="1:9" ht="31.5">
      <c r="A697" s="334" t="s">
        <v>633</v>
      </c>
      <c r="B697" s="216" t="s">
        <v>202</v>
      </c>
      <c r="C697" s="71" t="s">
        <v>102</v>
      </c>
      <c r="D697" s="71" t="s">
        <v>187</v>
      </c>
      <c r="E697" s="71" t="s">
        <v>242</v>
      </c>
      <c r="F697" s="71"/>
      <c r="G697" s="335">
        <f t="shared" ref="G697:I699" si="181">G698</f>
        <v>3721.68</v>
      </c>
      <c r="H697" s="335">
        <f t="shared" si="181"/>
        <v>0</v>
      </c>
      <c r="I697" s="335">
        <f t="shared" si="181"/>
        <v>0</v>
      </c>
    </row>
    <row r="698" spans="1:9" ht="31.5">
      <c r="A698" s="151" t="s">
        <v>634</v>
      </c>
      <c r="B698" s="58" t="s">
        <v>202</v>
      </c>
      <c r="C698" s="43" t="s">
        <v>102</v>
      </c>
      <c r="D698" s="43" t="s">
        <v>187</v>
      </c>
      <c r="E698" s="43" t="s">
        <v>242</v>
      </c>
      <c r="F698" s="43" t="s">
        <v>103</v>
      </c>
      <c r="G698" s="348">
        <f t="shared" si="181"/>
        <v>3721.68</v>
      </c>
      <c r="H698" s="348">
        <f t="shared" si="181"/>
        <v>0</v>
      </c>
      <c r="I698" s="348">
        <f t="shared" si="181"/>
        <v>0</v>
      </c>
    </row>
    <row r="699" spans="1:9" ht="47.25">
      <c r="A699" s="151" t="s">
        <v>104</v>
      </c>
      <c r="B699" s="58" t="s">
        <v>202</v>
      </c>
      <c r="C699" s="43" t="s">
        <v>102</v>
      </c>
      <c r="D699" s="43" t="s">
        <v>187</v>
      </c>
      <c r="E699" s="43" t="s">
        <v>242</v>
      </c>
      <c r="F699" s="43" t="s">
        <v>612</v>
      </c>
      <c r="G699" s="348">
        <f t="shared" si="181"/>
        <v>3721.68</v>
      </c>
      <c r="H699" s="348">
        <f t="shared" si="181"/>
        <v>0</v>
      </c>
      <c r="I699" s="348">
        <f t="shared" si="181"/>
        <v>0</v>
      </c>
    </row>
    <row r="700" spans="1:9" ht="31.5">
      <c r="A700" s="151" t="s">
        <v>241</v>
      </c>
      <c r="B700" s="58" t="s">
        <v>202</v>
      </c>
      <c r="C700" s="43" t="s">
        <v>102</v>
      </c>
      <c r="D700" s="43" t="s">
        <v>187</v>
      </c>
      <c r="E700" s="43" t="s">
        <v>242</v>
      </c>
      <c r="F700" s="43" t="s">
        <v>614</v>
      </c>
      <c r="G700" s="348">
        <f>'3'!F79</f>
        <v>3721.68</v>
      </c>
      <c r="H700" s="348">
        <f>'3'!G79</f>
        <v>0</v>
      </c>
      <c r="I700" s="348">
        <f>'3'!H79</f>
        <v>0</v>
      </c>
    </row>
    <row r="701" spans="1:9" hidden="1">
      <c r="A701" s="77" t="s">
        <v>615</v>
      </c>
      <c r="B701" s="58" t="s">
        <v>202</v>
      </c>
      <c r="C701" s="43" t="s">
        <v>102</v>
      </c>
      <c r="D701" s="43" t="s">
        <v>187</v>
      </c>
      <c r="E701" s="43" t="s">
        <v>242</v>
      </c>
      <c r="F701" s="43" t="s">
        <v>616</v>
      </c>
      <c r="G701" s="348">
        <f>G702</f>
        <v>0</v>
      </c>
      <c r="H701" s="348">
        <f t="shared" ref="H701:I701" si="182">H702</f>
        <v>0</v>
      </c>
      <c r="I701" s="348">
        <f t="shared" si="182"/>
        <v>0</v>
      </c>
    </row>
    <row r="702" spans="1:9" hidden="1">
      <c r="A702" s="162" t="s">
        <v>635</v>
      </c>
      <c r="B702" s="58" t="s">
        <v>202</v>
      </c>
      <c r="C702" s="43" t="s">
        <v>102</v>
      </c>
      <c r="D702" s="43" t="s">
        <v>187</v>
      </c>
      <c r="E702" s="43" t="s">
        <v>242</v>
      </c>
      <c r="F702" s="43" t="s">
        <v>636</v>
      </c>
      <c r="G702" s="348">
        <v>0</v>
      </c>
      <c r="H702" s="348">
        <f>'3'!G79</f>
        <v>0</v>
      </c>
      <c r="I702" s="348">
        <f>'3'!H79</f>
        <v>0</v>
      </c>
    </row>
    <row r="703" spans="1:9" hidden="1">
      <c r="A703" s="76" t="s">
        <v>654</v>
      </c>
      <c r="B703" s="61" t="s">
        <v>202</v>
      </c>
      <c r="C703" s="53" t="s">
        <v>102</v>
      </c>
      <c r="D703" s="53" t="s">
        <v>638</v>
      </c>
      <c r="E703" s="53" t="s">
        <v>8</v>
      </c>
      <c r="F703" s="53" t="s">
        <v>198</v>
      </c>
      <c r="G703" s="41">
        <f t="shared" ref="G703:I704" si="183">G704</f>
        <v>0</v>
      </c>
      <c r="H703" s="41">
        <f t="shared" si="183"/>
        <v>0</v>
      </c>
      <c r="I703" s="41">
        <f t="shared" si="183"/>
        <v>0</v>
      </c>
    </row>
    <row r="704" spans="1:9" hidden="1">
      <c r="A704" s="77" t="s">
        <v>615</v>
      </c>
      <c r="B704" s="58" t="s">
        <v>202</v>
      </c>
      <c r="C704" s="43" t="s">
        <v>102</v>
      </c>
      <c r="D704" s="43" t="s">
        <v>638</v>
      </c>
      <c r="E704" s="43" t="s">
        <v>8</v>
      </c>
      <c r="F704" s="43" t="s">
        <v>616</v>
      </c>
      <c r="G704" s="348">
        <f t="shared" si="183"/>
        <v>0</v>
      </c>
      <c r="H704" s="348">
        <f t="shared" si="183"/>
        <v>0</v>
      </c>
      <c r="I704" s="348">
        <f t="shared" si="183"/>
        <v>0</v>
      </c>
    </row>
    <row r="705" spans="1:12" hidden="1">
      <c r="A705" s="77" t="s">
        <v>654</v>
      </c>
      <c r="B705" s="58" t="s">
        <v>202</v>
      </c>
      <c r="C705" s="43" t="s">
        <v>102</v>
      </c>
      <c r="D705" s="43" t="s">
        <v>638</v>
      </c>
      <c r="E705" s="43" t="s">
        <v>8</v>
      </c>
      <c r="F705" s="43" t="s">
        <v>655</v>
      </c>
      <c r="G705" s="348"/>
      <c r="H705" s="348"/>
      <c r="I705" s="348"/>
    </row>
    <row r="706" spans="1:12" hidden="1">
      <c r="A706" s="76" t="s">
        <v>654</v>
      </c>
      <c r="B706" s="61" t="s">
        <v>202</v>
      </c>
      <c r="C706" s="53" t="s">
        <v>102</v>
      </c>
      <c r="D706" s="53" t="s">
        <v>638</v>
      </c>
      <c r="E706" s="53" t="s">
        <v>8</v>
      </c>
      <c r="F706" s="53" t="s">
        <v>198</v>
      </c>
      <c r="G706" s="41">
        <f t="shared" ref="G706:I707" si="184">G707</f>
        <v>0</v>
      </c>
      <c r="H706" s="41">
        <f t="shared" si="184"/>
        <v>0</v>
      </c>
      <c r="I706" s="41">
        <f t="shared" si="184"/>
        <v>0</v>
      </c>
    </row>
    <row r="707" spans="1:12" hidden="1">
      <c r="A707" s="77" t="s">
        <v>615</v>
      </c>
      <c r="B707" s="58" t="s">
        <v>202</v>
      </c>
      <c r="C707" s="43" t="s">
        <v>102</v>
      </c>
      <c r="D707" s="43" t="s">
        <v>638</v>
      </c>
      <c r="E707" s="43" t="s">
        <v>8</v>
      </c>
      <c r="F707" s="43" t="s">
        <v>616</v>
      </c>
      <c r="G707" s="348">
        <f t="shared" si="184"/>
        <v>0</v>
      </c>
      <c r="H707" s="348">
        <f t="shared" si="184"/>
        <v>0</v>
      </c>
      <c r="I707" s="348">
        <f t="shared" si="184"/>
        <v>0</v>
      </c>
    </row>
    <row r="708" spans="1:12" hidden="1">
      <c r="A708" s="77" t="s">
        <v>654</v>
      </c>
      <c r="B708" s="58" t="s">
        <v>202</v>
      </c>
      <c r="C708" s="43" t="s">
        <v>102</v>
      </c>
      <c r="D708" s="43" t="s">
        <v>638</v>
      </c>
      <c r="E708" s="43" t="s">
        <v>8</v>
      </c>
      <c r="F708" s="43" t="s">
        <v>655</v>
      </c>
      <c r="G708" s="348"/>
      <c r="H708" s="348"/>
      <c r="I708" s="348"/>
    </row>
    <row r="709" spans="1:12" ht="31.5" hidden="1">
      <c r="A709" s="77" t="s">
        <v>570</v>
      </c>
      <c r="B709" s="58" t="s">
        <v>202</v>
      </c>
      <c r="C709" s="43" t="s">
        <v>102</v>
      </c>
      <c r="D709" s="43" t="s">
        <v>638</v>
      </c>
      <c r="E709" s="58" t="s">
        <v>5</v>
      </c>
      <c r="F709" s="43" t="s">
        <v>612</v>
      </c>
      <c r="G709" s="348">
        <f>G710</f>
        <v>0</v>
      </c>
      <c r="H709" s="348">
        <f>H710</f>
        <v>0</v>
      </c>
      <c r="I709" s="348">
        <f>I710</f>
        <v>0</v>
      </c>
    </row>
    <row r="710" spans="1:12" ht="47.25" hidden="1">
      <c r="A710" s="77" t="s">
        <v>613</v>
      </c>
      <c r="B710" s="58" t="s">
        <v>202</v>
      </c>
      <c r="C710" s="43" t="s">
        <v>102</v>
      </c>
      <c r="D710" s="43" t="s">
        <v>638</v>
      </c>
      <c r="E710" s="58" t="s">
        <v>5</v>
      </c>
      <c r="F710" s="43" t="s">
        <v>614</v>
      </c>
      <c r="G710" s="348">
        <v>0</v>
      </c>
      <c r="H710" s="348">
        <v>0</v>
      </c>
      <c r="I710" s="348">
        <v>0</v>
      </c>
    </row>
    <row r="711" spans="1:12" s="200" customFormat="1" ht="63" customHeight="1">
      <c r="A711" s="76" t="s">
        <v>907</v>
      </c>
      <c r="B711" s="61" t="s">
        <v>202</v>
      </c>
      <c r="C711" s="53" t="s">
        <v>187</v>
      </c>
      <c r="D711" s="53" t="s">
        <v>620</v>
      </c>
      <c r="E711" s="53" t="s">
        <v>904</v>
      </c>
      <c r="F711" s="53" t="s">
        <v>198</v>
      </c>
      <c r="G711" s="41">
        <f>G712</f>
        <v>20</v>
      </c>
      <c r="H711" s="41">
        <f t="shared" ref="H711:I712" si="185">H712</f>
        <v>20</v>
      </c>
      <c r="I711" s="41">
        <f t="shared" si="185"/>
        <v>20</v>
      </c>
    </row>
    <row r="712" spans="1:12" ht="35.25" customHeight="1">
      <c r="A712" s="77" t="s">
        <v>611</v>
      </c>
      <c r="B712" s="58" t="s">
        <v>202</v>
      </c>
      <c r="C712" s="43" t="s">
        <v>187</v>
      </c>
      <c r="D712" s="43" t="s">
        <v>620</v>
      </c>
      <c r="E712" s="43" t="s">
        <v>904</v>
      </c>
      <c r="F712" s="43" t="s">
        <v>612</v>
      </c>
      <c r="G712" s="348">
        <f>G713</f>
        <v>20</v>
      </c>
      <c r="H712" s="348">
        <f t="shared" si="185"/>
        <v>20</v>
      </c>
      <c r="I712" s="348">
        <f t="shared" si="185"/>
        <v>20</v>
      </c>
    </row>
    <row r="713" spans="1:12" ht="47.25">
      <c r="A713" s="77" t="s">
        <v>613</v>
      </c>
      <c r="B713" s="58" t="s">
        <v>202</v>
      </c>
      <c r="C713" s="43" t="s">
        <v>187</v>
      </c>
      <c r="D713" s="43" t="s">
        <v>620</v>
      </c>
      <c r="E713" s="43" t="s">
        <v>904</v>
      </c>
      <c r="F713" s="43" t="s">
        <v>614</v>
      </c>
      <c r="G713" s="348">
        <v>20</v>
      </c>
      <c r="H713" s="348">
        <v>20</v>
      </c>
      <c r="I713" s="348">
        <v>20</v>
      </c>
    </row>
    <row r="714" spans="1:12" ht="94.5">
      <c r="A714" s="202" t="s">
        <v>998</v>
      </c>
      <c r="B714" s="203" t="s">
        <v>202</v>
      </c>
      <c r="C714" s="157" t="s">
        <v>830</v>
      </c>
      <c r="D714" s="157" t="s">
        <v>103</v>
      </c>
      <c r="E714" s="157" t="s">
        <v>261</v>
      </c>
      <c r="F714" s="157" t="s">
        <v>198</v>
      </c>
      <c r="G714" s="158">
        <f>G717+G720+G726</f>
        <v>19919.803999999996</v>
      </c>
      <c r="H714" s="158">
        <f t="shared" ref="H714:I714" si="186">H717+H720+H726</f>
        <v>11540.454</v>
      </c>
      <c r="I714" s="158">
        <f t="shared" si="186"/>
        <v>11440.454</v>
      </c>
      <c r="J714" s="90"/>
      <c r="K714" s="90"/>
      <c r="L714" s="90"/>
    </row>
    <row r="715" spans="1:12" ht="51" customHeight="1">
      <c r="A715" s="77" t="s">
        <v>831</v>
      </c>
      <c r="B715" s="58" t="s">
        <v>202</v>
      </c>
      <c r="C715" s="43" t="s">
        <v>830</v>
      </c>
      <c r="D715" s="43" t="s">
        <v>102</v>
      </c>
      <c r="E715" s="43" t="s">
        <v>261</v>
      </c>
      <c r="F715" s="43" t="s">
        <v>198</v>
      </c>
      <c r="G715" s="348">
        <f>G716+G720+G724</f>
        <v>19919.803999999996</v>
      </c>
      <c r="H715" s="348">
        <f>H720</f>
        <v>650</v>
      </c>
      <c r="I715" s="348">
        <f>I720</f>
        <v>600</v>
      </c>
    </row>
    <row r="716" spans="1:12" ht="50.25" customHeight="1">
      <c r="A716" s="76" t="s">
        <v>832</v>
      </c>
      <c r="B716" s="58" t="s">
        <v>202</v>
      </c>
      <c r="C716" s="53" t="s">
        <v>830</v>
      </c>
      <c r="D716" s="53" t="s">
        <v>102</v>
      </c>
      <c r="E716" s="53" t="s">
        <v>254</v>
      </c>
      <c r="F716" s="53" t="s">
        <v>198</v>
      </c>
      <c r="G716" s="41">
        <f>G717</f>
        <v>10840.454</v>
      </c>
      <c r="H716" s="41">
        <f t="shared" ref="H716:I718" si="187">H717</f>
        <v>10840.454</v>
      </c>
      <c r="I716" s="41">
        <f t="shared" si="187"/>
        <v>10840.454</v>
      </c>
    </row>
    <row r="717" spans="1:12" ht="21" customHeight="1">
      <c r="A717" s="77" t="s">
        <v>674</v>
      </c>
      <c r="B717" s="58" t="s">
        <v>202</v>
      </c>
      <c r="C717" s="43" t="s">
        <v>830</v>
      </c>
      <c r="D717" s="43" t="s">
        <v>102</v>
      </c>
      <c r="E717" s="43" t="s">
        <v>254</v>
      </c>
      <c r="F717" s="43" t="s">
        <v>198</v>
      </c>
      <c r="G717" s="348">
        <f>G718</f>
        <v>10840.454</v>
      </c>
      <c r="H717" s="348">
        <f t="shared" si="187"/>
        <v>10840.454</v>
      </c>
      <c r="I717" s="348">
        <f t="shared" si="187"/>
        <v>10840.454</v>
      </c>
    </row>
    <row r="718" spans="1:12" ht="129" customHeight="1">
      <c r="A718" s="76" t="s">
        <v>175</v>
      </c>
      <c r="B718" s="58" t="s">
        <v>202</v>
      </c>
      <c r="C718" s="43" t="s">
        <v>830</v>
      </c>
      <c r="D718" s="43" t="s">
        <v>102</v>
      </c>
      <c r="E718" s="43" t="s">
        <v>254</v>
      </c>
      <c r="F718" s="43" t="s">
        <v>198</v>
      </c>
      <c r="G718" s="348">
        <f>G719</f>
        <v>10840.454</v>
      </c>
      <c r="H718" s="348">
        <f t="shared" si="187"/>
        <v>10840.454</v>
      </c>
      <c r="I718" s="348">
        <f t="shared" si="187"/>
        <v>10840.454</v>
      </c>
    </row>
    <row r="719" spans="1:12" ht="16.5" customHeight="1">
      <c r="A719" s="77" t="s">
        <v>833</v>
      </c>
      <c r="B719" s="58" t="s">
        <v>202</v>
      </c>
      <c r="C719" s="43" t="s">
        <v>830</v>
      </c>
      <c r="D719" s="43" t="s">
        <v>102</v>
      </c>
      <c r="E719" s="43" t="s">
        <v>254</v>
      </c>
      <c r="F719" s="43" t="s">
        <v>834</v>
      </c>
      <c r="G719" s="348">
        <f>'5'!D227</f>
        <v>10840.454</v>
      </c>
      <c r="H719" s="348">
        <f>'5'!E227</f>
        <v>10840.454</v>
      </c>
      <c r="I719" s="348">
        <f>'5'!F227</f>
        <v>10840.454</v>
      </c>
    </row>
    <row r="720" spans="1:12" ht="47.25">
      <c r="A720" s="76" t="s">
        <v>168</v>
      </c>
      <c r="B720" s="58" t="s">
        <v>202</v>
      </c>
      <c r="C720" s="53" t="s">
        <v>830</v>
      </c>
      <c r="D720" s="53" t="s">
        <v>102</v>
      </c>
      <c r="E720" s="53" t="s">
        <v>255</v>
      </c>
      <c r="F720" s="53" t="s">
        <v>198</v>
      </c>
      <c r="G720" s="41">
        <f>G721</f>
        <v>7899</v>
      </c>
      <c r="H720" s="41">
        <f>H721</f>
        <v>650</v>
      </c>
      <c r="I720" s="41">
        <f>I721</f>
        <v>600</v>
      </c>
    </row>
    <row r="721" spans="1:9" ht="18.75" customHeight="1">
      <c r="A721" s="77" t="s">
        <v>833</v>
      </c>
      <c r="B721" s="58" t="s">
        <v>202</v>
      </c>
      <c r="C721" s="43" t="s">
        <v>830</v>
      </c>
      <c r="D721" s="43" t="s">
        <v>102</v>
      </c>
      <c r="E721" s="43" t="s">
        <v>255</v>
      </c>
      <c r="F721" s="43" t="s">
        <v>834</v>
      </c>
      <c r="G721" s="348">
        <f>'5'!D228</f>
        <v>7899</v>
      </c>
      <c r="H721" s="348">
        <f>'5'!E228</f>
        <v>650</v>
      </c>
      <c r="I721" s="348">
        <f>'5'!F228</f>
        <v>600</v>
      </c>
    </row>
    <row r="722" spans="1:9" ht="47.25" hidden="1">
      <c r="A722" s="74" t="s">
        <v>168</v>
      </c>
      <c r="B722" s="47" t="s">
        <v>202</v>
      </c>
      <c r="C722" s="37" t="s">
        <v>830</v>
      </c>
      <c r="D722" s="37" t="s">
        <v>102</v>
      </c>
      <c r="E722" s="37" t="s">
        <v>8</v>
      </c>
      <c r="F722" s="37" t="s">
        <v>198</v>
      </c>
      <c r="G722" s="38">
        <f>G723</f>
        <v>0</v>
      </c>
      <c r="H722" s="38">
        <f>H723</f>
        <v>0</v>
      </c>
      <c r="I722" s="38">
        <f>I723</f>
        <v>0</v>
      </c>
    </row>
    <row r="723" spans="1:9" hidden="1">
      <c r="A723" s="74" t="s">
        <v>654</v>
      </c>
      <c r="B723" s="47" t="s">
        <v>202</v>
      </c>
      <c r="C723" s="37" t="s">
        <v>830</v>
      </c>
      <c r="D723" s="37" t="s">
        <v>102</v>
      </c>
      <c r="E723" s="37" t="s">
        <v>8</v>
      </c>
      <c r="F723" s="37" t="s">
        <v>834</v>
      </c>
      <c r="G723" s="38"/>
      <c r="H723" s="38"/>
      <c r="I723" s="38"/>
    </row>
    <row r="724" spans="1:9" ht="31.5">
      <c r="A724" s="211" t="s">
        <v>835</v>
      </c>
      <c r="B724" s="195" t="s">
        <v>202</v>
      </c>
      <c r="C724" s="212" t="s">
        <v>830</v>
      </c>
      <c r="D724" s="212" t="s">
        <v>105</v>
      </c>
      <c r="E724" s="212" t="s">
        <v>261</v>
      </c>
      <c r="F724" s="212" t="s">
        <v>198</v>
      </c>
      <c r="G724" s="213">
        <f>G725+G730</f>
        <v>1180.3500000000001</v>
      </c>
      <c r="H724" s="213">
        <f>H725+H730</f>
        <v>50</v>
      </c>
      <c r="I724" s="213">
        <f>I725+I730</f>
        <v>0</v>
      </c>
    </row>
    <row r="725" spans="1:9" ht="31.5">
      <c r="A725" s="77" t="s">
        <v>222</v>
      </c>
      <c r="B725" s="58" t="s">
        <v>202</v>
      </c>
      <c r="C725" s="43" t="s">
        <v>830</v>
      </c>
      <c r="D725" s="43" t="s">
        <v>105</v>
      </c>
      <c r="E725" s="43" t="s">
        <v>256</v>
      </c>
      <c r="F725" s="43" t="s">
        <v>198</v>
      </c>
      <c r="G725" s="348">
        <f>G726</f>
        <v>1180.3500000000001</v>
      </c>
      <c r="H725" s="348">
        <f>H726</f>
        <v>50</v>
      </c>
      <c r="I725" s="348">
        <f>I726</f>
        <v>0</v>
      </c>
    </row>
    <row r="726" spans="1:9" ht="16.5" customHeight="1">
      <c r="A726" s="77" t="s">
        <v>674</v>
      </c>
      <c r="B726" s="58" t="s">
        <v>202</v>
      </c>
      <c r="C726" s="43" t="s">
        <v>830</v>
      </c>
      <c r="D726" s="43" t="s">
        <v>105</v>
      </c>
      <c r="E726" s="43" t="s">
        <v>256</v>
      </c>
      <c r="F726" s="43" t="s">
        <v>675</v>
      </c>
      <c r="G726" s="348">
        <f>G727+G730</f>
        <v>1180.3500000000001</v>
      </c>
      <c r="H726" s="348">
        <f>H727+H730</f>
        <v>50</v>
      </c>
      <c r="I726" s="348">
        <f>I727+I730</f>
        <v>0</v>
      </c>
    </row>
    <row r="727" spans="1:9" ht="17.649999999999999" customHeight="1">
      <c r="A727" s="77" t="s">
        <v>166</v>
      </c>
      <c r="B727" s="58" t="s">
        <v>202</v>
      </c>
      <c r="C727" s="43" t="s">
        <v>830</v>
      </c>
      <c r="D727" s="43" t="s">
        <v>105</v>
      </c>
      <c r="E727" s="43" t="s">
        <v>256</v>
      </c>
      <c r="F727" s="43" t="s">
        <v>692</v>
      </c>
      <c r="G727" s="348">
        <f>'5'!D229+'5'!D231</f>
        <v>1180.3500000000001</v>
      </c>
      <c r="H727" s="348">
        <f>'5'!E229+'5'!E231</f>
        <v>50</v>
      </c>
      <c r="I727" s="348">
        <f>'5'!F229+'5'!F231</f>
        <v>0</v>
      </c>
    </row>
    <row r="728" spans="1:9" hidden="1">
      <c r="A728" s="74" t="s">
        <v>674</v>
      </c>
      <c r="B728" s="47" t="s">
        <v>202</v>
      </c>
      <c r="C728" s="37" t="s">
        <v>830</v>
      </c>
      <c r="D728" s="37" t="s">
        <v>105</v>
      </c>
      <c r="E728" s="37" t="s">
        <v>245</v>
      </c>
      <c r="F728" s="37" t="s">
        <v>675</v>
      </c>
      <c r="G728" s="38">
        <f>G729</f>
        <v>0</v>
      </c>
      <c r="H728" s="38">
        <f>H729</f>
        <v>0</v>
      </c>
      <c r="I728" s="38">
        <f>I729</f>
        <v>0</v>
      </c>
    </row>
    <row r="729" spans="1:9" ht="141.75" hidden="1">
      <c r="A729" s="74" t="s">
        <v>246</v>
      </c>
      <c r="B729" s="47" t="s">
        <v>202</v>
      </c>
      <c r="C729" s="37" t="s">
        <v>830</v>
      </c>
      <c r="D729" s="37" t="s">
        <v>105</v>
      </c>
      <c r="E729" s="37" t="s">
        <v>245</v>
      </c>
      <c r="F729" s="37" t="s">
        <v>692</v>
      </c>
      <c r="G729" s="38"/>
      <c r="H729" s="38"/>
      <c r="I729" s="38"/>
    </row>
    <row r="730" spans="1:9" ht="78.75" hidden="1">
      <c r="A730" s="74" t="s">
        <v>836</v>
      </c>
      <c r="B730" s="47" t="s">
        <v>202</v>
      </c>
      <c r="C730" s="37" t="s">
        <v>830</v>
      </c>
      <c r="D730" s="37" t="s">
        <v>105</v>
      </c>
      <c r="E730" s="37" t="s">
        <v>837</v>
      </c>
      <c r="F730" s="37" t="s">
        <v>692</v>
      </c>
      <c r="G730" s="38"/>
      <c r="H730" s="38"/>
      <c r="I730" s="38"/>
    </row>
    <row r="731" spans="1:9" s="199" customFormat="1" ht="31.5" hidden="1">
      <c r="A731" s="194" t="s">
        <v>724</v>
      </c>
      <c r="B731" s="195" t="s">
        <v>202</v>
      </c>
      <c r="C731" s="196" t="s">
        <v>830</v>
      </c>
      <c r="D731" s="196" t="s">
        <v>102</v>
      </c>
      <c r="E731" s="196" t="s">
        <v>237</v>
      </c>
      <c r="F731" s="196" t="s">
        <v>198</v>
      </c>
      <c r="G731" s="197">
        <f>G732+G735+G737</f>
        <v>0</v>
      </c>
      <c r="H731" s="197">
        <f>H732+H735+H737</f>
        <v>0</v>
      </c>
      <c r="I731" s="197">
        <f>I732+I735+I737</f>
        <v>0</v>
      </c>
    </row>
    <row r="732" spans="1:9" hidden="1">
      <c r="A732" s="74" t="s">
        <v>674</v>
      </c>
      <c r="B732" s="47"/>
      <c r="C732" s="37"/>
      <c r="D732" s="37"/>
      <c r="E732" s="37" t="s">
        <v>237</v>
      </c>
      <c r="F732" s="37" t="s">
        <v>198</v>
      </c>
      <c r="G732" s="38">
        <f t="shared" ref="G732:I733" si="188">G733</f>
        <v>0</v>
      </c>
      <c r="H732" s="38">
        <f t="shared" si="188"/>
        <v>0</v>
      </c>
      <c r="I732" s="38">
        <f t="shared" si="188"/>
        <v>0</v>
      </c>
    </row>
    <row r="733" spans="1:9" ht="126" hidden="1" customHeight="1">
      <c r="A733" s="75" t="s">
        <v>175</v>
      </c>
      <c r="B733" s="201" t="s">
        <v>202</v>
      </c>
      <c r="C733" s="2" t="s">
        <v>830</v>
      </c>
      <c r="D733" s="2" t="s">
        <v>102</v>
      </c>
      <c r="E733" s="2" t="s">
        <v>237</v>
      </c>
      <c r="F733" s="2" t="s">
        <v>675</v>
      </c>
      <c r="G733" s="39">
        <f t="shared" si="188"/>
        <v>0</v>
      </c>
      <c r="H733" s="39">
        <f t="shared" si="188"/>
        <v>0</v>
      </c>
      <c r="I733" s="39">
        <f t="shared" si="188"/>
        <v>0</v>
      </c>
    </row>
    <row r="734" spans="1:9" hidden="1">
      <c r="A734" s="74" t="s">
        <v>833</v>
      </c>
      <c r="B734" s="47" t="s">
        <v>202</v>
      </c>
      <c r="C734" s="2" t="s">
        <v>830</v>
      </c>
      <c r="D734" s="2" t="s">
        <v>102</v>
      </c>
      <c r="E734" s="37" t="s">
        <v>237</v>
      </c>
      <c r="F734" s="2" t="s">
        <v>834</v>
      </c>
      <c r="G734" s="39">
        <f>'5'!D336</f>
        <v>0</v>
      </c>
      <c r="H734" s="39">
        <f>'5'!E336</f>
        <v>0</v>
      </c>
      <c r="I734" s="39">
        <f>'5'!F336</f>
        <v>0</v>
      </c>
    </row>
    <row r="735" spans="1:9" ht="47.25" hidden="1">
      <c r="A735" s="75" t="s">
        <v>168</v>
      </c>
      <c r="B735" s="47" t="s">
        <v>202</v>
      </c>
      <c r="C735" s="37" t="s">
        <v>830</v>
      </c>
      <c r="D735" s="37" t="s">
        <v>102</v>
      </c>
      <c r="E735" s="37" t="s">
        <v>518</v>
      </c>
      <c r="F735" s="37" t="s">
        <v>675</v>
      </c>
      <c r="G735" s="38">
        <f>G736</f>
        <v>0</v>
      </c>
      <c r="H735" s="38">
        <f>H736</f>
        <v>0</v>
      </c>
      <c r="I735" s="38">
        <f>I736</f>
        <v>0</v>
      </c>
    </row>
    <row r="736" spans="1:9" hidden="1">
      <c r="A736" s="74" t="s">
        <v>833</v>
      </c>
      <c r="B736" s="47" t="s">
        <v>202</v>
      </c>
      <c r="C736" s="37" t="s">
        <v>830</v>
      </c>
      <c r="D736" s="37" t="s">
        <v>102</v>
      </c>
      <c r="E736" s="37" t="s">
        <v>518</v>
      </c>
      <c r="F736" s="37" t="s">
        <v>834</v>
      </c>
      <c r="G736" s="38">
        <f>'5'!D337</f>
        <v>0</v>
      </c>
      <c r="H736" s="38">
        <f>'5'!E337</f>
        <v>0</v>
      </c>
      <c r="I736" s="38">
        <f>'5'!F337</f>
        <v>0</v>
      </c>
    </row>
    <row r="737" spans="1:12" ht="31.5" hidden="1">
      <c r="A737" s="75" t="s">
        <v>835</v>
      </c>
      <c r="B737" s="201" t="s">
        <v>202</v>
      </c>
      <c r="C737" s="2" t="s">
        <v>830</v>
      </c>
      <c r="D737" s="2" t="s">
        <v>105</v>
      </c>
      <c r="E737" s="2" t="s">
        <v>519</v>
      </c>
      <c r="F737" s="2" t="s">
        <v>675</v>
      </c>
      <c r="G737" s="39">
        <f>G738</f>
        <v>0</v>
      </c>
      <c r="H737" s="39">
        <f>H738</f>
        <v>0</v>
      </c>
      <c r="I737" s="39">
        <f>I738</f>
        <v>0</v>
      </c>
    </row>
    <row r="738" spans="1:12" hidden="1">
      <c r="A738" s="74" t="s">
        <v>166</v>
      </c>
      <c r="B738" s="47" t="s">
        <v>202</v>
      </c>
      <c r="C738" s="37" t="s">
        <v>830</v>
      </c>
      <c r="D738" s="37" t="s">
        <v>105</v>
      </c>
      <c r="E738" s="37" t="s">
        <v>519</v>
      </c>
      <c r="F738" s="37" t="s">
        <v>692</v>
      </c>
      <c r="G738" s="38">
        <f>'5'!D338</f>
        <v>0</v>
      </c>
      <c r="H738" s="38">
        <f>'5'!E338</f>
        <v>0</v>
      </c>
      <c r="I738" s="38">
        <f>'5'!F338</f>
        <v>0</v>
      </c>
    </row>
    <row r="739" spans="1:12" ht="101.25" customHeight="1">
      <c r="A739" s="80" t="s">
        <v>871</v>
      </c>
      <c r="B739" s="190" t="s">
        <v>201</v>
      </c>
      <c r="C739" s="190" t="s">
        <v>103</v>
      </c>
      <c r="D739" s="190" t="s">
        <v>103</v>
      </c>
      <c r="E739" s="190" t="s">
        <v>601</v>
      </c>
      <c r="F739" s="190" t="s">
        <v>198</v>
      </c>
      <c r="G739" s="31">
        <f>G740+G970+G989</f>
        <v>777395.64542515157</v>
      </c>
      <c r="H739" s="31">
        <f>H740+H970+H989</f>
        <v>686892.13290000008</v>
      </c>
      <c r="I739" s="31">
        <f>I740+I970+I989</f>
        <v>720527.69090500008</v>
      </c>
    </row>
    <row r="740" spans="1:12">
      <c r="A740" s="73" t="s">
        <v>718</v>
      </c>
      <c r="B740" s="191" t="s">
        <v>201</v>
      </c>
      <c r="C740" s="34" t="s">
        <v>187</v>
      </c>
      <c r="D740" s="34" t="s">
        <v>103</v>
      </c>
      <c r="E740" s="34" t="s">
        <v>601</v>
      </c>
      <c r="F740" s="34" t="s">
        <v>198</v>
      </c>
      <c r="G740" s="35">
        <f>G741+G767+G849+G877+G903</f>
        <v>770288.30439515156</v>
      </c>
      <c r="H740" s="35">
        <f t="shared" ref="H740:I740" si="189">H741+H767+H849+H877+H903</f>
        <v>680197.44990000012</v>
      </c>
      <c r="I740" s="35">
        <f t="shared" si="189"/>
        <v>713588.79590500006</v>
      </c>
      <c r="J740" s="90"/>
      <c r="K740" s="90"/>
      <c r="L740" s="90"/>
    </row>
    <row r="741" spans="1:12">
      <c r="A741" s="194" t="s">
        <v>719</v>
      </c>
      <c r="B741" s="195" t="s">
        <v>201</v>
      </c>
      <c r="C741" s="196" t="s">
        <v>187</v>
      </c>
      <c r="D741" s="196" t="s">
        <v>102</v>
      </c>
      <c r="E741" s="196" t="s">
        <v>601</v>
      </c>
      <c r="F741" s="196" t="s">
        <v>198</v>
      </c>
      <c r="G741" s="197">
        <f>G744+G746+G749+G752+G755</f>
        <v>111107.01920000001</v>
      </c>
      <c r="H741" s="197">
        <f t="shared" ref="H741:I741" si="190">H744+H746+H749+H752+H755</f>
        <v>100376.014</v>
      </c>
      <c r="I741" s="197">
        <f t="shared" si="190"/>
        <v>107158.054</v>
      </c>
    </row>
    <row r="742" spans="1:12" ht="48.75" customHeight="1">
      <c r="A742" s="75" t="s">
        <v>658</v>
      </c>
      <c r="B742" s="201" t="s">
        <v>201</v>
      </c>
      <c r="C742" s="2" t="s">
        <v>187</v>
      </c>
      <c r="D742" s="2" t="s">
        <v>102</v>
      </c>
      <c r="E742" s="2" t="s">
        <v>18</v>
      </c>
      <c r="F742" s="2" t="s">
        <v>198</v>
      </c>
      <c r="G742" s="39">
        <f>G743</f>
        <v>55365.353199999998</v>
      </c>
      <c r="H742" s="39">
        <f>H743</f>
        <v>42129</v>
      </c>
      <c r="I742" s="39">
        <f>I743</f>
        <v>44629</v>
      </c>
    </row>
    <row r="743" spans="1:12" ht="49.5" customHeight="1">
      <c r="A743" s="86" t="s">
        <v>720</v>
      </c>
      <c r="B743" s="58" t="s">
        <v>201</v>
      </c>
      <c r="C743" s="43" t="s">
        <v>187</v>
      </c>
      <c r="D743" s="43" t="s">
        <v>102</v>
      </c>
      <c r="E743" s="43" t="s">
        <v>27</v>
      </c>
      <c r="F743" s="43" t="s">
        <v>198</v>
      </c>
      <c r="G743" s="348">
        <f>G744+G749+G747</f>
        <v>55365.353199999998</v>
      </c>
      <c r="H743" s="348">
        <f>H744+H749+H747</f>
        <v>42129</v>
      </c>
      <c r="I743" s="348">
        <f>I744+I749+I747</f>
        <v>44629</v>
      </c>
    </row>
    <row r="744" spans="1:12" ht="48.75" customHeight="1">
      <c r="A744" s="77" t="s">
        <v>649</v>
      </c>
      <c r="B744" s="58" t="s">
        <v>201</v>
      </c>
      <c r="C744" s="43" t="s">
        <v>187</v>
      </c>
      <c r="D744" s="43" t="s">
        <v>102</v>
      </c>
      <c r="E744" s="43" t="s">
        <v>721</v>
      </c>
      <c r="F744" s="43" t="s">
        <v>648</v>
      </c>
      <c r="G744" s="348">
        <f>G745</f>
        <v>250</v>
      </c>
      <c r="H744" s="348">
        <f>H745</f>
        <v>200</v>
      </c>
      <c r="I744" s="348">
        <f>I745</f>
        <v>200</v>
      </c>
    </row>
    <row r="745" spans="1:12" ht="20.25" customHeight="1">
      <c r="A745" s="77" t="s">
        <v>117</v>
      </c>
      <c r="B745" s="58" t="s">
        <v>201</v>
      </c>
      <c r="C745" s="43" t="s">
        <v>187</v>
      </c>
      <c r="D745" s="43" t="s">
        <v>102</v>
      </c>
      <c r="E745" s="43" t="s">
        <v>28</v>
      </c>
      <c r="F745" s="43" t="s">
        <v>156</v>
      </c>
      <c r="G745" s="348">
        <f>'5'!D58</f>
        <v>250</v>
      </c>
      <c r="H745" s="348">
        <f>'5'!E58</f>
        <v>200</v>
      </c>
      <c r="I745" s="348">
        <f>'5'!F58</f>
        <v>200</v>
      </c>
    </row>
    <row r="746" spans="1:12" ht="50.25" customHeight="1">
      <c r="A746" s="77" t="s">
        <v>723</v>
      </c>
      <c r="B746" s="58" t="s">
        <v>201</v>
      </c>
      <c r="C746" s="43" t="s">
        <v>187</v>
      </c>
      <c r="D746" s="43" t="s">
        <v>102</v>
      </c>
      <c r="E746" s="43" t="s">
        <v>400</v>
      </c>
      <c r="F746" s="43" t="s">
        <v>198</v>
      </c>
      <c r="G746" s="348">
        <f t="shared" ref="G746:I747" si="191">G747</f>
        <v>238</v>
      </c>
      <c r="H746" s="348">
        <f t="shared" si="191"/>
        <v>0</v>
      </c>
      <c r="I746" s="348">
        <f t="shared" si="191"/>
        <v>0</v>
      </c>
    </row>
    <row r="747" spans="1:12" ht="48" customHeight="1">
      <c r="A747" s="77" t="s">
        <v>649</v>
      </c>
      <c r="B747" s="58" t="s">
        <v>201</v>
      </c>
      <c r="C747" s="43" t="s">
        <v>187</v>
      </c>
      <c r="D747" s="43" t="s">
        <v>102</v>
      </c>
      <c r="E747" s="43" t="s">
        <v>400</v>
      </c>
      <c r="F747" s="43" t="s">
        <v>648</v>
      </c>
      <c r="G747" s="348">
        <f t="shared" si="191"/>
        <v>238</v>
      </c>
      <c r="H747" s="348">
        <f t="shared" si="191"/>
        <v>0</v>
      </c>
      <c r="I747" s="348">
        <f t="shared" si="191"/>
        <v>0</v>
      </c>
    </row>
    <row r="748" spans="1:12" ht="19.899999999999999" customHeight="1">
      <c r="A748" s="77" t="s">
        <v>110</v>
      </c>
      <c r="B748" s="58" t="s">
        <v>201</v>
      </c>
      <c r="C748" s="43" t="s">
        <v>187</v>
      </c>
      <c r="D748" s="43" t="s">
        <v>102</v>
      </c>
      <c r="E748" s="43" t="s">
        <v>400</v>
      </c>
      <c r="F748" s="43" t="s">
        <v>156</v>
      </c>
      <c r="G748" s="348">
        <f>'5'!D60</f>
        <v>238</v>
      </c>
      <c r="H748" s="348">
        <f>'5'!E60</f>
        <v>0</v>
      </c>
      <c r="I748" s="348">
        <f>'5'!F60</f>
        <v>0</v>
      </c>
    </row>
    <row r="749" spans="1:12" ht="108" customHeight="1">
      <c r="A749" s="76" t="s">
        <v>722</v>
      </c>
      <c r="B749" s="58" t="s">
        <v>201</v>
      </c>
      <c r="C749" s="43" t="s">
        <v>187</v>
      </c>
      <c r="D749" s="43" t="s">
        <v>102</v>
      </c>
      <c r="E749" s="43" t="s">
        <v>721</v>
      </c>
      <c r="F749" s="43" t="s">
        <v>198</v>
      </c>
      <c r="G749" s="348">
        <f t="shared" ref="G749:I750" si="192">G750</f>
        <v>54877.353199999998</v>
      </c>
      <c r="H749" s="348">
        <f t="shared" si="192"/>
        <v>41929</v>
      </c>
      <c r="I749" s="348">
        <f t="shared" si="192"/>
        <v>44429</v>
      </c>
    </row>
    <row r="750" spans="1:12" ht="47.25">
      <c r="A750" s="77" t="s">
        <v>649</v>
      </c>
      <c r="B750" s="58" t="s">
        <v>201</v>
      </c>
      <c r="C750" s="43" t="s">
        <v>187</v>
      </c>
      <c r="D750" s="43" t="s">
        <v>102</v>
      </c>
      <c r="E750" s="43" t="s">
        <v>721</v>
      </c>
      <c r="F750" s="43" t="s">
        <v>648</v>
      </c>
      <c r="G750" s="348">
        <f t="shared" si="192"/>
        <v>54877.353199999998</v>
      </c>
      <c r="H750" s="348">
        <f t="shared" si="192"/>
        <v>41929</v>
      </c>
      <c r="I750" s="348">
        <f t="shared" si="192"/>
        <v>44429</v>
      </c>
    </row>
    <row r="751" spans="1:12" ht="18.75" customHeight="1">
      <c r="A751" s="77" t="s">
        <v>110</v>
      </c>
      <c r="B751" s="58" t="s">
        <v>201</v>
      </c>
      <c r="C751" s="43" t="s">
        <v>187</v>
      </c>
      <c r="D751" s="43" t="s">
        <v>102</v>
      </c>
      <c r="E751" s="43" t="s">
        <v>29</v>
      </c>
      <c r="F751" s="43" t="s">
        <v>156</v>
      </c>
      <c r="G751" s="348">
        <f>'5'!D66+'5'!D67</f>
        <v>54877.353199999998</v>
      </c>
      <c r="H751" s="348">
        <f>'5'!E66</f>
        <v>41929</v>
      </c>
      <c r="I751" s="348">
        <f>'5'!F66</f>
        <v>44429</v>
      </c>
    </row>
    <row r="752" spans="1:12" ht="95.25" customHeight="1">
      <c r="A752" s="76" t="s">
        <v>726</v>
      </c>
      <c r="B752" s="58" t="s">
        <v>201</v>
      </c>
      <c r="C752" s="43" t="s">
        <v>187</v>
      </c>
      <c r="D752" s="58" t="s">
        <v>102</v>
      </c>
      <c r="E752" s="43" t="s">
        <v>30</v>
      </c>
      <c r="F752" s="43" t="s">
        <v>198</v>
      </c>
      <c r="G752" s="348">
        <f t="shared" ref="G752:I753" si="193">G753</f>
        <v>52741.666000000005</v>
      </c>
      <c r="H752" s="348">
        <f t="shared" si="193"/>
        <v>58247.013999999996</v>
      </c>
      <c r="I752" s="348">
        <f t="shared" si="193"/>
        <v>62529.054000000004</v>
      </c>
    </row>
    <row r="753" spans="1:9" ht="48.75" customHeight="1">
      <c r="A753" s="77" t="s">
        <v>649</v>
      </c>
      <c r="B753" s="58" t="s">
        <v>201</v>
      </c>
      <c r="C753" s="43" t="s">
        <v>187</v>
      </c>
      <c r="D753" s="43" t="s">
        <v>102</v>
      </c>
      <c r="E753" s="43" t="s">
        <v>30</v>
      </c>
      <c r="F753" s="43" t="s">
        <v>648</v>
      </c>
      <c r="G753" s="348">
        <f t="shared" si="193"/>
        <v>52741.666000000005</v>
      </c>
      <c r="H753" s="348">
        <f t="shared" si="193"/>
        <v>58247.013999999996</v>
      </c>
      <c r="I753" s="348">
        <f t="shared" si="193"/>
        <v>62529.054000000004</v>
      </c>
    </row>
    <row r="754" spans="1:9" ht="20.25" customHeight="1">
      <c r="A754" s="77" t="s">
        <v>117</v>
      </c>
      <c r="B754" s="58" t="s">
        <v>201</v>
      </c>
      <c r="C754" s="43" t="s">
        <v>187</v>
      </c>
      <c r="D754" s="43" t="s">
        <v>102</v>
      </c>
      <c r="E754" s="43" t="s">
        <v>30</v>
      </c>
      <c r="F754" s="43" t="s">
        <v>156</v>
      </c>
      <c r="G754" s="348">
        <f>'5'!D68</f>
        <v>52741.666000000005</v>
      </c>
      <c r="H754" s="348">
        <f>'5'!E68</f>
        <v>58247.013999999996</v>
      </c>
      <c r="I754" s="348">
        <f>'5'!F68</f>
        <v>62529.054000000004</v>
      </c>
    </row>
    <row r="755" spans="1:9" ht="51.75" customHeight="1">
      <c r="A755" s="81" t="s">
        <v>490</v>
      </c>
      <c r="B755" s="60" t="s">
        <v>201</v>
      </c>
      <c r="C755" s="59" t="s">
        <v>187</v>
      </c>
      <c r="D755" s="59" t="s">
        <v>102</v>
      </c>
      <c r="E755" s="60" t="s">
        <v>27</v>
      </c>
      <c r="F755" s="59" t="s">
        <v>198</v>
      </c>
      <c r="G755" s="96">
        <f>G756+G759</f>
        <v>3000</v>
      </c>
      <c r="H755" s="96">
        <f>H756+H759</f>
        <v>0</v>
      </c>
      <c r="I755" s="96">
        <f>I756+I759</f>
        <v>0</v>
      </c>
    </row>
    <row r="756" spans="1:9" ht="102.75" customHeight="1">
      <c r="A756" s="77" t="s">
        <v>1100</v>
      </c>
      <c r="B756" s="58" t="s">
        <v>201</v>
      </c>
      <c r="C756" s="43" t="s">
        <v>187</v>
      </c>
      <c r="D756" s="43" t="s">
        <v>102</v>
      </c>
      <c r="E756" s="58" t="s">
        <v>1147</v>
      </c>
      <c r="F756" s="43" t="s">
        <v>198</v>
      </c>
      <c r="G756" s="348">
        <f t="shared" ref="G756:I757" si="194">G757</f>
        <v>3000</v>
      </c>
      <c r="H756" s="348">
        <f t="shared" si="194"/>
        <v>0</v>
      </c>
      <c r="I756" s="348">
        <f t="shared" si="194"/>
        <v>0</v>
      </c>
    </row>
    <row r="757" spans="1:9" ht="51" customHeight="1">
      <c r="A757" s="77" t="s">
        <v>649</v>
      </c>
      <c r="B757" s="58" t="s">
        <v>201</v>
      </c>
      <c r="C757" s="43" t="s">
        <v>187</v>
      </c>
      <c r="D757" s="43" t="s">
        <v>102</v>
      </c>
      <c r="E757" s="58" t="s">
        <v>1147</v>
      </c>
      <c r="F757" s="43" t="s">
        <v>648</v>
      </c>
      <c r="G757" s="348">
        <f t="shared" si="194"/>
        <v>3000</v>
      </c>
      <c r="H757" s="348">
        <f t="shared" si="194"/>
        <v>0</v>
      </c>
      <c r="I757" s="348">
        <f t="shared" si="194"/>
        <v>0</v>
      </c>
    </row>
    <row r="758" spans="1:9" ht="24" customHeight="1">
      <c r="A758" s="74" t="s">
        <v>117</v>
      </c>
      <c r="B758" s="47" t="s">
        <v>201</v>
      </c>
      <c r="C758" s="37" t="s">
        <v>187</v>
      </c>
      <c r="D758" s="37" t="s">
        <v>102</v>
      </c>
      <c r="E758" s="58" t="s">
        <v>1147</v>
      </c>
      <c r="F758" s="37" t="s">
        <v>156</v>
      </c>
      <c r="G758" s="38">
        <f>'3'!F437</f>
        <v>3000</v>
      </c>
      <c r="H758" s="38">
        <f>'3'!G437</f>
        <v>0</v>
      </c>
      <c r="I758" s="38">
        <f>'3'!H437</f>
        <v>0</v>
      </c>
    </row>
    <row r="759" spans="1:9" ht="31.5" hidden="1" customHeight="1">
      <c r="A759" s="75" t="s">
        <v>872</v>
      </c>
      <c r="B759" s="47" t="s">
        <v>201</v>
      </c>
      <c r="C759" s="37" t="s">
        <v>187</v>
      </c>
      <c r="D759" s="37" t="s">
        <v>102</v>
      </c>
      <c r="E759" s="214" t="s">
        <v>2</v>
      </c>
      <c r="F759" s="2" t="s">
        <v>198</v>
      </c>
      <c r="G759" s="39">
        <f t="shared" ref="G759:I760" si="195">G760</f>
        <v>0</v>
      </c>
      <c r="H759" s="39">
        <f t="shared" si="195"/>
        <v>0</v>
      </c>
      <c r="I759" s="39">
        <f t="shared" si="195"/>
        <v>0</v>
      </c>
    </row>
    <row r="760" spans="1:9" ht="47.25" hidden="1" customHeight="1">
      <c r="A760" s="74" t="s">
        <v>649</v>
      </c>
      <c r="B760" s="47" t="s">
        <v>201</v>
      </c>
      <c r="C760" s="37" t="s">
        <v>187</v>
      </c>
      <c r="D760" s="37" t="s">
        <v>102</v>
      </c>
      <c r="E760" s="215" t="s">
        <v>2</v>
      </c>
      <c r="F760" s="37" t="s">
        <v>648</v>
      </c>
      <c r="G760" s="38">
        <f t="shared" si="195"/>
        <v>0</v>
      </c>
      <c r="H760" s="38">
        <f t="shared" si="195"/>
        <v>0</v>
      </c>
      <c r="I760" s="38">
        <f t="shared" si="195"/>
        <v>0</v>
      </c>
    </row>
    <row r="761" spans="1:9" ht="15.75" hidden="1" customHeight="1">
      <c r="A761" s="74" t="s">
        <v>117</v>
      </c>
      <c r="B761" s="47" t="s">
        <v>201</v>
      </c>
      <c r="C761" s="37" t="s">
        <v>187</v>
      </c>
      <c r="D761" s="37" t="s">
        <v>102</v>
      </c>
      <c r="E761" s="215" t="s">
        <v>2</v>
      </c>
      <c r="F761" s="37" t="s">
        <v>156</v>
      </c>
      <c r="G761" s="38"/>
      <c r="H761" s="38"/>
      <c r="I761" s="38"/>
    </row>
    <row r="762" spans="1:9" ht="47.25" hidden="1" customHeight="1">
      <c r="A762" s="74" t="s">
        <v>604</v>
      </c>
      <c r="B762" s="47" t="s">
        <v>201</v>
      </c>
      <c r="C762" s="37" t="s">
        <v>187</v>
      </c>
      <c r="D762" s="37" t="s">
        <v>102</v>
      </c>
      <c r="E762" s="37" t="s">
        <v>1</v>
      </c>
      <c r="F762" s="37" t="s">
        <v>198</v>
      </c>
      <c r="G762" s="38">
        <f>G763</f>
        <v>0</v>
      </c>
      <c r="H762" s="38">
        <f t="shared" ref="H762:I765" si="196">H763</f>
        <v>0</v>
      </c>
      <c r="I762" s="38">
        <f t="shared" si="196"/>
        <v>0</v>
      </c>
    </row>
    <row r="763" spans="1:9" ht="47.25" hidden="1" customHeight="1">
      <c r="A763" s="74" t="s">
        <v>104</v>
      </c>
      <c r="B763" s="47" t="s">
        <v>201</v>
      </c>
      <c r="C763" s="37" t="s">
        <v>187</v>
      </c>
      <c r="D763" s="37" t="s">
        <v>102</v>
      </c>
      <c r="E763" s="37" t="s">
        <v>2</v>
      </c>
      <c r="F763" s="37" t="s">
        <v>198</v>
      </c>
      <c r="G763" s="38">
        <f>G764</f>
        <v>0</v>
      </c>
      <c r="H763" s="38">
        <f t="shared" si="196"/>
        <v>0</v>
      </c>
      <c r="I763" s="38">
        <f t="shared" si="196"/>
        <v>0</v>
      </c>
    </row>
    <row r="764" spans="1:9" ht="31.5" hidden="1" customHeight="1">
      <c r="A764" s="79" t="s">
        <v>320</v>
      </c>
      <c r="B764" s="47" t="s">
        <v>201</v>
      </c>
      <c r="C764" s="37" t="s">
        <v>187</v>
      </c>
      <c r="D764" s="37" t="s">
        <v>102</v>
      </c>
      <c r="E764" s="37" t="s">
        <v>294</v>
      </c>
      <c r="F764" s="37" t="s">
        <v>198</v>
      </c>
      <c r="G764" s="38">
        <f>G765</f>
        <v>0</v>
      </c>
      <c r="H764" s="38">
        <f t="shared" si="196"/>
        <v>0</v>
      </c>
      <c r="I764" s="38">
        <f t="shared" si="196"/>
        <v>0</v>
      </c>
    </row>
    <row r="765" spans="1:9" ht="47.25" hidden="1" customHeight="1">
      <c r="A765" s="74" t="s">
        <v>649</v>
      </c>
      <c r="B765" s="47" t="s">
        <v>201</v>
      </c>
      <c r="C765" s="37" t="s">
        <v>187</v>
      </c>
      <c r="D765" s="37" t="s">
        <v>102</v>
      </c>
      <c r="E765" s="37" t="s">
        <v>294</v>
      </c>
      <c r="F765" s="37" t="s">
        <v>648</v>
      </c>
      <c r="G765" s="38">
        <f>G766</f>
        <v>0</v>
      </c>
      <c r="H765" s="38">
        <f t="shared" si="196"/>
        <v>0</v>
      </c>
      <c r="I765" s="38">
        <f t="shared" si="196"/>
        <v>0</v>
      </c>
    </row>
    <row r="766" spans="1:9" ht="15.75" hidden="1" customHeight="1">
      <c r="A766" s="74" t="s">
        <v>117</v>
      </c>
      <c r="B766" s="47" t="s">
        <v>201</v>
      </c>
      <c r="C766" s="37" t="s">
        <v>187</v>
      </c>
      <c r="D766" s="37" t="s">
        <v>102</v>
      </c>
      <c r="E766" s="37" t="s">
        <v>294</v>
      </c>
      <c r="F766" s="37" t="s">
        <v>156</v>
      </c>
      <c r="G766" s="38"/>
      <c r="H766" s="38"/>
      <c r="I766" s="38"/>
    </row>
    <row r="767" spans="1:9" ht="20.25" customHeight="1">
      <c r="A767" s="194" t="s">
        <v>727</v>
      </c>
      <c r="B767" s="195" t="s">
        <v>201</v>
      </c>
      <c r="C767" s="196" t="s">
        <v>187</v>
      </c>
      <c r="D767" s="196" t="s">
        <v>603</v>
      </c>
      <c r="E767" s="196" t="s">
        <v>601</v>
      </c>
      <c r="F767" s="196" t="s">
        <v>198</v>
      </c>
      <c r="G767" s="197">
        <f>G770+G773+G780+G805+G809+G826+G829+G832+G840+G843+G846+G835+G790+G797</f>
        <v>499641.93082515144</v>
      </c>
      <c r="H767" s="197">
        <f>H770+H773+H780+H805+H809+H826+H829+H832+H840+H843+H846+H835</f>
        <v>465121.95900000009</v>
      </c>
      <c r="I767" s="197">
        <f>I770+I773+I780+I805+I809+I826+I829+I832+I840+I843+I846+I835</f>
        <v>491635.57853000006</v>
      </c>
    </row>
    <row r="768" spans="1:9" ht="48" customHeight="1">
      <c r="A768" s="75" t="s">
        <v>658</v>
      </c>
      <c r="B768" s="201" t="s">
        <v>201</v>
      </c>
      <c r="C768" s="2" t="s">
        <v>187</v>
      </c>
      <c r="D768" s="2" t="s">
        <v>603</v>
      </c>
      <c r="E768" s="2" t="s">
        <v>18</v>
      </c>
      <c r="F768" s="2" t="s">
        <v>198</v>
      </c>
      <c r="G768" s="39">
        <f>G769+G804+G811+G838</f>
        <v>189045.70151515151</v>
      </c>
      <c r="H768" s="39">
        <f t="shared" ref="H768:I768" si="197">H769+H804+H811+H838</f>
        <v>125260.1</v>
      </c>
      <c r="I768" s="39">
        <f t="shared" si="197"/>
        <v>128841.75</v>
      </c>
    </row>
    <row r="769" spans="1:9" ht="53.25" customHeight="1">
      <c r="A769" s="86" t="s">
        <v>802</v>
      </c>
      <c r="B769" s="58" t="s">
        <v>201</v>
      </c>
      <c r="C769" s="43" t="s">
        <v>187</v>
      </c>
      <c r="D769" s="43" t="s">
        <v>603</v>
      </c>
      <c r="E769" s="43" t="s">
        <v>31</v>
      </c>
      <c r="F769" s="43" t="s">
        <v>198</v>
      </c>
      <c r="G769" s="348">
        <f>G770+G773+G780+G777+G783+G790+G797</f>
        <v>155101.45151515151</v>
      </c>
      <c r="H769" s="348">
        <f t="shared" ref="H769:I769" si="198">H770+H773+H780+H777+H783+H790+H797</f>
        <v>96895</v>
      </c>
      <c r="I769" s="348">
        <f t="shared" si="198"/>
        <v>100945</v>
      </c>
    </row>
    <row r="770" spans="1:9" ht="33" customHeight="1">
      <c r="A770" s="77" t="s">
        <v>132</v>
      </c>
      <c r="B770" s="58" t="s">
        <v>201</v>
      </c>
      <c r="C770" s="43" t="s">
        <v>187</v>
      </c>
      <c r="D770" s="43" t="s">
        <v>603</v>
      </c>
      <c r="E770" s="43" t="s">
        <v>32</v>
      </c>
      <c r="F770" s="43" t="s">
        <v>198</v>
      </c>
      <c r="G770" s="348">
        <f t="shared" ref="G770:I771" si="199">G771</f>
        <v>9445.7999999999993</v>
      </c>
      <c r="H770" s="348">
        <f t="shared" si="199"/>
        <v>500</v>
      </c>
      <c r="I770" s="348">
        <f t="shared" si="199"/>
        <v>500</v>
      </c>
    </row>
    <row r="771" spans="1:9" ht="48.75" customHeight="1">
      <c r="A771" s="77" t="s">
        <v>649</v>
      </c>
      <c r="B771" s="58" t="s">
        <v>201</v>
      </c>
      <c r="C771" s="43" t="s">
        <v>187</v>
      </c>
      <c r="D771" s="43" t="s">
        <v>603</v>
      </c>
      <c r="E771" s="43" t="s">
        <v>32</v>
      </c>
      <c r="F771" s="43" t="s">
        <v>648</v>
      </c>
      <c r="G771" s="348">
        <f t="shared" si="199"/>
        <v>9445.7999999999993</v>
      </c>
      <c r="H771" s="348">
        <f t="shared" si="199"/>
        <v>500</v>
      </c>
      <c r="I771" s="348">
        <f t="shared" si="199"/>
        <v>500</v>
      </c>
    </row>
    <row r="772" spans="1:9" ht="21" customHeight="1">
      <c r="A772" s="77" t="s">
        <v>117</v>
      </c>
      <c r="B772" s="58" t="s">
        <v>201</v>
      </c>
      <c r="C772" s="43" t="s">
        <v>187</v>
      </c>
      <c r="D772" s="43" t="s">
        <v>603</v>
      </c>
      <c r="E772" s="43" t="s">
        <v>33</v>
      </c>
      <c r="F772" s="43" t="s">
        <v>156</v>
      </c>
      <c r="G772" s="348">
        <f>'5'!D15</f>
        <v>9445.7999999999993</v>
      </c>
      <c r="H772" s="348">
        <f>'5'!E15</f>
        <v>500</v>
      </c>
      <c r="I772" s="348">
        <f>'5'!F15</f>
        <v>500</v>
      </c>
    </row>
    <row r="773" spans="1:9" ht="95.25" customHeight="1">
      <c r="A773" s="77" t="s">
        <v>729</v>
      </c>
      <c r="B773" s="58" t="s">
        <v>201</v>
      </c>
      <c r="C773" s="43" t="s">
        <v>187</v>
      </c>
      <c r="D773" s="43" t="s">
        <v>603</v>
      </c>
      <c r="E773" s="43" t="s">
        <v>32</v>
      </c>
      <c r="F773" s="43" t="s">
        <v>198</v>
      </c>
      <c r="G773" s="348">
        <f t="shared" ref="G773:I774" si="200">G774</f>
        <v>143018.5</v>
      </c>
      <c r="H773" s="348">
        <f t="shared" si="200"/>
        <v>96395</v>
      </c>
      <c r="I773" s="348">
        <f t="shared" si="200"/>
        <v>100445</v>
      </c>
    </row>
    <row r="774" spans="1:9" ht="48" customHeight="1">
      <c r="A774" s="77" t="s">
        <v>649</v>
      </c>
      <c r="B774" s="58" t="s">
        <v>201</v>
      </c>
      <c r="C774" s="43" t="s">
        <v>187</v>
      </c>
      <c r="D774" s="43" t="s">
        <v>603</v>
      </c>
      <c r="E774" s="43" t="s">
        <v>32</v>
      </c>
      <c r="F774" s="43" t="s">
        <v>648</v>
      </c>
      <c r="G774" s="348">
        <f t="shared" si="200"/>
        <v>143018.5</v>
      </c>
      <c r="H774" s="348">
        <f t="shared" si="200"/>
        <v>96395</v>
      </c>
      <c r="I774" s="348">
        <f t="shared" si="200"/>
        <v>100445</v>
      </c>
    </row>
    <row r="775" spans="1:9" ht="22.9" customHeight="1">
      <c r="A775" s="77" t="s">
        <v>117</v>
      </c>
      <c r="B775" s="58" t="s">
        <v>201</v>
      </c>
      <c r="C775" s="43" t="s">
        <v>187</v>
      </c>
      <c r="D775" s="43" t="s">
        <v>603</v>
      </c>
      <c r="E775" s="43" t="s">
        <v>34</v>
      </c>
      <c r="F775" s="43" t="s">
        <v>156</v>
      </c>
      <c r="G775" s="348">
        <f>'5'!D47+'5'!D48</f>
        <v>143018.5</v>
      </c>
      <c r="H775" s="348">
        <f>'5'!E47</f>
        <v>96395</v>
      </c>
      <c r="I775" s="348">
        <f>'5'!F47</f>
        <v>100445</v>
      </c>
    </row>
    <row r="776" spans="1:9" hidden="1">
      <c r="A776" s="77"/>
      <c r="B776" s="58" t="s">
        <v>201</v>
      </c>
      <c r="C776" s="43" t="s">
        <v>187</v>
      </c>
      <c r="D776" s="43" t="s">
        <v>603</v>
      </c>
      <c r="E776" s="43" t="s">
        <v>34</v>
      </c>
      <c r="F776" s="43" t="s">
        <v>156</v>
      </c>
      <c r="G776" s="348"/>
      <c r="H776" s="348"/>
      <c r="I776" s="348"/>
    </row>
    <row r="777" spans="1:9" ht="94.5" hidden="1">
      <c r="A777" s="77" t="s">
        <v>352</v>
      </c>
      <c r="B777" s="58" t="s">
        <v>201</v>
      </c>
      <c r="C777" s="43" t="s">
        <v>187</v>
      </c>
      <c r="D777" s="43" t="s">
        <v>603</v>
      </c>
      <c r="E777" s="43" t="s">
        <v>347</v>
      </c>
      <c r="F777" s="43" t="s">
        <v>198</v>
      </c>
      <c r="G777" s="348">
        <f t="shared" ref="G777:I778" si="201">G778</f>
        <v>0</v>
      </c>
      <c r="H777" s="348">
        <f t="shared" si="201"/>
        <v>0</v>
      </c>
      <c r="I777" s="348">
        <f t="shared" si="201"/>
        <v>0</v>
      </c>
    </row>
    <row r="778" spans="1:9" ht="47.25" hidden="1">
      <c r="A778" s="77" t="s">
        <v>649</v>
      </c>
      <c r="B778" s="58" t="s">
        <v>201</v>
      </c>
      <c r="C778" s="43" t="s">
        <v>187</v>
      </c>
      <c r="D778" s="43" t="s">
        <v>603</v>
      </c>
      <c r="E778" s="43" t="s">
        <v>347</v>
      </c>
      <c r="F778" s="43" t="s">
        <v>648</v>
      </c>
      <c r="G778" s="348">
        <f t="shared" si="201"/>
        <v>0</v>
      </c>
      <c r="H778" s="348">
        <f t="shared" si="201"/>
        <v>0</v>
      </c>
      <c r="I778" s="348">
        <f t="shared" si="201"/>
        <v>0</v>
      </c>
    </row>
    <row r="779" spans="1:9" ht="15.75" hidden="1" customHeight="1">
      <c r="A779" s="77" t="s">
        <v>117</v>
      </c>
      <c r="B779" s="58" t="s">
        <v>201</v>
      </c>
      <c r="C779" s="43" t="s">
        <v>187</v>
      </c>
      <c r="D779" s="43" t="s">
        <v>603</v>
      </c>
      <c r="E779" s="43" t="s">
        <v>347</v>
      </c>
      <c r="F779" s="43" t="s">
        <v>156</v>
      </c>
      <c r="G779" s="348"/>
      <c r="H779" s="348"/>
      <c r="I779" s="348"/>
    </row>
    <row r="780" spans="1:9" ht="50.25" customHeight="1">
      <c r="A780" s="77" t="s">
        <v>730</v>
      </c>
      <c r="B780" s="58" t="s">
        <v>201</v>
      </c>
      <c r="C780" s="43" t="s">
        <v>187</v>
      </c>
      <c r="D780" s="43" t="s">
        <v>603</v>
      </c>
      <c r="E780" s="43" t="s">
        <v>399</v>
      </c>
      <c r="F780" s="43" t="s">
        <v>198</v>
      </c>
      <c r="G780" s="348">
        <f>G782</f>
        <v>1122</v>
      </c>
      <c r="H780" s="348">
        <f>H782</f>
        <v>0</v>
      </c>
      <c r="I780" s="348">
        <f>I782</f>
        <v>0</v>
      </c>
    </row>
    <row r="781" spans="1:9" ht="49.5" customHeight="1">
      <c r="A781" s="77" t="s">
        <v>649</v>
      </c>
      <c r="B781" s="58" t="s">
        <v>201</v>
      </c>
      <c r="C781" s="43" t="s">
        <v>187</v>
      </c>
      <c r="D781" s="43" t="s">
        <v>603</v>
      </c>
      <c r="E781" s="43" t="s">
        <v>399</v>
      </c>
      <c r="F781" s="43" t="s">
        <v>648</v>
      </c>
      <c r="G781" s="348">
        <f>G782</f>
        <v>1122</v>
      </c>
      <c r="H781" s="348">
        <f>H782</f>
        <v>0</v>
      </c>
      <c r="I781" s="348">
        <f>I782</f>
        <v>0</v>
      </c>
    </row>
    <row r="782" spans="1:9" ht="22.9" customHeight="1">
      <c r="A782" s="77" t="s">
        <v>117</v>
      </c>
      <c r="B782" s="58" t="s">
        <v>201</v>
      </c>
      <c r="C782" s="43" t="s">
        <v>187</v>
      </c>
      <c r="D782" s="43" t="s">
        <v>603</v>
      </c>
      <c r="E782" s="43" t="s">
        <v>399</v>
      </c>
      <c r="F782" s="43" t="s">
        <v>156</v>
      </c>
      <c r="G782" s="348">
        <f>'5'!D20</f>
        <v>1122</v>
      </c>
      <c r="H782" s="348">
        <f>'5'!E20</f>
        <v>0</v>
      </c>
      <c r="I782" s="348">
        <f>'5'!F20</f>
        <v>0</v>
      </c>
    </row>
    <row r="783" spans="1:9" ht="47.25" hidden="1" customHeight="1">
      <c r="A783" s="153" t="s">
        <v>446</v>
      </c>
      <c r="B783" s="198" t="s">
        <v>201</v>
      </c>
      <c r="C783" s="150" t="s">
        <v>187</v>
      </c>
      <c r="D783" s="150" t="s">
        <v>603</v>
      </c>
      <c r="E783" s="150" t="s">
        <v>31</v>
      </c>
      <c r="F783" s="150" t="s">
        <v>198</v>
      </c>
      <c r="G783" s="54">
        <f>G787+G785</f>
        <v>0</v>
      </c>
      <c r="H783" s="54">
        <f>H787+H785</f>
        <v>0</v>
      </c>
      <c r="I783" s="54">
        <f>I787+I785</f>
        <v>0</v>
      </c>
    </row>
    <row r="784" spans="1:9" ht="47.25" hidden="1">
      <c r="A784" s="77" t="s">
        <v>438</v>
      </c>
      <c r="B784" s="58" t="s">
        <v>201</v>
      </c>
      <c r="C784" s="43" t="s">
        <v>187</v>
      </c>
      <c r="D784" s="43" t="s">
        <v>603</v>
      </c>
      <c r="E784" s="43" t="s">
        <v>439</v>
      </c>
      <c r="F784" s="43" t="s">
        <v>198</v>
      </c>
      <c r="G784" s="348">
        <f t="shared" ref="G784:I785" si="202">G785</f>
        <v>0</v>
      </c>
      <c r="H784" s="348">
        <f t="shared" si="202"/>
        <v>0</v>
      </c>
      <c r="I784" s="348">
        <f t="shared" si="202"/>
        <v>0</v>
      </c>
    </row>
    <row r="785" spans="1:9" ht="47.25" hidden="1">
      <c r="A785" s="77" t="s">
        <v>649</v>
      </c>
      <c r="B785" s="58" t="s">
        <v>201</v>
      </c>
      <c r="C785" s="43" t="s">
        <v>187</v>
      </c>
      <c r="D785" s="43" t="s">
        <v>603</v>
      </c>
      <c r="E785" s="43" t="s">
        <v>439</v>
      </c>
      <c r="F785" s="43" t="s">
        <v>648</v>
      </c>
      <c r="G785" s="348">
        <f t="shared" si="202"/>
        <v>0</v>
      </c>
      <c r="H785" s="348">
        <f t="shared" si="202"/>
        <v>0</v>
      </c>
      <c r="I785" s="348">
        <f t="shared" si="202"/>
        <v>0</v>
      </c>
    </row>
    <row r="786" spans="1:9" hidden="1">
      <c r="A786" s="77" t="s">
        <v>117</v>
      </c>
      <c r="B786" s="58" t="s">
        <v>201</v>
      </c>
      <c r="C786" s="43" t="s">
        <v>187</v>
      </c>
      <c r="D786" s="43" t="s">
        <v>603</v>
      </c>
      <c r="E786" s="43" t="s">
        <v>439</v>
      </c>
      <c r="F786" s="43" t="s">
        <v>156</v>
      </c>
      <c r="G786" s="348">
        <v>0</v>
      </c>
      <c r="H786" s="348">
        <v>0</v>
      </c>
      <c r="I786" s="348">
        <v>0</v>
      </c>
    </row>
    <row r="787" spans="1:9" ht="78.75" hidden="1" customHeight="1">
      <c r="A787" s="77" t="s">
        <v>388</v>
      </c>
      <c r="B787" s="58" t="s">
        <v>201</v>
      </c>
      <c r="C787" s="43" t="s">
        <v>187</v>
      </c>
      <c r="D787" s="43" t="s">
        <v>603</v>
      </c>
      <c r="E787" s="58" t="s">
        <v>530</v>
      </c>
      <c r="F787" s="43" t="s">
        <v>198</v>
      </c>
      <c r="G787" s="348">
        <f t="shared" ref="G787:I788" si="203">G788</f>
        <v>0</v>
      </c>
      <c r="H787" s="348">
        <f t="shared" si="203"/>
        <v>0</v>
      </c>
      <c r="I787" s="348">
        <f t="shared" si="203"/>
        <v>0</v>
      </c>
    </row>
    <row r="788" spans="1:9" ht="47.25" hidden="1" customHeight="1">
      <c r="A788" s="77" t="s">
        <v>649</v>
      </c>
      <c r="B788" s="58" t="s">
        <v>201</v>
      </c>
      <c r="C788" s="43" t="s">
        <v>187</v>
      </c>
      <c r="D788" s="43" t="s">
        <v>603</v>
      </c>
      <c r="E788" s="58" t="s">
        <v>530</v>
      </c>
      <c r="F788" s="43" t="s">
        <v>648</v>
      </c>
      <c r="G788" s="348">
        <f t="shared" si="203"/>
        <v>0</v>
      </c>
      <c r="H788" s="348">
        <f t="shared" si="203"/>
        <v>0</v>
      </c>
      <c r="I788" s="348">
        <f t="shared" si="203"/>
        <v>0</v>
      </c>
    </row>
    <row r="789" spans="1:9" hidden="1">
      <c r="A789" s="77" t="s">
        <v>117</v>
      </c>
      <c r="B789" s="58" t="s">
        <v>201</v>
      </c>
      <c r="C789" s="43" t="s">
        <v>187</v>
      </c>
      <c r="D789" s="43" t="s">
        <v>603</v>
      </c>
      <c r="E789" s="58" t="s">
        <v>530</v>
      </c>
      <c r="F789" s="43" t="s">
        <v>156</v>
      </c>
      <c r="G789" s="348">
        <f>'5'!D27</f>
        <v>0</v>
      </c>
      <c r="H789" s="348">
        <f>'5'!E27</f>
        <v>0</v>
      </c>
      <c r="I789" s="348">
        <f>'5'!F27</f>
        <v>0</v>
      </c>
    </row>
    <row r="790" spans="1:9" ht="47.25" hidden="1">
      <c r="A790" s="81" t="s">
        <v>490</v>
      </c>
      <c r="B790" s="60" t="s">
        <v>201</v>
      </c>
      <c r="C790" s="59" t="s">
        <v>187</v>
      </c>
      <c r="D790" s="59" t="s">
        <v>603</v>
      </c>
      <c r="E790" s="60" t="s">
        <v>31</v>
      </c>
      <c r="F790" s="59" t="s">
        <v>198</v>
      </c>
      <c r="G790" s="96">
        <f>G791+G794</f>
        <v>0</v>
      </c>
      <c r="H790" s="96">
        <f>H791+H794</f>
        <v>0</v>
      </c>
      <c r="I790" s="96">
        <f>I791+I794</f>
        <v>0</v>
      </c>
    </row>
    <row r="791" spans="1:9" ht="94.5" hidden="1" customHeight="1">
      <c r="A791" s="77" t="s">
        <v>1100</v>
      </c>
      <c r="B791" s="58" t="s">
        <v>201</v>
      </c>
      <c r="C791" s="43" t="s">
        <v>187</v>
      </c>
      <c r="D791" s="43" t="s">
        <v>603</v>
      </c>
      <c r="E791" s="58" t="s">
        <v>1106</v>
      </c>
      <c r="F791" s="43" t="s">
        <v>198</v>
      </c>
      <c r="G791" s="348">
        <f t="shared" ref="G791:I792" si="204">G792</f>
        <v>0</v>
      </c>
      <c r="H791" s="348">
        <f t="shared" si="204"/>
        <v>0</v>
      </c>
      <c r="I791" s="348">
        <f t="shared" si="204"/>
        <v>0</v>
      </c>
    </row>
    <row r="792" spans="1:9" ht="47.25" hidden="1">
      <c r="A792" s="77" t="s">
        <v>649</v>
      </c>
      <c r="B792" s="58" t="s">
        <v>201</v>
      </c>
      <c r="C792" s="43" t="s">
        <v>187</v>
      </c>
      <c r="D792" s="43" t="s">
        <v>603</v>
      </c>
      <c r="E792" s="58" t="s">
        <v>1106</v>
      </c>
      <c r="F792" s="43" t="s">
        <v>648</v>
      </c>
      <c r="G792" s="348">
        <f t="shared" si="204"/>
        <v>0</v>
      </c>
      <c r="H792" s="348">
        <f t="shared" si="204"/>
        <v>0</v>
      </c>
      <c r="I792" s="348">
        <f t="shared" si="204"/>
        <v>0</v>
      </c>
    </row>
    <row r="793" spans="1:9" hidden="1">
      <c r="A793" s="77" t="s">
        <v>117</v>
      </c>
      <c r="B793" s="58" t="s">
        <v>201</v>
      </c>
      <c r="C793" s="43" t="s">
        <v>187</v>
      </c>
      <c r="D793" s="43" t="s">
        <v>603</v>
      </c>
      <c r="E793" s="58" t="s">
        <v>936</v>
      </c>
      <c r="F793" s="43" t="s">
        <v>156</v>
      </c>
      <c r="G793" s="348">
        <f>'5'!D31</f>
        <v>0</v>
      </c>
      <c r="H793" s="348">
        <f>'5'!E29</f>
        <v>0</v>
      </c>
      <c r="I793" s="348">
        <f>'5'!F29</f>
        <v>0</v>
      </c>
    </row>
    <row r="794" spans="1:9" ht="78.75" hidden="1">
      <c r="A794" s="77" t="s">
        <v>943</v>
      </c>
      <c r="B794" s="58" t="s">
        <v>201</v>
      </c>
      <c r="C794" s="43" t="s">
        <v>187</v>
      </c>
      <c r="D794" s="43" t="s">
        <v>603</v>
      </c>
      <c r="E794" s="58" t="s">
        <v>939</v>
      </c>
      <c r="F794" s="43" t="s">
        <v>198</v>
      </c>
      <c r="G794" s="348">
        <f t="shared" ref="G794:I795" si="205">G795</f>
        <v>0</v>
      </c>
      <c r="H794" s="348">
        <f t="shared" si="205"/>
        <v>0</v>
      </c>
      <c r="I794" s="348">
        <f t="shared" si="205"/>
        <v>0</v>
      </c>
    </row>
    <row r="795" spans="1:9" ht="47.25" hidden="1">
      <c r="A795" s="77" t="s">
        <v>649</v>
      </c>
      <c r="B795" s="58" t="s">
        <v>201</v>
      </c>
      <c r="C795" s="43" t="s">
        <v>187</v>
      </c>
      <c r="D795" s="43" t="s">
        <v>603</v>
      </c>
      <c r="E795" s="58" t="s">
        <v>939</v>
      </c>
      <c r="F795" s="43" t="s">
        <v>648</v>
      </c>
      <c r="G795" s="348">
        <f t="shared" si="205"/>
        <v>0</v>
      </c>
      <c r="H795" s="348">
        <f t="shared" si="205"/>
        <v>0</v>
      </c>
      <c r="I795" s="348">
        <f t="shared" si="205"/>
        <v>0</v>
      </c>
    </row>
    <row r="796" spans="1:9" hidden="1">
      <c r="A796" s="77" t="s">
        <v>117</v>
      </c>
      <c r="B796" s="58" t="s">
        <v>201</v>
      </c>
      <c r="C796" s="43" t="s">
        <v>187</v>
      </c>
      <c r="D796" s="43" t="s">
        <v>603</v>
      </c>
      <c r="E796" s="58" t="s">
        <v>939</v>
      </c>
      <c r="F796" s="43" t="s">
        <v>156</v>
      </c>
      <c r="G796" s="348">
        <f>'5'!D34</f>
        <v>0</v>
      </c>
      <c r="H796" s="348">
        <f>'5'!E30</f>
        <v>0</v>
      </c>
      <c r="I796" s="348">
        <f>'5'!F30</f>
        <v>0</v>
      </c>
    </row>
    <row r="797" spans="1:9" ht="47.25">
      <c r="A797" s="81" t="s">
        <v>929</v>
      </c>
      <c r="B797" s="60" t="s">
        <v>201</v>
      </c>
      <c r="C797" s="59" t="s">
        <v>187</v>
      </c>
      <c r="D797" s="59" t="s">
        <v>603</v>
      </c>
      <c r="E797" s="60" t="s">
        <v>31</v>
      </c>
      <c r="F797" s="59" t="s">
        <v>198</v>
      </c>
      <c r="G797" s="96">
        <f>G798+G801</f>
        <v>1515.1515151515152</v>
      </c>
      <c r="H797" s="96">
        <f t="shared" ref="H797:I797" si="206">H798+H801</f>
        <v>0</v>
      </c>
      <c r="I797" s="96">
        <f t="shared" si="206"/>
        <v>0</v>
      </c>
    </row>
    <row r="798" spans="1:9" ht="84.75" customHeight="1">
      <c r="A798" s="77" t="s">
        <v>1103</v>
      </c>
      <c r="B798" s="58" t="s">
        <v>201</v>
      </c>
      <c r="C798" s="43" t="s">
        <v>187</v>
      </c>
      <c r="D798" s="43" t="s">
        <v>603</v>
      </c>
      <c r="E798" s="371" t="s">
        <v>1105</v>
      </c>
      <c r="F798" s="43" t="s">
        <v>198</v>
      </c>
      <c r="G798" s="348">
        <f t="shared" ref="G798:I799" si="207">G799</f>
        <v>1515.1515151515152</v>
      </c>
      <c r="H798" s="348">
        <f t="shared" si="207"/>
        <v>0</v>
      </c>
      <c r="I798" s="348">
        <f t="shared" si="207"/>
        <v>0</v>
      </c>
    </row>
    <row r="799" spans="1:9" ht="47.25" customHeight="1">
      <c r="A799" s="77" t="s">
        <v>649</v>
      </c>
      <c r="B799" s="58" t="s">
        <v>201</v>
      </c>
      <c r="C799" s="43" t="s">
        <v>187</v>
      </c>
      <c r="D799" s="43" t="s">
        <v>603</v>
      </c>
      <c r="E799" s="371" t="s">
        <v>1105</v>
      </c>
      <c r="F799" s="43" t="s">
        <v>648</v>
      </c>
      <c r="G799" s="348">
        <f t="shared" si="207"/>
        <v>1515.1515151515152</v>
      </c>
      <c r="H799" s="348">
        <f t="shared" si="207"/>
        <v>0</v>
      </c>
      <c r="I799" s="348">
        <f t="shared" si="207"/>
        <v>0</v>
      </c>
    </row>
    <row r="800" spans="1:9" ht="15.75" customHeight="1">
      <c r="A800" s="77" t="s">
        <v>117</v>
      </c>
      <c r="B800" s="58" t="s">
        <v>201</v>
      </c>
      <c r="C800" s="43" t="s">
        <v>187</v>
      </c>
      <c r="D800" s="43" t="s">
        <v>603</v>
      </c>
      <c r="E800" s="371" t="s">
        <v>1105</v>
      </c>
      <c r="F800" s="43" t="s">
        <v>156</v>
      </c>
      <c r="G800" s="348">
        <f>'5'!D40</f>
        <v>1515.1515151515152</v>
      </c>
      <c r="H800" s="348">
        <f>'5'!E38</f>
        <v>0</v>
      </c>
      <c r="I800" s="348">
        <f>'5'!F38</f>
        <v>0</v>
      </c>
    </row>
    <row r="801" spans="1:9" ht="94.5" hidden="1" customHeight="1">
      <c r="A801" s="77" t="s">
        <v>944</v>
      </c>
      <c r="B801" s="58" t="s">
        <v>201</v>
      </c>
      <c r="C801" s="43" t="s">
        <v>187</v>
      </c>
      <c r="D801" s="43" t="s">
        <v>603</v>
      </c>
      <c r="E801" s="371" t="s">
        <v>940</v>
      </c>
      <c r="F801" s="43" t="s">
        <v>198</v>
      </c>
      <c r="G801" s="348">
        <f t="shared" ref="G801:I802" si="208">G802</f>
        <v>0</v>
      </c>
      <c r="H801" s="348">
        <f t="shared" si="208"/>
        <v>0</v>
      </c>
      <c r="I801" s="348">
        <f t="shared" si="208"/>
        <v>0</v>
      </c>
    </row>
    <row r="802" spans="1:9" ht="47.25" hidden="1" customHeight="1">
      <c r="A802" s="77" t="s">
        <v>649</v>
      </c>
      <c r="B802" s="58" t="s">
        <v>201</v>
      </c>
      <c r="C802" s="43" t="s">
        <v>187</v>
      </c>
      <c r="D802" s="43" t="s">
        <v>603</v>
      </c>
      <c r="E802" s="371" t="s">
        <v>940</v>
      </c>
      <c r="F802" s="43" t="s">
        <v>648</v>
      </c>
      <c r="G802" s="348">
        <f t="shared" si="208"/>
        <v>0</v>
      </c>
      <c r="H802" s="348">
        <f t="shared" si="208"/>
        <v>0</v>
      </c>
      <c r="I802" s="348">
        <f t="shared" si="208"/>
        <v>0</v>
      </c>
    </row>
    <row r="803" spans="1:9" ht="15.75" hidden="1" customHeight="1">
      <c r="A803" s="77" t="s">
        <v>117</v>
      </c>
      <c r="B803" s="58" t="s">
        <v>201</v>
      </c>
      <c r="C803" s="43" t="s">
        <v>187</v>
      </c>
      <c r="D803" s="43" t="s">
        <v>603</v>
      </c>
      <c r="E803" s="371" t="s">
        <v>940</v>
      </c>
      <c r="F803" s="43" t="s">
        <v>156</v>
      </c>
      <c r="G803" s="348">
        <f>'5'!D43</f>
        <v>0</v>
      </c>
      <c r="H803" s="348">
        <f>'5'!E39</f>
        <v>0</v>
      </c>
      <c r="I803" s="348">
        <f>'5'!F39</f>
        <v>0</v>
      </c>
    </row>
    <row r="804" spans="1:9" ht="36.75" customHeight="1">
      <c r="A804" s="86" t="s">
        <v>731</v>
      </c>
      <c r="B804" s="58" t="s">
        <v>201</v>
      </c>
      <c r="C804" s="43" t="s">
        <v>187</v>
      </c>
      <c r="D804" s="43" t="s">
        <v>603</v>
      </c>
      <c r="E804" s="43" t="s">
        <v>35</v>
      </c>
      <c r="F804" s="43" t="s">
        <v>198</v>
      </c>
      <c r="G804" s="348">
        <f>G805+G808</f>
        <v>6071</v>
      </c>
      <c r="H804" s="348">
        <f>H805+H808</f>
        <v>1800</v>
      </c>
      <c r="I804" s="348">
        <f>I805+I808</f>
        <v>1800</v>
      </c>
    </row>
    <row r="805" spans="1:9" ht="47.25">
      <c r="A805" s="76" t="s">
        <v>134</v>
      </c>
      <c r="B805" s="61" t="s">
        <v>201</v>
      </c>
      <c r="C805" s="53" t="s">
        <v>187</v>
      </c>
      <c r="D805" s="53" t="s">
        <v>603</v>
      </c>
      <c r="E805" s="53" t="s">
        <v>732</v>
      </c>
      <c r="F805" s="53" t="s">
        <v>198</v>
      </c>
      <c r="G805" s="41">
        <f>G806</f>
        <v>250</v>
      </c>
      <c r="H805" s="41">
        <f t="shared" ref="G805:I806" si="209">H806</f>
        <v>300</v>
      </c>
      <c r="I805" s="41">
        <f t="shared" si="209"/>
        <v>300</v>
      </c>
    </row>
    <row r="806" spans="1:9" ht="47.25">
      <c r="A806" s="77" t="s">
        <v>649</v>
      </c>
      <c r="B806" s="58" t="s">
        <v>201</v>
      </c>
      <c r="C806" s="43" t="s">
        <v>187</v>
      </c>
      <c r="D806" s="43" t="s">
        <v>603</v>
      </c>
      <c r="E806" s="43" t="s">
        <v>732</v>
      </c>
      <c r="F806" s="43" t="s">
        <v>648</v>
      </c>
      <c r="G806" s="348">
        <f t="shared" si="209"/>
        <v>250</v>
      </c>
      <c r="H806" s="348">
        <f t="shared" si="209"/>
        <v>300</v>
      </c>
      <c r="I806" s="348">
        <f t="shared" si="209"/>
        <v>300</v>
      </c>
    </row>
    <row r="807" spans="1:9" ht="21" customHeight="1">
      <c r="A807" s="77" t="s">
        <v>117</v>
      </c>
      <c r="B807" s="58" t="s">
        <v>201</v>
      </c>
      <c r="C807" s="43" t="s">
        <v>187</v>
      </c>
      <c r="D807" s="43" t="s">
        <v>603</v>
      </c>
      <c r="E807" s="43" t="s">
        <v>36</v>
      </c>
      <c r="F807" s="43" t="s">
        <v>156</v>
      </c>
      <c r="G807" s="348">
        <f>'5'!D71</f>
        <v>250</v>
      </c>
      <c r="H807" s="348">
        <f>'5'!E71</f>
        <v>300</v>
      </c>
      <c r="I807" s="348">
        <f>'5'!F71</f>
        <v>300</v>
      </c>
    </row>
    <row r="808" spans="1:9" ht="32.25" customHeight="1">
      <c r="A808" s="76" t="s">
        <v>133</v>
      </c>
      <c r="B808" s="61" t="s">
        <v>201</v>
      </c>
      <c r="C808" s="53" t="s">
        <v>187</v>
      </c>
      <c r="D808" s="53" t="s">
        <v>603</v>
      </c>
      <c r="E808" s="53" t="s">
        <v>732</v>
      </c>
      <c r="F808" s="53" t="s">
        <v>198</v>
      </c>
      <c r="G808" s="41">
        <f t="shared" ref="G808:I809" si="210">G809</f>
        <v>5821</v>
      </c>
      <c r="H808" s="41">
        <f t="shared" si="210"/>
        <v>1500</v>
      </c>
      <c r="I808" s="41">
        <f t="shared" si="210"/>
        <v>1500</v>
      </c>
    </row>
    <row r="809" spans="1:9" ht="48.75" customHeight="1">
      <c r="A809" s="77" t="s">
        <v>649</v>
      </c>
      <c r="B809" s="58" t="s">
        <v>201</v>
      </c>
      <c r="C809" s="43" t="s">
        <v>187</v>
      </c>
      <c r="D809" s="43" t="s">
        <v>603</v>
      </c>
      <c r="E809" s="43" t="s">
        <v>732</v>
      </c>
      <c r="F809" s="43" t="s">
        <v>648</v>
      </c>
      <c r="G809" s="348">
        <f t="shared" si="210"/>
        <v>5821</v>
      </c>
      <c r="H809" s="348">
        <f t="shared" si="210"/>
        <v>1500</v>
      </c>
      <c r="I809" s="348">
        <f t="shared" si="210"/>
        <v>1500</v>
      </c>
    </row>
    <row r="810" spans="1:9" ht="18.75" customHeight="1">
      <c r="A810" s="77" t="s">
        <v>873</v>
      </c>
      <c r="B810" s="58" t="s">
        <v>201</v>
      </c>
      <c r="C810" s="43" t="s">
        <v>187</v>
      </c>
      <c r="D810" s="43" t="s">
        <v>603</v>
      </c>
      <c r="E810" s="43" t="s">
        <v>37</v>
      </c>
      <c r="F810" s="43" t="s">
        <v>156</v>
      </c>
      <c r="G810" s="348">
        <f>'5'!D72</f>
        <v>5821</v>
      </c>
      <c r="H810" s="348">
        <f>'5'!E72</f>
        <v>1500</v>
      </c>
      <c r="I810" s="348">
        <f>'5'!F72</f>
        <v>1500</v>
      </c>
    </row>
    <row r="811" spans="1:9" ht="31.5" hidden="1">
      <c r="A811" s="86" t="s">
        <v>733</v>
      </c>
      <c r="B811" s="58" t="s">
        <v>201</v>
      </c>
      <c r="C811" s="43" t="s">
        <v>187</v>
      </c>
      <c r="D811" s="43" t="s">
        <v>603</v>
      </c>
      <c r="E811" s="43" t="s">
        <v>38</v>
      </c>
      <c r="F811" s="43" t="s">
        <v>198</v>
      </c>
      <c r="G811" s="348">
        <f>G812</f>
        <v>0</v>
      </c>
      <c r="H811" s="348">
        <f>H812</f>
        <v>0</v>
      </c>
      <c r="I811" s="348">
        <f>I812</f>
        <v>0</v>
      </c>
    </row>
    <row r="812" spans="1:9" ht="47.25" hidden="1">
      <c r="A812" s="77" t="s">
        <v>649</v>
      </c>
      <c r="B812" s="58" t="s">
        <v>201</v>
      </c>
      <c r="C812" s="43" t="s">
        <v>187</v>
      </c>
      <c r="D812" s="43" t="s">
        <v>603</v>
      </c>
      <c r="E812" s="43" t="s">
        <v>735</v>
      </c>
      <c r="F812" s="43" t="s">
        <v>198</v>
      </c>
      <c r="G812" s="348">
        <f>G813+G814</f>
        <v>0</v>
      </c>
      <c r="H812" s="348">
        <f>H813+H814</f>
        <v>0</v>
      </c>
      <c r="I812" s="348">
        <f>I813+I814</f>
        <v>0</v>
      </c>
    </row>
    <row r="813" spans="1:9" ht="31.5" hidden="1">
      <c r="A813" s="77" t="s">
        <v>736</v>
      </c>
      <c r="B813" s="58" t="s">
        <v>201</v>
      </c>
      <c r="C813" s="43" t="s">
        <v>187</v>
      </c>
      <c r="D813" s="43" t="s">
        <v>603</v>
      </c>
      <c r="E813" s="43" t="s">
        <v>39</v>
      </c>
      <c r="F813" s="43" t="s">
        <v>156</v>
      </c>
      <c r="G813" s="348"/>
      <c r="H813" s="348"/>
      <c r="I813" s="348"/>
    </row>
    <row r="814" spans="1:9" ht="31.5" hidden="1">
      <c r="A814" s="77" t="s">
        <v>737</v>
      </c>
      <c r="B814" s="58" t="s">
        <v>201</v>
      </c>
      <c r="C814" s="43" t="s">
        <v>187</v>
      </c>
      <c r="D814" s="43" t="s">
        <v>603</v>
      </c>
      <c r="E814" s="43" t="s">
        <v>40</v>
      </c>
      <c r="F814" s="43" t="s">
        <v>156</v>
      </c>
      <c r="G814" s="348"/>
      <c r="H814" s="348"/>
      <c r="I814" s="348"/>
    </row>
    <row r="815" spans="1:9" ht="48" customHeight="1">
      <c r="A815" s="76" t="s">
        <v>658</v>
      </c>
      <c r="B815" s="61" t="s">
        <v>201</v>
      </c>
      <c r="C815" s="53" t="s">
        <v>187</v>
      </c>
      <c r="D815" s="53" t="s">
        <v>603</v>
      </c>
      <c r="E815" s="53" t="s">
        <v>18</v>
      </c>
      <c r="F815" s="53" t="s">
        <v>198</v>
      </c>
      <c r="G815" s="41">
        <f t="shared" ref="G815:I816" si="211">G816</f>
        <v>273458.663</v>
      </c>
      <c r="H815" s="41">
        <f t="shared" si="211"/>
        <v>302704.51300000004</v>
      </c>
      <c r="I815" s="41">
        <f t="shared" si="211"/>
        <v>325378.54400000005</v>
      </c>
    </row>
    <row r="816" spans="1:9" ht="57" customHeight="1">
      <c r="A816" s="86" t="s">
        <v>802</v>
      </c>
      <c r="B816" s="58" t="s">
        <v>201</v>
      </c>
      <c r="C816" s="43" t="s">
        <v>187</v>
      </c>
      <c r="D816" s="43" t="s">
        <v>603</v>
      </c>
      <c r="E816" s="43" t="s">
        <v>31</v>
      </c>
      <c r="F816" s="43" t="s">
        <v>198</v>
      </c>
      <c r="G816" s="348">
        <f t="shared" si="211"/>
        <v>273458.663</v>
      </c>
      <c r="H816" s="348">
        <f t="shared" si="211"/>
        <v>302704.51300000004</v>
      </c>
      <c r="I816" s="348">
        <f t="shared" si="211"/>
        <v>325378.54400000005</v>
      </c>
    </row>
    <row r="817" spans="1:9" s="199" customFormat="1" ht="20.25" customHeight="1">
      <c r="A817" s="153" t="s">
        <v>639</v>
      </c>
      <c r="B817" s="198" t="s">
        <v>201</v>
      </c>
      <c r="C817" s="150" t="s">
        <v>187</v>
      </c>
      <c r="D817" s="150" t="s">
        <v>603</v>
      </c>
      <c r="E817" s="150" t="s">
        <v>601</v>
      </c>
      <c r="F817" s="150" t="s">
        <v>198</v>
      </c>
      <c r="G817" s="54">
        <f>G820+G823+G826</f>
        <v>273458.663</v>
      </c>
      <c r="H817" s="54">
        <f>H820+H823+H826</f>
        <v>302704.51300000004</v>
      </c>
      <c r="I817" s="54">
        <f>I820+I823+I826</f>
        <v>325378.54400000005</v>
      </c>
    </row>
    <row r="818" spans="1:9" ht="47.25" hidden="1" customHeight="1">
      <c r="A818" s="77" t="s">
        <v>874</v>
      </c>
      <c r="B818" s="58" t="s">
        <v>201</v>
      </c>
      <c r="C818" s="43" t="s">
        <v>187</v>
      </c>
      <c r="D818" s="43" t="s">
        <v>603</v>
      </c>
      <c r="E818" s="43" t="s">
        <v>875</v>
      </c>
      <c r="F818" s="43" t="s">
        <v>198</v>
      </c>
      <c r="G818" s="348">
        <f>G819</f>
        <v>0</v>
      </c>
      <c r="H818" s="348">
        <f>H819</f>
        <v>0</v>
      </c>
      <c r="I818" s="348">
        <f>I819</f>
        <v>0</v>
      </c>
    </row>
    <row r="819" spans="1:9" hidden="1">
      <c r="A819" s="77" t="s">
        <v>639</v>
      </c>
      <c r="B819" s="58" t="s">
        <v>201</v>
      </c>
      <c r="C819" s="43" t="s">
        <v>187</v>
      </c>
      <c r="D819" s="43" t="s">
        <v>603</v>
      </c>
      <c r="E819" s="43" t="s">
        <v>875</v>
      </c>
      <c r="F819" s="43" t="s">
        <v>676</v>
      </c>
      <c r="G819" s="348"/>
      <c r="H819" s="348"/>
      <c r="I819" s="348"/>
    </row>
    <row r="820" spans="1:9" ht="63" hidden="1" customHeight="1">
      <c r="A820" s="76" t="s">
        <v>741</v>
      </c>
      <c r="B820" s="58" t="s">
        <v>201</v>
      </c>
      <c r="C820" s="43" t="s">
        <v>187</v>
      </c>
      <c r="D820" s="43" t="s">
        <v>603</v>
      </c>
      <c r="E820" s="43" t="s">
        <v>31</v>
      </c>
      <c r="F820" s="43" t="s">
        <v>198</v>
      </c>
      <c r="G820" s="348">
        <f t="shared" ref="G820:I821" si="212">G821</f>
        <v>0</v>
      </c>
      <c r="H820" s="348">
        <f t="shared" si="212"/>
        <v>0</v>
      </c>
      <c r="I820" s="348">
        <f t="shared" si="212"/>
        <v>0</v>
      </c>
    </row>
    <row r="821" spans="1:9" ht="47.25" hidden="1" customHeight="1">
      <c r="A821" s="77" t="s">
        <v>649</v>
      </c>
      <c r="B821" s="58" t="s">
        <v>201</v>
      </c>
      <c r="C821" s="43" t="s">
        <v>187</v>
      </c>
      <c r="D821" s="43" t="s">
        <v>603</v>
      </c>
      <c r="E821" s="43" t="s">
        <v>298</v>
      </c>
      <c r="F821" s="43" t="s">
        <v>648</v>
      </c>
      <c r="G821" s="348">
        <f t="shared" si="212"/>
        <v>0</v>
      </c>
      <c r="H821" s="348">
        <f t="shared" si="212"/>
        <v>0</v>
      </c>
      <c r="I821" s="348">
        <f t="shared" si="212"/>
        <v>0</v>
      </c>
    </row>
    <row r="822" spans="1:9" ht="15.75" hidden="1" customHeight="1">
      <c r="A822" s="77" t="s">
        <v>117</v>
      </c>
      <c r="B822" s="58" t="s">
        <v>201</v>
      </c>
      <c r="C822" s="43" t="s">
        <v>187</v>
      </c>
      <c r="D822" s="43" t="s">
        <v>603</v>
      </c>
      <c r="E822" s="43" t="s">
        <v>298</v>
      </c>
      <c r="F822" s="43" t="s">
        <v>156</v>
      </c>
      <c r="G822" s="348"/>
      <c r="H822" s="348"/>
      <c r="I822" s="348"/>
    </row>
    <row r="823" spans="1:9" ht="94.5" hidden="1" customHeight="1">
      <c r="A823" s="76" t="s">
        <v>380</v>
      </c>
      <c r="B823" s="61" t="s">
        <v>201</v>
      </c>
      <c r="C823" s="53" t="s">
        <v>187</v>
      </c>
      <c r="D823" s="53" t="s">
        <v>603</v>
      </c>
      <c r="E823" s="53" t="s">
        <v>488</v>
      </c>
      <c r="F823" s="53" t="s">
        <v>198</v>
      </c>
      <c r="G823" s="41">
        <f t="shared" ref="G823:I824" si="213">G824</f>
        <v>0</v>
      </c>
      <c r="H823" s="41">
        <f t="shared" si="213"/>
        <v>0</v>
      </c>
      <c r="I823" s="41">
        <f t="shared" si="213"/>
        <v>0</v>
      </c>
    </row>
    <row r="824" spans="1:9" ht="47.25" hidden="1">
      <c r="A824" s="77" t="s">
        <v>649</v>
      </c>
      <c r="B824" s="58" t="s">
        <v>201</v>
      </c>
      <c r="C824" s="43" t="s">
        <v>187</v>
      </c>
      <c r="D824" s="43" t="s">
        <v>603</v>
      </c>
      <c r="E824" s="43" t="s">
        <v>488</v>
      </c>
      <c r="F824" s="43" t="s">
        <v>648</v>
      </c>
      <c r="G824" s="348">
        <f t="shared" si="213"/>
        <v>0</v>
      </c>
      <c r="H824" s="348">
        <f t="shared" si="213"/>
        <v>0</v>
      </c>
      <c r="I824" s="348">
        <f t="shared" si="213"/>
        <v>0</v>
      </c>
    </row>
    <row r="825" spans="1:9" ht="15.75" hidden="1" customHeight="1">
      <c r="A825" s="77" t="s">
        <v>117</v>
      </c>
      <c r="B825" s="58" t="s">
        <v>201</v>
      </c>
      <c r="C825" s="43" t="s">
        <v>187</v>
      </c>
      <c r="D825" s="43" t="s">
        <v>603</v>
      </c>
      <c r="E825" s="43" t="s">
        <v>488</v>
      </c>
      <c r="F825" s="43" t="s">
        <v>156</v>
      </c>
      <c r="G825" s="348">
        <f>'5'!D52</f>
        <v>0</v>
      </c>
      <c r="H825" s="348">
        <f>'5'!E52</f>
        <v>0</v>
      </c>
      <c r="I825" s="348">
        <f>'5'!F52</f>
        <v>0</v>
      </c>
    </row>
    <row r="826" spans="1:9" ht="80.25" customHeight="1">
      <c r="A826" s="76" t="s">
        <v>742</v>
      </c>
      <c r="B826" s="58" t="s">
        <v>201</v>
      </c>
      <c r="C826" s="43" t="s">
        <v>187</v>
      </c>
      <c r="D826" s="43" t="s">
        <v>603</v>
      </c>
      <c r="E826" s="43" t="s">
        <v>43</v>
      </c>
      <c r="F826" s="43" t="s">
        <v>198</v>
      </c>
      <c r="G826" s="348">
        <f t="shared" ref="G826:I827" si="214">G827</f>
        <v>273458.663</v>
      </c>
      <c r="H826" s="348">
        <f t="shared" si="214"/>
        <v>302704.51300000004</v>
      </c>
      <c r="I826" s="348">
        <f t="shared" si="214"/>
        <v>325378.54400000005</v>
      </c>
    </row>
    <row r="827" spans="1:9" ht="47.25" customHeight="1">
      <c r="A827" s="77" t="s">
        <v>649</v>
      </c>
      <c r="B827" s="58" t="s">
        <v>201</v>
      </c>
      <c r="C827" s="43" t="s">
        <v>187</v>
      </c>
      <c r="D827" s="43" t="s">
        <v>603</v>
      </c>
      <c r="E827" s="43" t="s">
        <v>43</v>
      </c>
      <c r="F827" s="43" t="s">
        <v>648</v>
      </c>
      <c r="G827" s="348">
        <f t="shared" si="214"/>
        <v>273458.663</v>
      </c>
      <c r="H827" s="348">
        <f t="shared" si="214"/>
        <v>302704.51300000004</v>
      </c>
      <c r="I827" s="348">
        <f t="shared" si="214"/>
        <v>325378.54400000005</v>
      </c>
    </row>
    <row r="828" spans="1:9" ht="18.75" customHeight="1">
      <c r="A828" s="77" t="s">
        <v>117</v>
      </c>
      <c r="B828" s="58" t="s">
        <v>201</v>
      </c>
      <c r="C828" s="43" t="s">
        <v>187</v>
      </c>
      <c r="D828" s="43" t="s">
        <v>603</v>
      </c>
      <c r="E828" s="43" t="s">
        <v>43</v>
      </c>
      <c r="F828" s="43" t="s">
        <v>156</v>
      </c>
      <c r="G828" s="348">
        <f>'5'!D49</f>
        <v>273458.663</v>
      </c>
      <c r="H828" s="348">
        <f>'5'!E49</f>
        <v>302704.51300000004</v>
      </c>
      <c r="I828" s="348">
        <f>'5'!F49</f>
        <v>325378.54400000005</v>
      </c>
    </row>
    <row r="829" spans="1:9" s="200" customFormat="1" ht="109.5" customHeight="1">
      <c r="A829" s="76" t="s">
        <v>377</v>
      </c>
      <c r="B829" s="61" t="s">
        <v>201</v>
      </c>
      <c r="C829" s="53" t="s">
        <v>187</v>
      </c>
      <c r="D829" s="53" t="s">
        <v>603</v>
      </c>
      <c r="E829" s="61" t="s">
        <v>1087</v>
      </c>
      <c r="F829" s="53" t="s">
        <v>198</v>
      </c>
      <c r="G829" s="41">
        <f t="shared" ref="G829:I830" si="215">G830</f>
        <v>35334</v>
      </c>
      <c r="H829" s="41">
        <f t="shared" si="215"/>
        <v>35334</v>
      </c>
      <c r="I829" s="41">
        <f t="shared" si="215"/>
        <v>35568</v>
      </c>
    </row>
    <row r="830" spans="1:9" ht="50.25" customHeight="1">
      <c r="A830" s="77" t="s">
        <v>649</v>
      </c>
      <c r="B830" s="58" t="s">
        <v>201</v>
      </c>
      <c r="C830" s="43" t="s">
        <v>187</v>
      </c>
      <c r="D830" s="43" t="s">
        <v>603</v>
      </c>
      <c r="E830" s="58" t="s">
        <v>1087</v>
      </c>
      <c r="F830" s="43" t="s">
        <v>648</v>
      </c>
      <c r="G830" s="348">
        <f t="shared" si="215"/>
        <v>35334</v>
      </c>
      <c r="H830" s="348">
        <f t="shared" si="215"/>
        <v>35334</v>
      </c>
      <c r="I830" s="348">
        <f t="shared" si="215"/>
        <v>35568</v>
      </c>
    </row>
    <row r="831" spans="1:9" ht="18.75" customHeight="1">
      <c r="A831" s="77" t="s">
        <v>117</v>
      </c>
      <c r="B831" s="58" t="s">
        <v>201</v>
      </c>
      <c r="C831" s="43" t="s">
        <v>187</v>
      </c>
      <c r="D831" s="43" t="s">
        <v>603</v>
      </c>
      <c r="E831" s="58" t="s">
        <v>1087</v>
      </c>
      <c r="F831" s="43" t="s">
        <v>156</v>
      </c>
      <c r="G831" s="348">
        <f>'5'!D53</f>
        <v>35334</v>
      </c>
      <c r="H831" s="348">
        <f>'5'!E53</f>
        <v>35334</v>
      </c>
      <c r="I831" s="348">
        <f>'5'!F53</f>
        <v>35568</v>
      </c>
    </row>
    <row r="832" spans="1:9" ht="117.75" customHeight="1">
      <c r="A832" s="76" t="s">
        <v>546</v>
      </c>
      <c r="B832" s="61" t="s">
        <v>201</v>
      </c>
      <c r="C832" s="53" t="s">
        <v>187</v>
      </c>
      <c r="D832" s="53" t="s">
        <v>603</v>
      </c>
      <c r="E832" s="61" t="s">
        <v>1088</v>
      </c>
      <c r="F832" s="53" t="s">
        <v>198</v>
      </c>
      <c r="G832" s="41">
        <f t="shared" ref="G832:I833" si="216">G833</f>
        <v>1303.5983099999999</v>
      </c>
      <c r="H832" s="41">
        <f t="shared" si="216"/>
        <v>1323.3780000000006</v>
      </c>
      <c r="I832" s="41">
        <f t="shared" si="216"/>
        <v>1347.3165300000005</v>
      </c>
    </row>
    <row r="833" spans="1:9" ht="47.25" customHeight="1">
      <c r="A833" s="77" t="s">
        <v>649</v>
      </c>
      <c r="B833" s="58" t="s">
        <v>201</v>
      </c>
      <c r="C833" s="43" t="s">
        <v>187</v>
      </c>
      <c r="D833" s="43" t="s">
        <v>603</v>
      </c>
      <c r="E833" s="58" t="s">
        <v>1088</v>
      </c>
      <c r="F833" s="43" t="s">
        <v>648</v>
      </c>
      <c r="G833" s="348">
        <f t="shared" si="216"/>
        <v>1303.5983099999999</v>
      </c>
      <c r="H833" s="348">
        <f t="shared" si="216"/>
        <v>1323.3780000000006</v>
      </c>
      <c r="I833" s="348">
        <f t="shared" si="216"/>
        <v>1347.3165300000005</v>
      </c>
    </row>
    <row r="834" spans="1:9" ht="19.149999999999999" customHeight="1">
      <c r="A834" s="77" t="s">
        <v>117</v>
      </c>
      <c r="B834" s="58" t="s">
        <v>201</v>
      </c>
      <c r="C834" s="43" t="s">
        <v>187</v>
      </c>
      <c r="D834" s="43" t="s">
        <v>603</v>
      </c>
      <c r="E834" s="58" t="s">
        <v>1088</v>
      </c>
      <c r="F834" s="43" t="s">
        <v>156</v>
      </c>
      <c r="G834" s="348">
        <f>'5'!D54</f>
        <v>1303.5983099999999</v>
      </c>
      <c r="H834" s="348">
        <f>'5'!E54</f>
        <v>1323.3780000000006</v>
      </c>
      <c r="I834" s="348">
        <f>'5'!F54</f>
        <v>1347.3165300000005</v>
      </c>
    </row>
    <row r="835" spans="1:9" ht="204.75">
      <c r="A835" s="76" t="s">
        <v>1057</v>
      </c>
      <c r="B835" s="61" t="s">
        <v>201</v>
      </c>
      <c r="C835" s="53" t="s">
        <v>187</v>
      </c>
      <c r="D835" s="53" t="s">
        <v>603</v>
      </c>
      <c r="E835" s="61" t="s">
        <v>1089</v>
      </c>
      <c r="F835" s="53" t="s">
        <v>198</v>
      </c>
      <c r="G835" s="41">
        <f>G836</f>
        <v>499.96800000000002</v>
      </c>
      <c r="H835" s="41">
        <f t="shared" ref="H835:I835" si="217">H836</f>
        <v>499.96800000000002</v>
      </c>
      <c r="I835" s="41">
        <f t="shared" si="217"/>
        <v>499.96800000000002</v>
      </c>
    </row>
    <row r="836" spans="1:9" ht="47.25">
      <c r="A836" s="77" t="s">
        <v>649</v>
      </c>
      <c r="B836" s="58" t="s">
        <v>201</v>
      </c>
      <c r="C836" s="43" t="s">
        <v>187</v>
      </c>
      <c r="D836" s="43" t="s">
        <v>603</v>
      </c>
      <c r="E836" s="58" t="s">
        <v>1089</v>
      </c>
      <c r="F836" s="43" t="s">
        <v>648</v>
      </c>
      <c r="G836" s="348">
        <f>G837</f>
        <v>499.96800000000002</v>
      </c>
      <c r="H836" s="348">
        <f t="shared" ref="H836:I836" si="218">H837</f>
        <v>499.96800000000002</v>
      </c>
      <c r="I836" s="348">
        <f t="shared" si="218"/>
        <v>499.96800000000002</v>
      </c>
    </row>
    <row r="837" spans="1:9" ht="19.149999999999999" customHeight="1">
      <c r="A837" s="77" t="s">
        <v>117</v>
      </c>
      <c r="B837" s="58" t="s">
        <v>201</v>
      </c>
      <c r="C837" s="43" t="s">
        <v>187</v>
      </c>
      <c r="D837" s="43" t="s">
        <v>603</v>
      </c>
      <c r="E837" s="58" t="s">
        <v>1089</v>
      </c>
      <c r="F837" s="43" t="s">
        <v>156</v>
      </c>
      <c r="G837" s="348">
        <f>'3'!F516</f>
        <v>499.96800000000002</v>
      </c>
      <c r="H837" s="348">
        <f>'3'!G516</f>
        <v>499.96800000000002</v>
      </c>
      <c r="I837" s="348">
        <f>'3'!H516</f>
        <v>499.96800000000002</v>
      </c>
    </row>
    <row r="838" spans="1:9" ht="51.75" customHeight="1">
      <c r="A838" s="82" t="s">
        <v>947</v>
      </c>
      <c r="B838" s="216" t="s">
        <v>201</v>
      </c>
      <c r="C838" s="71" t="s">
        <v>187</v>
      </c>
      <c r="D838" s="71" t="s">
        <v>603</v>
      </c>
      <c r="E838" s="71" t="s">
        <v>50</v>
      </c>
      <c r="F838" s="71" t="s">
        <v>198</v>
      </c>
      <c r="G838" s="72">
        <f>G839</f>
        <v>27873.25</v>
      </c>
      <c r="H838" s="72">
        <f>H839</f>
        <v>26565.1</v>
      </c>
      <c r="I838" s="72">
        <f>I839</f>
        <v>26096.75</v>
      </c>
    </row>
    <row r="839" spans="1:9" ht="19.5" customHeight="1">
      <c r="A839" s="76" t="s">
        <v>639</v>
      </c>
      <c r="B839" s="58" t="s">
        <v>201</v>
      </c>
      <c r="C839" s="43" t="s">
        <v>187</v>
      </c>
      <c r="D839" s="43" t="s">
        <v>603</v>
      </c>
      <c r="E839" s="53" t="s">
        <v>18</v>
      </c>
      <c r="F839" s="53" t="s">
        <v>198</v>
      </c>
      <c r="G839" s="41">
        <f>G840+G843+G846</f>
        <v>27873.25</v>
      </c>
      <c r="H839" s="41">
        <f>H840+H843+H846</f>
        <v>26565.1</v>
      </c>
      <c r="I839" s="41">
        <f>I840+I843+I846</f>
        <v>26096.75</v>
      </c>
    </row>
    <row r="840" spans="1:9" ht="63.75" customHeight="1">
      <c r="A840" s="153" t="s">
        <v>741</v>
      </c>
      <c r="B840" s="58" t="s">
        <v>201</v>
      </c>
      <c r="C840" s="43" t="s">
        <v>187</v>
      </c>
      <c r="D840" s="43" t="s">
        <v>603</v>
      </c>
      <c r="E840" s="150" t="s">
        <v>18</v>
      </c>
      <c r="F840" s="150" t="s">
        <v>198</v>
      </c>
      <c r="G840" s="54">
        <f t="shared" ref="G840:I841" si="219">G841</f>
        <v>12256.2</v>
      </c>
      <c r="H840" s="54">
        <f t="shared" si="219"/>
        <v>12256.2</v>
      </c>
      <c r="I840" s="54">
        <f t="shared" si="219"/>
        <v>12256.2</v>
      </c>
    </row>
    <row r="841" spans="1:9" ht="51.75" customHeight="1">
      <c r="A841" s="77" t="s">
        <v>649</v>
      </c>
      <c r="B841" s="58" t="s">
        <v>201</v>
      </c>
      <c r="C841" s="43" t="s">
        <v>187</v>
      </c>
      <c r="D841" s="43" t="s">
        <v>603</v>
      </c>
      <c r="E841" s="43" t="s">
        <v>958</v>
      </c>
      <c r="F841" s="43" t="s">
        <v>648</v>
      </c>
      <c r="G841" s="348">
        <f t="shared" si="219"/>
        <v>12256.2</v>
      </c>
      <c r="H841" s="348">
        <f t="shared" si="219"/>
        <v>12256.2</v>
      </c>
      <c r="I841" s="348">
        <f t="shared" si="219"/>
        <v>12256.2</v>
      </c>
    </row>
    <row r="842" spans="1:9" ht="25.15" customHeight="1">
      <c r="A842" s="77" t="s">
        <v>117</v>
      </c>
      <c r="B842" s="58" t="s">
        <v>201</v>
      </c>
      <c r="C842" s="43" t="s">
        <v>187</v>
      </c>
      <c r="D842" s="43" t="s">
        <v>603</v>
      </c>
      <c r="E842" s="43" t="s">
        <v>958</v>
      </c>
      <c r="F842" s="43" t="s">
        <v>156</v>
      </c>
      <c r="G842" s="348">
        <f>'3'!F521</f>
        <v>12256.2</v>
      </c>
      <c r="H842" s="348">
        <f>'3'!G521</f>
        <v>12256.2</v>
      </c>
      <c r="I842" s="348">
        <f>'3'!H521</f>
        <v>12256.2</v>
      </c>
    </row>
    <row r="843" spans="1:9" ht="98.25" customHeight="1">
      <c r="A843" s="153" t="s">
        <v>380</v>
      </c>
      <c r="B843" s="58" t="s">
        <v>201</v>
      </c>
      <c r="C843" s="43" t="s">
        <v>187</v>
      </c>
      <c r="D843" s="43" t="s">
        <v>603</v>
      </c>
      <c r="E843" s="217" t="s">
        <v>968</v>
      </c>
      <c r="F843" s="150" t="s">
        <v>198</v>
      </c>
      <c r="G843" s="54">
        <f t="shared" ref="G843:I844" si="220">G844</f>
        <v>15617.050000000001</v>
      </c>
      <c r="H843" s="54">
        <f t="shared" si="220"/>
        <v>14308.9</v>
      </c>
      <c r="I843" s="54">
        <f t="shared" si="220"/>
        <v>13840.550000000001</v>
      </c>
    </row>
    <row r="844" spans="1:9" ht="46.5" customHeight="1">
      <c r="A844" s="77" t="s">
        <v>649</v>
      </c>
      <c r="B844" s="58" t="s">
        <v>201</v>
      </c>
      <c r="C844" s="43" t="s">
        <v>187</v>
      </c>
      <c r="D844" s="43" t="s">
        <v>603</v>
      </c>
      <c r="E844" s="160" t="s">
        <v>968</v>
      </c>
      <c r="F844" s="43" t="s">
        <v>648</v>
      </c>
      <c r="G844" s="348">
        <f t="shared" si="220"/>
        <v>15617.050000000001</v>
      </c>
      <c r="H844" s="348">
        <f t="shared" si="220"/>
        <v>14308.9</v>
      </c>
      <c r="I844" s="348">
        <f t="shared" si="220"/>
        <v>13840.550000000001</v>
      </c>
    </row>
    <row r="845" spans="1:9" ht="25.15" customHeight="1">
      <c r="A845" s="77" t="s">
        <v>117</v>
      </c>
      <c r="B845" s="58" t="s">
        <v>201</v>
      </c>
      <c r="C845" s="43" t="s">
        <v>187</v>
      </c>
      <c r="D845" s="43" t="s">
        <v>603</v>
      </c>
      <c r="E845" s="160" t="s">
        <v>968</v>
      </c>
      <c r="F845" s="43" t="s">
        <v>156</v>
      </c>
      <c r="G845" s="348">
        <f>'5'!D107</f>
        <v>15617.050000000001</v>
      </c>
      <c r="H845" s="348">
        <f>'5'!E107</f>
        <v>14308.9</v>
      </c>
      <c r="I845" s="348">
        <f>'5'!F107</f>
        <v>13840.550000000001</v>
      </c>
    </row>
    <row r="846" spans="1:9" ht="54.75" hidden="1" customHeight="1">
      <c r="A846" s="153"/>
      <c r="B846" s="58"/>
      <c r="C846" s="43"/>
      <c r="D846" s="43"/>
      <c r="E846" s="198"/>
      <c r="F846" s="150"/>
      <c r="G846" s="54"/>
      <c r="H846" s="54"/>
      <c r="I846" s="54"/>
    </row>
    <row r="847" spans="1:9" ht="48.75" hidden="1" customHeight="1">
      <c r="A847" s="77"/>
      <c r="B847" s="58"/>
      <c r="C847" s="43"/>
      <c r="D847" s="43"/>
      <c r="E847" s="58"/>
      <c r="F847" s="43"/>
      <c r="G847" s="348"/>
      <c r="H847" s="348"/>
      <c r="I847" s="348"/>
    </row>
    <row r="848" spans="1:9" ht="25.15" hidden="1" customHeight="1">
      <c r="A848" s="77"/>
      <c r="B848" s="58"/>
      <c r="C848" s="43"/>
      <c r="D848" s="43"/>
      <c r="E848" s="58"/>
      <c r="F848" s="43"/>
      <c r="G848" s="348"/>
      <c r="H848" s="348"/>
      <c r="I848" s="348"/>
    </row>
    <row r="849" spans="1:12" ht="20.25" customHeight="1">
      <c r="A849" s="73" t="s">
        <v>743</v>
      </c>
      <c r="B849" s="191" t="s">
        <v>201</v>
      </c>
      <c r="C849" s="34" t="s">
        <v>187</v>
      </c>
      <c r="D849" s="34" t="s">
        <v>105</v>
      </c>
      <c r="E849" s="191" t="s">
        <v>601</v>
      </c>
      <c r="F849" s="34" t="s">
        <v>198</v>
      </c>
      <c r="G849" s="35">
        <f>G853+G855+G856+G859+G860+G863+G865+G868+G871</f>
        <v>75361.849000000002</v>
      </c>
      <c r="H849" s="35">
        <f t="shared" ref="H849:I849" si="221">H853+H855+H856+H859+H860+H863+H865+H868+H871</f>
        <v>41187.385170000009</v>
      </c>
      <c r="I849" s="35">
        <f t="shared" si="221"/>
        <v>39531.399935000009</v>
      </c>
      <c r="J849" s="90"/>
      <c r="K849" s="90"/>
      <c r="L849" s="90"/>
    </row>
    <row r="850" spans="1:12" s="206" customFormat="1" ht="53.25" customHeight="1">
      <c r="A850" s="77" t="s">
        <v>658</v>
      </c>
      <c r="B850" s="58" t="s">
        <v>201</v>
      </c>
      <c r="C850" s="43" t="s">
        <v>187</v>
      </c>
      <c r="D850" s="43" t="s">
        <v>105</v>
      </c>
      <c r="E850" s="43" t="s">
        <v>18</v>
      </c>
      <c r="F850" s="43" t="s">
        <v>198</v>
      </c>
      <c r="G850" s="348">
        <f>G852+G856+G860+G867+G853</f>
        <v>75361.849000000002</v>
      </c>
      <c r="H850" s="348">
        <f t="shared" ref="H850:I850" si="222">H852+H856+H860+H867+H853</f>
        <v>41187.385170000009</v>
      </c>
      <c r="I850" s="348">
        <f t="shared" si="222"/>
        <v>39531.399935000009</v>
      </c>
    </row>
    <row r="851" spans="1:12" ht="36" customHeight="1">
      <c r="A851" s="86" t="s">
        <v>733</v>
      </c>
      <c r="B851" s="58" t="s">
        <v>201</v>
      </c>
      <c r="C851" s="43" t="s">
        <v>187</v>
      </c>
      <c r="D851" s="43" t="s">
        <v>105</v>
      </c>
      <c r="E851" s="43" t="s">
        <v>38</v>
      </c>
      <c r="F851" s="43" t="s">
        <v>198</v>
      </c>
      <c r="G851" s="348">
        <f>G852</f>
        <v>39658.381000000001</v>
      </c>
      <c r="H851" s="348">
        <f t="shared" ref="H851:I851" si="223">H852</f>
        <v>39149.517170000006</v>
      </c>
      <c r="I851" s="348">
        <f t="shared" si="223"/>
        <v>37493.531935000006</v>
      </c>
    </row>
    <row r="852" spans="1:12" ht="47.25">
      <c r="A852" s="77" t="s">
        <v>649</v>
      </c>
      <c r="B852" s="58" t="s">
        <v>201</v>
      </c>
      <c r="C852" s="43" t="s">
        <v>187</v>
      </c>
      <c r="D852" s="43" t="s">
        <v>105</v>
      </c>
      <c r="E852" s="43" t="s">
        <v>735</v>
      </c>
      <c r="F852" s="43" t="s">
        <v>648</v>
      </c>
      <c r="G852" s="348">
        <f>G855+G859+G863+G864</f>
        <v>39658.381000000001</v>
      </c>
      <c r="H852" s="348">
        <f t="shared" ref="H852:I852" si="224">H855+H859+H863+H864</f>
        <v>39149.517170000006</v>
      </c>
      <c r="I852" s="348">
        <f t="shared" si="224"/>
        <v>37493.531935000006</v>
      </c>
    </row>
    <row r="853" spans="1:12" ht="48.75" customHeight="1">
      <c r="A853" s="77" t="s">
        <v>1066</v>
      </c>
      <c r="B853" s="58" t="s">
        <v>201</v>
      </c>
      <c r="C853" s="43" t="s">
        <v>187</v>
      </c>
      <c r="D853" s="43" t="s">
        <v>105</v>
      </c>
      <c r="E853" s="43" t="s">
        <v>401</v>
      </c>
      <c r="F853" s="43" t="s">
        <v>156</v>
      </c>
      <c r="G853" s="348">
        <f>'5'!D78</f>
        <v>160</v>
      </c>
      <c r="H853" s="348">
        <f>'5'!E78</f>
        <v>0</v>
      </c>
      <c r="I853" s="348">
        <f>'5'!F78</f>
        <v>0</v>
      </c>
    </row>
    <row r="854" spans="1:12" ht="47.25" hidden="1" customHeight="1">
      <c r="A854" s="77" t="s">
        <v>411</v>
      </c>
      <c r="B854" s="58" t="s">
        <v>201</v>
      </c>
      <c r="C854" s="43" t="s">
        <v>187</v>
      </c>
      <c r="D854" s="43" t="s">
        <v>105</v>
      </c>
      <c r="E854" s="43" t="s">
        <v>412</v>
      </c>
      <c r="F854" s="43" t="s">
        <v>156</v>
      </c>
      <c r="G854" s="348"/>
      <c r="H854" s="348">
        <v>0</v>
      </c>
      <c r="I854" s="348">
        <v>0</v>
      </c>
    </row>
    <row r="855" spans="1:12" ht="37.5" customHeight="1">
      <c r="A855" s="77" t="s">
        <v>876</v>
      </c>
      <c r="B855" s="58" t="s">
        <v>201</v>
      </c>
      <c r="C855" s="43" t="s">
        <v>187</v>
      </c>
      <c r="D855" s="43" t="s">
        <v>105</v>
      </c>
      <c r="E855" s="43" t="s">
        <v>39</v>
      </c>
      <c r="F855" s="43" t="s">
        <v>156</v>
      </c>
      <c r="G855" s="348">
        <f>'5'!D79</f>
        <v>15921</v>
      </c>
      <c r="H855" s="348">
        <f>'5'!E79</f>
        <v>14443.21413</v>
      </c>
      <c r="I855" s="348">
        <f>'5'!F79</f>
        <v>14891.176935000001</v>
      </c>
    </row>
    <row r="856" spans="1:12" ht="131.25" customHeight="1">
      <c r="A856" s="77" t="s">
        <v>577</v>
      </c>
      <c r="B856" s="58" t="s">
        <v>201</v>
      </c>
      <c r="C856" s="43" t="s">
        <v>187</v>
      </c>
      <c r="D856" s="43" t="s">
        <v>105</v>
      </c>
      <c r="E856" s="43" t="s">
        <v>489</v>
      </c>
      <c r="F856" s="43" t="s">
        <v>198</v>
      </c>
      <c r="G856" s="348">
        <f>G857</f>
        <v>860.76700000000005</v>
      </c>
      <c r="H856" s="348">
        <f t="shared" ref="G856:I857" si="225">H857</f>
        <v>860.76700000000005</v>
      </c>
      <c r="I856" s="348">
        <f t="shared" si="225"/>
        <v>860.76700000000005</v>
      </c>
    </row>
    <row r="857" spans="1:12" ht="51.75" customHeight="1">
      <c r="A857" s="77" t="s">
        <v>649</v>
      </c>
      <c r="B857" s="58" t="s">
        <v>201</v>
      </c>
      <c r="C857" s="43" t="s">
        <v>187</v>
      </c>
      <c r="D857" s="43" t="s">
        <v>105</v>
      </c>
      <c r="E857" s="43" t="s">
        <v>489</v>
      </c>
      <c r="F857" s="43" t="s">
        <v>648</v>
      </c>
      <c r="G857" s="348">
        <f t="shared" si="225"/>
        <v>860.76700000000005</v>
      </c>
      <c r="H857" s="348">
        <f t="shared" si="225"/>
        <v>860.76700000000005</v>
      </c>
      <c r="I857" s="348">
        <f t="shared" si="225"/>
        <v>860.76700000000005</v>
      </c>
    </row>
    <row r="858" spans="1:12" ht="35.25" customHeight="1">
      <c r="A858" s="77" t="s">
        <v>877</v>
      </c>
      <c r="B858" s="58" t="s">
        <v>201</v>
      </c>
      <c r="C858" s="43" t="s">
        <v>187</v>
      </c>
      <c r="D858" s="43" t="s">
        <v>105</v>
      </c>
      <c r="E858" s="43" t="s">
        <v>489</v>
      </c>
      <c r="F858" s="43" t="s">
        <v>156</v>
      </c>
      <c r="G858" s="348">
        <f>'3'!F538</f>
        <v>860.76700000000005</v>
      </c>
      <c r="H858" s="348">
        <f>'3'!G538</f>
        <v>860.76700000000005</v>
      </c>
      <c r="I858" s="348">
        <f>'3'!H538</f>
        <v>860.76700000000005</v>
      </c>
    </row>
    <row r="859" spans="1:12" ht="48.75" customHeight="1">
      <c r="A859" s="77" t="s">
        <v>420</v>
      </c>
      <c r="B859" s="58" t="s">
        <v>201</v>
      </c>
      <c r="C859" s="43" t="s">
        <v>187</v>
      </c>
      <c r="D859" s="43" t="s">
        <v>105</v>
      </c>
      <c r="E859" s="43" t="s">
        <v>40</v>
      </c>
      <c r="F859" s="43" t="s">
        <v>156</v>
      </c>
      <c r="G859" s="348">
        <f>'5'!D80</f>
        <v>22692.381000000001</v>
      </c>
      <c r="H859" s="348">
        <f>'3'!G540</f>
        <v>23412.503040000003</v>
      </c>
      <c r="I859" s="348">
        <f>'3'!H540</f>
        <v>21108.555</v>
      </c>
    </row>
    <row r="860" spans="1:12" ht="132.75" customHeight="1">
      <c r="A860" s="77" t="s">
        <v>577</v>
      </c>
      <c r="B860" s="58" t="s">
        <v>201</v>
      </c>
      <c r="C860" s="43" t="s">
        <v>187</v>
      </c>
      <c r="D860" s="43" t="s">
        <v>105</v>
      </c>
      <c r="E860" s="43" t="s">
        <v>489</v>
      </c>
      <c r="F860" s="43" t="s">
        <v>198</v>
      </c>
      <c r="G860" s="348">
        <f t="shared" ref="G860:I861" si="226">G861</f>
        <v>1177.1010000000001</v>
      </c>
      <c r="H860" s="348">
        <f t="shared" si="226"/>
        <v>1177.1010000000001</v>
      </c>
      <c r="I860" s="348">
        <f t="shared" si="226"/>
        <v>1177.1010000000001</v>
      </c>
    </row>
    <row r="861" spans="1:12" ht="54.75" customHeight="1">
      <c r="A861" s="77" t="s">
        <v>649</v>
      </c>
      <c r="B861" s="58" t="s">
        <v>201</v>
      </c>
      <c r="C861" s="43" t="s">
        <v>187</v>
      </c>
      <c r="D861" s="43" t="s">
        <v>105</v>
      </c>
      <c r="E861" s="43" t="s">
        <v>489</v>
      </c>
      <c r="F861" s="43" t="s">
        <v>648</v>
      </c>
      <c r="G861" s="348">
        <f t="shared" si="226"/>
        <v>1177.1010000000001</v>
      </c>
      <c r="H861" s="348">
        <f t="shared" si="226"/>
        <v>1177.1010000000001</v>
      </c>
      <c r="I861" s="348">
        <f t="shared" si="226"/>
        <v>1177.1010000000001</v>
      </c>
    </row>
    <row r="862" spans="1:12" ht="24" customHeight="1">
      <c r="A862" s="77" t="s">
        <v>117</v>
      </c>
      <c r="B862" s="58" t="s">
        <v>201</v>
      </c>
      <c r="C862" s="43" t="s">
        <v>187</v>
      </c>
      <c r="D862" s="43" t="s">
        <v>105</v>
      </c>
      <c r="E862" s="43" t="s">
        <v>489</v>
      </c>
      <c r="F862" s="43" t="s">
        <v>156</v>
      </c>
      <c r="G862" s="348">
        <f>'3'!F544</f>
        <v>1177.1010000000001</v>
      </c>
      <c r="H862" s="348">
        <f>'3'!G544</f>
        <v>1177.1010000000001</v>
      </c>
      <c r="I862" s="348">
        <f>'3'!H544</f>
        <v>1177.1010000000001</v>
      </c>
    </row>
    <row r="863" spans="1:12" ht="102" customHeight="1">
      <c r="A863" s="77" t="s">
        <v>555</v>
      </c>
      <c r="B863" s="58" t="s">
        <v>201</v>
      </c>
      <c r="C863" s="43" t="s">
        <v>187</v>
      </c>
      <c r="D863" s="43" t="s">
        <v>105</v>
      </c>
      <c r="E863" s="43" t="s">
        <v>421</v>
      </c>
      <c r="F863" s="43" t="s">
        <v>156</v>
      </c>
      <c r="G863" s="348">
        <f>'3'!F545</f>
        <v>1010</v>
      </c>
      <c r="H863" s="348">
        <f>'3'!G545</f>
        <v>1293.8</v>
      </c>
      <c r="I863" s="348">
        <f>'3'!H545</f>
        <v>1493.8</v>
      </c>
    </row>
    <row r="864" spans="1:12" ht="46.5" customHeight="1">
      <c r="A864" s="81" t="s">
        <v>411</v>
      </c>
      <c r="B864" s="60" t="s">
        <v>201</v>
      </c>
      <c r="C864" s="59" t="s">
        <v>187</v>
      </c>
      <c r="D864" s="59" t="s">
        <v>105</v>
      </c>
      <c r="E864" s="59" t="s">
        <v>412</v>
      </c>
      <c r="F864" s="59" t="s">
        <v>198</v>
      </c>
      <c r="G864" s="96">
        <f t="shared" ref="G864:I865" si="227">G865</f>
        <v>35</v>
      </c>
      <c r="H864" s="96">
        <f t="shared" si="227"/>
        <v>0</v>
      </c>
      <c r="I864" s="96">
        <f t="shared" si="227"/>
        <v>0</v>
      </c>
    </row>
    <row r="865" spans="1:12" ht="54.75" customHeight="1">
      <c r="A865" s="77" t="s">
        <v>649</v>
      </c>
      <c r="B865" s="58" t="s">
        <v>201</v>
      </c>
      <c r="C865" s="43" t="s">
        <v>187</v>
      </c>
      <c r="D865" s="43" t="s">
        <v>105</v>
      </c>
      <c r="E865" s="43" t="s">
        <v>412</v>
      </c>
      <c r="F865" s="43" t="s">
        <v>648</v>
      </c>
      <c r="G865" s="348">
        <f t="shared" si="227"/>
        <v>35</v>
      </c>
      <c r="H865" s="348">
        <f t="shared" si="227"/>
        <v>0</v>
      </c>
      <c r="I865" s="348">
        <f t="shared" si="227"/>
        <v>0</v>
      </c>
    </row>
    <row r="866" spans="1:12" ht="21" customHeight="1">
      <c r="A866" s="77" t="s">
        <v>117</v>
      </c>
      <c r="B866" s="58" t="s">
        <v>201</v>
      </c>
      <c r="C866" s="43" t="s">
        <v>187</v>
      </c>
      <c r="D866" s="43" t="s">
        <v>105</v>
      </c>
      <c r="E866" s="43" t="s">
        <v>412</v>
      </c>
      <c r="F866" s="43" t="s">
        <v>156</v>
      </c>
      <c r="G866" s="348">
        <f>'5'!D76</f>
        <v>35</v>
      </c>
      <c r="H866" s="348">
        <f>'5'!E76</f>
        <v>0</v>
      </c>
      <c r="I866" s="348">
        <f>'5'!F76</f>
        <v>0</v>
      </c>
    </row>
    <row r="867" spans="1:12" ht="68.25" customHeight="1">
      <c r="A867" s="153" t="s">
        <v>340</v>
      </c>
      <c r="B867" s="58" t="s">
        <v>201</v>
      </c>
      <c r="C867" s="53" t="s">
        <v>187</v>
      </c>
      <c r="D867" s="53" t="s">
        <v>105</v>
      </c>
      <c r="E867" s="43" t="s">
        <v>601</v>
      </c>
      <c r="F867" s="43" t="s">
        <v>198</v>
      </c>
      <c r="G867" s="54">
        <f>G868+G871</f>
        <v>33505.599999999999</v>
      </c>
      <c r="H867" s="54">
        <f t="shared" ref="H867:I867" si="228">H868+H871</f>
        <v>0</v>
      </c>
      <c r="I867" s="54">
        <f t="shared" si="228"/>
        <v>0</v>
      </c>
    </row>
    <row r="868" spans="1:12" ht="84" customHeight="1">
      <c r="A868" s="77" t="s">
        <v>760</v>
      </c>
      <c r="B868" s="58" t="s">
        <v>201</v>
      </c>
      <c r="C868" s="53" t="s">
        <v>187</v>
      </c>
      <c r="D868" s="53" t="s">
        <v>105</v>
      </c>
      <c r="E868" s="43" t="s">
        <v>761</v>
      </c>
      <c r="F868" s="43" t="s">
        <v>198</v>
      </c>
      <c r="G868" s="348">
        <f>G869</f>
        <v>33170.544000000002</v>
      </c>
      <c r="H868" s="348">
        <f t="shared" ref="H868:I869" si="229">H869</f>
        <v>0</v>
      </c>
      <c r="I868" s="348">
        <f t="shared" si="229"/>
        <v>0</v>
      </c>
    </row>
    <row r="869" spans="1:12" ht="52.5" customHeight="1">
      <c r="A869" s="77" t="s">
        <v>649</v>
      </c>
      <c r="B869" s="58" t="s">
        <v>201</v>
      </c>
      <c r="C869" s="53" t="s">
        <v>187</v>
      </c>
      <c r="D869" s="53" t="s">
        <v>105</v>
      </c>
      <c r="E869" s="43" t="s">
        <v>761</v>
      </c>
      <c r="F869" s="43" t="s">
        <v>648</v>
      </c>
      <c r="G869" s="348">
        <f>G870</f>
        <v>33170.544000000002</v>
      </c>
      <c r="H869" s="348">
        <f t="shared" si="229"/>
        <v>0</v>
      </c>
      <c r="I869" s="348">
        <f t="shared" si="229"/>
        <v>0</v>
      </c>
    </row>
    <row r="870" spans="1:12" ht="21" customHeight="1">
      <c r="A870" s="77" t="s">
        <v>117</v>
      </c>
      <c r="B870" s="58" t="s">
        <v>201</v>
      </c>
      <c r="C870" s="53" t="s">
        <v>187</v>
      </c>
      <c r="D870" s="53" t="s">
        <v>105</v>
      </c>
      <c r="E870" s="43" t="s">
        <v>761</v>
      </c>
      <c r="F870" s="43" t="s">
        <v>156</v>
      </c>
      <c r="G870" s="348">
        <f>'5'!D84</f>
        <v>33170.544000000002</v>
      </c>
      <c r="H870" s="348">
        <f>'5'!E84</f>
        <v>0</v>
      </c>
      <c r="I870" s="348">
        <f>'5'!F84</f>
        <v>0</v>
      </c>
    </row>
    <row r="871" spans="1:12" ht="121.5" customHeight="1">
      <c r="A871" s="76" t="s">
        <v>1040</v>
      </c>
      <c r="B871" s="58" t="s">
        <v>105</v>
      </c>
      <c r="C871" s="53" t="s">
        <v>187</v>
      </c>
      <c r="D871" s="53" t="s">
        <v>105</v>
      </c>
      <c r="E871" s="53" t="s">
        <v>909</v>
      </c>
      <c r="F871" s="53" t="s">
        <v>198</v>
      </c>
      <c r="G871" s="348">
        <f>G872</f>
        <v>335.05599999999998</v>
      </c>
      <c r="H871" s="348">
        <f t="shared" ref="H871:I872" si="230">H872</f>
        <v>0</v>
      </c>
      <c r="I871" s="348">
        <f t="shared" si="230"/>
        <v>0</v>
      </c>
    </row>
    <row r="872" spans="1:12" ht="50.25" customHeight="1">
      <c r="A872" s="77" t="s">
        <v>649</v>
      </c>
      <c r="B872" s="58" t="s">
        <v>201</v>
      </c>
      <c r="C872" s="43" t="s">
        <v>187</v>
      </c>
      <c r="D872" s="43" t="s">
        <v>105</v>
      </c>
      <c r="E872" s="43" t="s">
        <v>909</v>
      </c>
      <c r="F872" s="43" t="s">
        <v>648</v>
      </c>
      <c r="G872" s="348">
        <f>G873</f>
        <v>335.05599999999998</v>
      </c>
      <c r="H872" s="348">
        <f t="shared" si="230"/>
        <v>0</v>
      </c>
      <c r="I872" s="348">
        <f t="shared" si="230"/>
        <v>0</v>
      </c>
    </row>
    <row r="873" spans="1:12" ht="25.5" customHeight="1">
      <c r="A873" s="77" t="s">
        <v>117</v>
      </c>
      <c r="B873" s="58" t="s">
        <v>201</v>
      </c>
      <c r="C873" s="43" t="s">
        <v>187</v>
      </c>
      <c r="D873" s="43" t="s">
        <v>105</v>
      </c>
      <c r="E873" s="43" t="s">
        <v>909</v>
      </c>
      <c r="F873" s="43" t="s">
        <v>156</v>
      </c>
      <c r="G873" s="348">
        <f>'5'!D85</f>
        <v>335.05599999999998</v>
      </c>
      <c r="H873" s="348">
        <f>'5'!E85</f>
        <v>0</v>
      </c>
      <c r="I873" s="348">
        <f>'5'!F85</f>
        <v>0</v>
      </c>
    </row>
    <row r="874" spans="1:12" ht="78.75" hidden="1" customHeight="1">
      <c r="A874" s="75" t="s">
        <v>754</v>
      </c>
      <c r="B874" s="201" t="s">
        <v>201</v>
      </c>
      <c r="C874" s="2" t="s">
        <v>187</v>
      </c>
      <c r="D874" s="2" t="s">
        <v>105</v>
      </c>
      <c r="E874" s="2" t="s">
        <v>431</v>
      </c>
      <c r="F874" s="2" t="s">
        <v>198</v>
      </c>
      <c r="G874" s="39">
        <f t="shared" ref="G874:I875" si="231">G875</f>
        <v>0</v>
      </c>
      <c r="H874" s="39">
        <f t="shared" si="231"/>
        <v>0</v>
      </c>
      <c r="I874" s="39">
        <f t="shared" si="231"/>
        <v>0</v>
      </c>
    </row>
    <row r="875" spans="1:12" ht="47.25" hidden="1" customHeight="1">
      <c r="A875" s="74" t="s">
        <v>649</v>
      </c>
      <c r="B875" s="47" t="s">
        <v>201</v>
      </c>
      <c r="C875" s="37" t="s">
        <v>187</v>
      </c>
      <c r="D875" s="37" t="s">
        <v>105</v>
      </c>
      <c r="E875" s="37" t="s">
        <v>431</v>
      </c>
      <c r="F875" s="37" t="s">
        <v>648</v>
      </c>
      <c r="G875" s="38">
        <f t="shared" si="231"/>
        <v>0</v>
      </c>
      <c r="H875" s="38">
        <f t="shared" si="231"/>
        <v>0</v>
      </c>
      <c r="I875" s="38">
        <f t="shared" si="231"/>
        <v>0</v>
      </c>
    </row>
    <row r="876" spans="1:12" ht="63" hidden="1" customHeight="1">
      <c r="A876" s="74" t="s">
        <v>569</v>
      </c>
      <c r="B876" s="47" t="s">
        <v>201</v>
      </c>
      <c r="C876" s="37" t="s">
        <v>187</v>
      </c>
      <c r="D876" s="37" t="s">
        <v>105</v>
      </c>
      <c r="E876" s="37" t="s">
        <v>431</v>
      </c>
      <c r="F876" s="37" t="s">
        <v>156</v>
      </c>
      <c r="G876" s="38"/>
      <c r="H876" s="38"/>
      <c r="I876" s="38"/>
    </row>
    <row r="877" spans="1:12" ht="60" customHeight="1">
      <c r="A877" s="194" t="s">
        <v>740</v>
      </c>
      <c r="B877" s="195" t="s">
        <v>201</v>
      </c>
      <c r="C877" s="196" t="s">
        <v>187</v>
      </c>
      <c r="D877" s="196" t="s">
        <v>620</v>
      </c>
      <c r="E877" s="196" t="s">
        <v>18</v>
      </c>
      <c r="F877" s="196" t="s">
        <v>198</v>
      </c>
      <c r="G877" s="197">
        <f>G879+G900</f>
        <v>125</v>
      </c>
      <c r="H877" s="197">
        <f t="shared" ref="H877:I877" si="232">H879+H900</f>
        <v>75</v>
      </c>
      <c r="I877" s="197">
        <f t="shared" si="232"/>
        <v>75</v>
      </c>
      <c r="J877" s="90"/>
      <c r="K877" s="90"/>
      <c r="L877" s="90"/>
    </row>
    <row r="878" spans="1:12" ht="34.15" customHeight="1">
      <c r="A878" s="86" t="s">
        <v>878</v>
      </c>
      <c r="B878" s="58" t="s">
        <v>201</v>
      </c>
      <c r="C878" s="43" t="s">
        <v>187</v>
      </c>
      <c r="D878" s="43" t="s">
        <v>620</v>
      </c>
      <c r="E878" s="43" t="s">
        <v>44</v>
      </c>
      <c r="F878" s="43" t="s">
        <v>198</v>
      </c>
      <c r="G878" s="348">
        <f>G879</f>
        <v>100</v>
      </c>
      <c r="H878" s="348">
        <f t="shared" ref="H878:I880" si="233">H879</f>
        <v>50</v>
      </c>
      <c r="I878" s="348">
        <f t="shared" si="233"/>
        <v>50</v>
      </c>
    </row>
    <row r="879" spans="1:12" ht="29.45" customHeight="1">
      <c r="A879" s="77" t="s">
        <v>756</v>
      </c>
      <c r="B879" s="58" t="s">
        <v>201</v>
      </c>
      <c r="C879" s="43" t="s">
        <v>187</v>
      </c>
      <c r="D879" s="43" t="s">
        <v>620</v>
      </c>
      <c r="E879" s="43" t="s">
        <v>45</v>
      </c>
      <c r="F879" s="43" t="s">
        <v>198</v>
      </c>
      <c r="G879" s="348">
        <f>G880</f>
        <v>100</v>
      </c>
      <c r="H879" s="348">
        <f t="shared" si="233"/>
        <v>50</v>
      </c>
      <c r="I879" s="348">
        <f t="shared" si="233"/>
        <v>50</v>
      </c>
    </row>
    <row r="880" spans="1:12" ht="47.25">
      <c r="A880" s="77" t="s">
        <v>649</v>
      </c>
      <c r="B880" s="58" t="s">
        <v>201</v>
      </c>
      <c r="C880" s="43" t="s">
        <v>187</v>
      </c>
      <c r="D880" s="43" t="s">
        <v>620</v>
      </c>
      <c r="E880" s="43" t="s">
        <v>45</v>
      </c>
      <c r="F880" s="43" t="s">
        <v>648</v>
      </c>
      <c r="G880" s="348">
        <f>G881</f>
        <v>100</v>
      </c>
      <c r="H880" s="348">
        <f t="shared" si="233"/>
        <v>50</v>
      </c>
      <c r="I880" s="348">
        <f t="shared" si="233"/>
        <v>50</v>
      </c>
    </row>
    <row r="881" spans="1:9">
      <c r="A881" s="77" t="s">
        <v>117</v>
      </c>
      <c r="B881" s="58" t="s">
        <v>201</v>
      </c>
      <c r="C881" s="43" t="s">
        <v>187</v>
      </c>
      <c r="D881" s="43" t="s">
        <v>620</v>
      </c>
      <c r="E881" s="43" t="s">
        <v>45</v>
      </c>
      <c r="F881" s="43" t="s">
        <v>156</v>
      </c>
      <c r="G881" s="348">
        <f>'5'!D93</f>
        <v>100</v>
      </c>
      <c r="H881" s="348">
        <v>50</v>
      </c>
      <c r="I881" s="348">
        <v>50</v>
      </c>
    </row>
    <row r="882" spans="1:9" ht="47.25" hidden="1">
      <c r="A882" s="76" t="s">
        <v>879</v>
      </c>
      <c r="B882" s="61" t="s">
        <v>201</v>
      </c>
      <c r="C882" s="53" t="s">
        <v>187</v>
      </c>
      <c r="D882" s="53" t="s">
        <v>187</v>
      </c>
      <c r="E882" s="53" t="s">
        <v>18</v>
      </c>
      <c r="F882" s="53" t="s">
        <v>198</v>
      </c>
      <c r="G882" s="41">
        <f>G883+G891</f>
        <v>0</v>
      </c>
      <c r="H882" s="41">
        <f>H883+H891</f>
        <v>0</v>
      </c>
      <c r="I882" s="41">
        <f>I883+I891</f>
        <v>0</v>
      </c>
    </row>
    <row r="883" spans="1:9" ht="31.5" hidden="1" customHeight="1">
      <c r="A883" s="86" t="s">
        <v>733</v>
      </c>
      <c r="B883" s="58" t="s">
        <v>201</v>
      </c>
      <c r="C883" s="43" t="s">
        <v>187</v>
      </c>
      <c r="D883" s="43" t="s">
        <v>187</v>
      </c>
      <c r="E883" s="43" t="s">
        <v>38</v>
      </c>
      <c r="F883" s="43" t="s">
        <v>198</v>
      </c>
      <c r="G883" s="348">
        <f>G884</f>
        <v>0</v>
      </c>
      <c r="H883" s="348">
        <f>H884</f>
        <v>0</v>
      </c>
      <c r="I883" s="348">
        <f>I884</f>
        <v>0</v>
      </c>
    </row>
    <row r="884" spans="1:9" ht="63" hidden="1">
      <c r="A884" s="76" t="s">
        <v>340</v>
      </c>
      <c r="B884" s="61" t="s">
        <v>201</v>
      </c>
      <c r="C884" s="53" t="s">
        <v>187</v>
      </c>
      <c r="D884" s="53" t="s">
        <v>187</v>
      </c>
      <c r="E884" s="53" t="s">
        <v>601</v>
      </c>
      <c r="F884" s="53" t="s">
        <v>198</v>
      </c>
      <c r="G884" s="41">
        <f>G885+G888</f>
        <v>0</v>
      </c>
      <c r="H884" s="41">
        <f>H885+H888</f>
        <v>0</v>
      </c>
      <c r="I884" s="41">
        <f>I885+I888</f>
        <v>0</v>
      </c>
    </row>
    <row r="885" spans="1:9" ht="78.75" hidden="1">
      <c r="A885" s="77" t="s">
        <v>760</v>
      </c>
      <c r="B885" s="58" t="s">
        <v>201</v>
      </c>
      <c r="C885" s="43" t="s">
        <v>187</v>
      </c>
      <c r="D885" s="43" t="s">
        <v>187</v>
      </c>
      <c r="E885" s="43" t="s">
        <v>761</v>
      </c>
      <c r="F885" s="43" t="s">
        <v>198</v>
      </c>
      <c r="G885" s="348">
        <f>G886+G888</f>
        <v>0</v>
      </c>
      <c r="H885" s="348">
        <f>H886+H888</f>
        <v>0</v>
      </c>
      <c r="I885" s="348">
        <f>I886+I888</f>
        <v>0</v>
      </c>
    </row>
    <row r="886" spans="1:9" ht="47.25" hidden="1">
      <c r="A886" s="77" t="s">
        <v>649</v>
      </c>
      <c r="B886" s="58" t="s">
        <v>201</v>
      </c>
      <c r="C886" s="43" t="s">
        <v>187</v>
      </c>
      <c r="D886" s="43" t="s">
        <v>187</v>
      </c>
      <c r="E886" s="43" t="s">
        <v>761</v>
      </c>
      <c r="F886" s="43" t="s">
        <v>648</v>
      </c>
      <c r="G886" s="348">
        <f>G887</f>
        <v>0</v>
      </c>
      <c r="H886" s="348">
        <f>H887</f>
        <v>0</v>
      </c>
      <c r="I886" s="348">
        <f>I887</f>
        <v>0</v>
      </c>
    </row>
    <row r="887" spans="1:9" hidden="1">
      <c r="A887" s="77" t="s">
        <v>117</v>
      </c>
      <c r="B887" s="58" t="s">
        <v>201</v>
      </c>
      <c r="C887" s="43" t="s">
        <v>187</v>
      </c>
      <c r="D887" s="43" t="s">
        <v>187</v>
      </c>
      <c r="E887" s="43" t="s">
        <v>761</v>
      </c>
      <c r="F887" s="43" t="s">
        <v>156</v>
      </c>
      <c r="G887" s="348"/>
      <c r="H887" s="348"/>
      <c r="I887" s="348"/>
    </row>
    <row r="888" spans="1:9" ht="110.25" hidden="1">
      <c r="A888" s="77" t="s">
        <v>762</v>
      </c>
      <c r="B888" s="58" t="s">
        <v>201</v>
      </c>
      <c r="C888" s="43" t="s">
        <v>187</v>
      </c>
      <c r="D888" s="43" t="s">
        <v>187</v>
      </c>
      <c r="E888" s="43" t="s">
        <v>763</v>
      </c>
      <c r="F888" s="43" t="s">
        <v>198</v>
      </c>
      <c r="G888" s="348">
        <f t="shared" ref="G888:I889" si="234">G889</f>
        <v>0</v>
      </c>
      <c r="H888" s="348">
        <f t="shared" si="234"/>
        <v>0</v>
      </c>
      <c r="I888" s="348">
        <f t="shared" si="234"/>
        <v>0</v>
      </c>
    </row>
    <row r="889" spans="1:9" ht="47.25" hidden="1">
      <c r="A889" s="77" t="s">
        <v>649</v>
      </c>
      <c r="B889" s="58" t="s">
        <v>201</v>
      </c>
      <c r="C889" s="43" t="s">
        <v>187</v>
      </c>
      <c r="D889" s="43" t="s">
        <v>187</v>
      </c>
      <c r="E889" s="43" t="s">
        <v>763</v>
      </c>
      <c r="F889" s="43" t="s">
        <v>648</v>
      </c>
      <c r="G889" s="348">
        <f t="shared" si="234"/>
        <v>0</v>
      </c>
      <c r="H889" s="348">
        <f t="shared" si="234"/>
        <v>0</v>
      </c>
      <c r="I889" s="348">
        <f t="shared" si="234"/>
        <v>0</v>
      </c>
    </row>
    <row r="890" spans="1:9" hidden="1">
      <c r="A890" s="77" t="s">
        <v>117</v>
      </c>
      <c r="B890" s="58" t="s">
        <v>201</v>
      </c>
      <c r="C890" s="43" t="s">
        <v>187</v>
      </c>
      <c r="D890" s="43" t="s">
        <v>187</v>
      </c>
      <c r="E890" s="43" t="s">
        <v>763</v>
      </c>
      <c r="F890" s="43" t="s">
        <v>156</v>
      </c>
      <c r="G890" s="348"/>
      <c r="H890" s="348"/>
      <c r="I890" s="348"/>
    </row>
    <row r="891" spans="1:9" ht="31.5" hidden="1" customHeight="1">
      <c r="A891" s="86" t="s">
        <v>224</v>
      </c>
      <c r="B891" s="58" t="s">
        <v>201</v>
      </c>
      <c r="C891" s="43" t="s">
        <v>187</v>
      </c>
      <c r="D891" s="43" t="s">
        <v>187</v>
      </c>
      <c r="E891" s="43" t="s">
        <v>46</v>
      </c>
      <c r="F891" s="43" t="s">
        <v>198</v>
      </c>
      <c r="G891" s="348">
        <f>G892</f>
        <v>0</v>
      </c>
      <c r="H891" s="348">
        <f>H892</f>
        <v>0</v>
      </c>
      <c r="I891" s="348">
        <f>I892</f>
        <v>0</v>
      </c>
    </row>
    <row r="892" spans="1:9" ht="78.75" hidden="1" customHeight="1">
      <c r="A892" s="81" t="s">
        <v>361</v>
      </c>
      <c r="B892" s="60" t="s">
        <v>201</v>
      </c>
      <c r="C892" s="59" t="s">
        <v>187</v>
      </c>
      <c r="D892" s="59" t="s">
        <v>187</v>
      </c>
      <c r="E892" s="59" t="s">
        <v>46</v>
      </c>
      <c r="F892" s="59" t="s">
        <v>198</v>
      </c>
      <c r="G892" s="96">
        <f>G893+G897</f>
        <v>0</v>
      </c>
      <c r="H892" s="96">
        <f>H893+H897</f>
        <v>0</v>
      </c>
      <c r="I892" s="96">
        <f>I893+I897</f>
        <v>0</v>
      </c>
    </row>
    <row r="893" spans="1:9" ht="47.25" hidden="1">
      <c r="A893" s="77" t="s">
        <v>649</v>
      </c>
      <c r="B893" s="58" t="s">
        <v>201</v>
      </c>
      <c r="C893" s="43" t="s">
        <v>187</v>
      </c>
      <c r="D893" s="43" t="s">
        <v>187</v>
      </c>
      <c r="E893" s="43" t="s">
        <v>47</v>
      </c>
      <c r="F893" s="43" t="s">
        <v>648</v>
      </c>
      <c r="G893" s="348">
        <f>G894</f>
        <v>0</v>
      </c>
      <c r="H893" s="348">
        <f>H894</f>
        <v>0</v>
      </c>
      <c r="I893" s="348">
        <f>I894</f>
        <v>0</v>
      </c>
    </row>
    <row r="894" spans="1:9" hidden="1">
      <c r="A894" s="77" t="s">
        <v>117</v>
      </c>
      <c r="B894" s="58" t="s">
        <v>201</v>
      </c>
      <c r="C894" s="43" t="s">
        <v>187</v>
      </c>
      <c r="D894" s="43" t="s">
        <v>187</v>
      </c>
      <c r="E894" s="43" t="s">
        <v>47</v>
      </c>
      <c r="F894" s="43" t="s">
        <v>156</v>
      </c>
      <c r="G894" s="348"/>
      <c r="H894" s="348"/>
      <c r="I894" s="348"/>
    </row>
    <row r="895" spans="1:9" ht="47.25" hidden="1">
      <c r="A895" s="77" t="s">
        <v>649</v>
      </c>
      <c r="B895" s="58" t="s">
        <v>201</v>
      </c>
      <c r="C895" s="43" t="s">
        <v>187</v>
      </c>
      <c r="D895" s="43" t="s">
        <v>187</v>
      </c>
      <c r="E895" s="43" t="s">
        <v>47</v>
      </c>
      <c r="F895" s="43" t="s">
        <v>648</v>
      </c>
      <c r="G895" s="348">
        <f>G896</f>
        <v>0</v>
      </c>
      <c r="H895" s="348">
        <f>H896</f>
        <v>0</v>
      </c>
      <c r="I895" s="348">
        <f>I896</f>
        <v>0</v>
      </c>
    </row>
    <row r="896" spans="1:9" hidden="1">
      <c r="A896" s="77" t="s">
        <v>117</v>
      </c>
      <c r="B896" s="58" t="s">
        <v>201</v>
      </c>
      <c r="C896" s="43" t="s">
        <v>187</v>
      </c>
      <c r="D896" s="43" t="s">
        <v>187</v>
      </c>
      <c r="E896" s="43" t="s">
        <v>47</v>
      </c>
      <c r="F896" s="43" t="s">
        <v>156</v>
      </c>
      <c r="G896" s="348"/>
      <c r="H896" s="348"/>
      <c r="I896" s="348"/>
    </row>
    <row r="897" spans="1:10" ht="63" hidden="1">
      <c r="A897" s="77" t="s">
        <v>418</v>
      </c>
      <c r="B897" s="58" t="s">
        <v>201</v>
      </c>
      <c r="C897" s="43" t="s">
        <v>187</v>
      </c>
      <c r="D897" s="43" t="s">
        <v>187</v>
      </c>
      <c r="E897" s="43" t="s">
        <v>417</v>
      </c>
      <c r="F897" s="43" t="s">
        <v>198</v>
      </c>
      <c r="G897" s="348">
        <f t="shared" ref="G897:I898" si="235">G898</f>
        <v>0</v>
      </c>
      <c r="H897" s="348">
        <f t="shared" si="235"/>
        <v>0</v>
      </c>
      <c r="I897" s="348">
        <f t="shared" si="235"/>
        <v>0</v>
      </c>
    </row>
    <row r="898" spans="1:10" ht="47.25" hidden="1">
      <c r="A898" s="77" t="s">
        <v>649</v>
      </c>
      <c r="B898" s="58" t="s">
        <v>201</v>
      </c>
      <c r="C898" s="43" t="s">
        <v>187</v>
      </c>
      <c r="D898" s="43" t="s">
        <v>187</v>
      </c>
      <c r="E898" s="43" t="s">
        <v>417</v>
      </c>
      <c r="F898" s="43" t="s">
        <v>648</v>
      </c>
      <c r="G898" s="348">
        <f t="shared" si="235"/>
        <v>0</v>
      </c>
      <c r="H898" s="348">
        <f t="shared" si="235"/>
        <v>0</v>
      </c>
      <c r="I898" s="348">
        <f t="shared" si="235"/>
        <v>0</v>
      </c>
    </row>
    <row r="899" spans="1:10" hidden="1">
      <c r="A899" s="77" t="s">
        <v>117</v>
      </c>
      <c r="B899" s="58" t="s">
        <v>201</v>
      </c>
      <c r="C899" s="43" t="s">
        <v>187</v>
      </c>
      <c r="D899" s="43" t="s">
        <v>187</v>
      </c>
      <c r="E899" s="43" t="s">
        <v>417</v>
      </c>
      <c r="F899" s="43" t="s">
        <v>156</v>
      </c>
      <c r="G899" s="348"/>
      <c r="H899" s="348"/>
      <c r="I899" s="348"/>
    </row>
    <row r="900" spans="1:10" ht="63">
      <c r="A900" s="77" t="s">
        <v>907</v>
      </c>
      <c r="B900" s="58" t="s">
        <v>201</v>
      </c>
      <c r="C900" s="43" t="s">
        <v>187</v>
      </c>
      <c r="D900" s="43" t="s">
        <v>620</v>
      </c>
      <c r="E900" s="43" t="s">
        <v>904</v>
      </c>
      <c r="F900" s="43" t="s">
        <v>198</v>
      </c>
      <c r="G900" s="348">
        <f t="shared" ref="G900:I901" si="236">G901</f>
        <v>25</v>
      </c>
      <c r="H900" s="348">
        <f t="shared" si="236"/>
        <v>25</v>
      </c>
      <c r="I900" s="348">
        <f t="shared" si="236"/>
        <v>25</v>
      </c>
    </row>
    <row r="901" spans="1:10" ht="31.5">
      <c r="A901" s="77" t="s">
        <v>611</v>
      </c>
      <c r="B901" s="58" t="s">
        <v>201</v>
      </c>
      <c r="C901" s="43" t="s">
        <v>187</v>
      </c>
      <c r="D901" s="43" t="s">
        <v>620</v>
      </c>
      <c r="E901" s="43" t="s">
        <v>904</v>
      </c>
      <c r="F901" s="43" t="s">
        <v>612</v>
      </c>
      <c r="G901" s="348">
        <f t="shared" si="236"/>
        <v>25</v>
      </c>
      <c r="H901" s="348">
        <f t="shared" si="236"/>
        <v>25</v>
      </c>
      <c r="I901" s="348">
        <f t="shared" si="236"/>
        <v>25</v>
      </c>
    </row>
    <row r="902" spans="1:10" ht="47.25">
      <c r="A902" s="77" t="s">
        <v>613</v>
      </c>
      <c r="B902" s="58" t="s">
        <v>201</v>
      </c>
      <c r="C902" s="43" t="s">
        <v>187</v>
      </c>
      <c r="D902" s="43" t="s">
        <v>620</v>
      </c>
      <c r="E902" s="43" t="s">
        <v>904</v>
      </c>
      <c r="F902" s="43" t="s">
        <v>614</v>
      </c>
      <c r="G902" s="348">
        <v>25</v>
      </c>
      <c r="H902" s="348">
        <v>25</v>
      </c>
      <c r="I902" s="348">
        <v>25</v>
      </c>
    </row>
    <row r="903" spans="1:10" ht="18.600000000000001" customHeight="1">
      <c r="A903" s="194" t="s">
        <v>764</v>
      </c>
      <c r="B903" s="195" t="s">
        <v>201</v>
      </c>
      <c r="C903" s="196" t="s">
        <v>187</v>
      </c>
      <c r="D903" s="196" t="s">
        <v>678</v>
      </c>
      <c r="E903" s="196" t="s">
        <v>601</v>
      </c>
      <c r="F903" s="196" t="s">
        <v>198</v>
      </c>
      <c r="G903" s="197">
        <f>G906+G909+G913+G923+G939+G940+G944+G949+G954+G959</f>
        <v>84052.505369999999</v>
      </c>
      <c r="H903" s="197">
        <f t="shared" ref="H903:I903" si="237">H906+H909+H913+H923+H939+H940+H944+H949+H954+H959</f>
        <v>73437.09173</v>
      </c>
      <c r="I903" s="197">
        <f t="shared" si="237"/>
        <v>75188.76344000001</v>
      </c>
      <c r="J903" s="90"/>
    </row>
    <row r="904" spans="1:10" ht="52.5" customHeight="1">
      <c r="A904" s="76" t="s">
        <v>658</v>
      </c>
      <c r="B904" s="61" t="s">
        <v>201</v>
      </c>
      <c r="C904" s="53" t="s">
        <v>187</v>
      </c>
      <c r="D904" s="53" t="s">
        <v>678</v>
      </c>
      <c r="E904" s="53" t="s">
        <v>601</v>
      </c>
      <c r="F904" s="53" t="s">
        <v>198</v>
      </c>
      <c r="G904" s="41">
        <f>G912+G905</f>
        <v>8337.6330100000014</v>
      </c>
      <c r="H904" s="41">
        <f t="shared" ref="H904:I904" si="238">H912+H905</f>
        <v>5812.8</v>
      </c>
      <c r="I904" s="41">
        <f t="shared" si="238"/>
        <v>5812.8</v>
      </c>
    </row>
    <row r="905" spans="1:10" ht="150" customHeight="1">
      <c r="A905" s="154" t="s">
        <v>1095</v>
      </c>
      <c r="B905" s="61" t="s">
        <v>201</v>
      </c>
      <c r="C905" s="53" t="s">
        <v>187</v>
      </c>
      <c r="D905" s="53" t="s">
        <v>678</v>
      </c>
      <c r="E905" s="53" t="s">
        <v>38</v>
      </c>
      <c r="F905" s="53" t="s">
        <v>198</v>
      </c>
      <c r="G905" s="41">
        <f>G906+G909</f>
        <v>4190.5805100000007</v>
      </c>
      <c r="H905" s="41">
        <f>H906+H909</f>
        <v>0</v>
      </c>
      <c r="I905" s="41">
        <f>I906+I909</f>
        <v>0</v>
      </c>
    </row>
    <row r="906" spans="1:10" ht="150.75" customHeight="1">
      <c r="A906" s="77" t="s">
        <v>915</v>
      </c>
      <c r="B906" s="61" t="s">
        <v>201</v>
      </c>
      <c r="C906" s="53" t="s">
        <v>187</v>
      </c>
      <c r="D906" s="53" t="s">
        <v>678</v>
      </c>
      <c r="E906" s="58" t="s">
        <v>1094</v>
      </c>
      <c r="F906" s="53" t="s">
        <v>198</v>
      </c>
      <c r="G906" s="348">
        <f t="shared" ref="G906:I907" si="239">G907</f>
        <v>4148.6747000000005</v>
      </c>
      <c r="H906" s="348">
        <f t="shared" si="239"/>
        <v>0</v>
      </c>
      <c r="I906" s="348">
        <f t="shared" si="239"/>
        <v>0</v>
      </c>
    </row>
    <row r="907" spans="1:10" ht="52.5" customHeight="1">
      <c r="A907" s="77" t="s">
        <v>649</v>
      </c>
      <c r="B907" s="61" t="s">
        <v>201</v>
      </c>
      <c r="C907" s="53" t="s">
        <v>187</v>
      </c>
      <c r="D907" s="53" t="s">
        <v>678</v>
      </c>
      <c r="E907" s="58" t="s">
        <v>1094</v>
      </c>
      <c r="F907" s="53" t="s">
        <v>648</v>
      </c>
      <c r="G907" s="348">
        <f t="shared" si="239"/>
        <v>4148.6747000000005</v>
      </c>
      <c r="H907" s="348">
        <f t="shared" si="239"/>
        <v>0</v>
      </c>
      <c r="I907" s="348">
        <f t="shared" si="239"/>
        <v>0</v>
      </c>
    </row>
    <row r="908" spans="1:10" ht="19.5" customHeight="1">
      <c r="A908" s="77" t="s">
        <v>117</v>
      </c>
      <c r="B908" s="61" t="s">
        <v>201</v>
      </c>
      <c r="C908" s="53" t="s">
        <v>187</v>
      </c>
      <c r="D908" s="53" t="s">
        <v>678</v>
      </c>
      <c r="E908" s="58" t="s">
        <v>1094</v>
      </c>
      <c r="F908" s="53" t="s">
        <v>156</v>
      </c>
      <c r="G908" s="348">
        <f>'5'!D90</f>
        <v>4148.6747000000005</v>
      </c>
      <c r="H908" s="348">
        <f>'5'!E90</f>
        <v>0</v>
      </c>
      <c r="I908" s="348">
        <f>'5'!F90</f>
        <v>0</v>
      </c>
    </row>
    <row r="909" spans="1:10" ht="152.25" customHeight="1">
      <c r="A909" s="170" t="s">
        <v>916</v>
      </c>
      <c r="B909" s="61" t="s">
        <v>201</v>
      </c>
      <c r="C909" s="53" t="s">
        <v>187</v>
      </c>
      <c r="D909" s="53" t="s">
        <v>678</v>
      </c>
      <c r="E909" s="53" t="s">
        <v>1094</v>
      </c>
      <c r="F909" s="53" t="s">
        <v>198</v>
      </c>
      <c r="G909" s="348">
        <f t="shared" ref="G909:I910" si="240">G910</f>
        <v>41.905810000000002</v>
      </c>
      <c r="H909" s="348">
        <f t="shared" si="240"/>
        <v>0</v>
      </c>
      <c r="I909" s="348">
        <f t="shared" si="240"/>
        <v>0</v>
      </c>
    </row>
    <row r="910" spans="1:10" ht="49.5" customHeight="1">
      <c r="A910" s="77" t="s">
        <v>649</v>
      </c>
      <c r="B910" s="61" t="s">
        <v>201</v>
      </c>
      <c r="C910" s="53" t="s">
        <v>187</v>
      </c>
      <c r="D910" s="53" t="s">
        <v>678</v>
      </c>
      <c r="E910" s="53" t="s">
        <v>1094</v>
      </c>
      <c r="F910" s="53" t="s">
        <v>648</v>
      </c>
      <c r="G910" s="348">
        <f t="shared" si="240"/>
        <v>41.905810000000002</v>
      </c>
      <c r="H910" s="348">
        <f t="shared" si="240"/>
        <v>0</v>
      </c>
      <c r="I910" s="348">
        <f t="shared" si="240"/>
        <v>0</v>
      </c>
    </row>
    <row r="911" spans="1:10" ht="21" customHeight="1">
      <c r="A911" s="77" t="s">
        <v>117</v>
      </c>
      <c r="B911" s="61" t="s">
        <v>201</v>
      </c>
      <c r="C911" s="53" t="s">
        <v>187</v>
      </c>
      <c r="D911" s="53" t="s">
        <v>678</v>
      </c>
      <c r="E911" s="53" t="s">
        <v>1094</v>
      </c>
      <c r="F911" s="53" t="s">
        <v>156</v>
      </c>
      <c r="G911" s="348">
        <f>'5'!D91</f>
        <v>41.905810000000002</v>
      </c>
      <c r="H911" s="348">
        <f>'5'!E91</f>
        <v>0</v>
      </c>
      <c r="I911" s="348">
        <f>'5'!F91</f>
        <v>0</v>
      </c>
    </row>
    <row r="912" spans="1:10" ht="31.9" customHeight="1">
      <c r="A912" s="86" t="s">
        <v>224</v>
      </c>
      <c r="B912" s="58" t="s">
        <v>201</v>
      </c>
      <c r="C912" s="43" t="s">
        <v>187</v>
      </c>
      <c r="D912" s="43" t="s">
        <v>678</v>
      </c>
      <c r="E912" s="43" t="s">
        <v>46</v>
      </c>
      <c r="F912" s="43" t="s">
        <v>198</v>
      </c>
      <c r="G912" s="348">
        <f>G913</f>
        <v>4147.0524999999998</v>
      </c>
      <c r="H912" s="348">
        <f t="shared" ref="H912:I912" si="241">H913</f>
        <v>5812.8</v>
      </c>
      <c r="I912" s="348">
        <f t="shared" si="241"/>
        <v>5812.8</v>
      </c>
    </row>
    <row r="913" spans="1:9" ht="63.75" customHeight="1">
      <c r="A913" s="77" t="s">
        <v>361</v>
      </c>
      <c r="B913" s="58" t="s">
        <v>201</v>
      </c>
      <c r="C913" s="43" t="s">
        <v>187</v>
      </c>
      <c r="D913" s="43" t="s">
        <v>678</v>
      </c>
      <c r="E913" s="43" t="s">
        <v>46</v>
      </c>
      <c r="F913" s="43" t="s">
        <v>198</v>
      </c>
      <c r="G913" s="348">
        <f>G914+G916+G918</f>
        <v>4147.0524999999998</v>
      </c>
      <c r="H913" s="348">
        <f>H914+H916+H918</f>
        <v>5812.8</v>
      </c>
      <c r="I913" s="348">
        <f>I914+I916+I918</f>
        <v>5812.8</v>
      </c>
    </row>
    <row r="914" spans="1:9" ht="54.75" customHeight="1">
      <c r="A914" s="77" t="s">
        <v>649</v>
      </c>
      <c r="B914" s="58" t="s">
        <v>201</v>
      </c>
      <c r="C914" s="43" t="s">
        <v>187</v>
      </c>
      <c r="D914" s="43" t="s">
        <v>678</v>
      </c>
      <c r="E914" s="43" t="s">
        <v>47</v>
      </c>
      <c r="F914" s="43" t="s">
        <v>648</v>
      </c>
      <c r="G914" s="348">
        <f>G915</f>
        <v>4147.0524999999998</v>
      </c>
      <c r="H914" s="348">
        <f>H915</f>
        <v>5812.8</v>
      </c>
      <c r="I914" s="348">
        <f>I915</f>
        <v>5812.8</v>
      </c>
    </row>
    <row r="915" spans="1:9" ht="18.600000000000001" customHeight="1">
      <c r="A915" s="77" t="s">
        <v>117</v>
      </c>
      <c r="B915" s="58" t="s">
        <v>201</v>
      </c>
      <c r="C915" s="43" t="s">
        <v>187</v>
      </c>
      <c r="D915" s="43" t="s">
        <v>678</v>
      </c>
      <c r="E915" s="43" t="s">
        <v>47</v>
      </c>
      <c r="F915" s="43" t="s">
        <v>156</v>
      </c>
      <c r="G915" s="348">
        <f>'3'!F632</f>
        <v>4147.0524999999998</v>
      </c>
      <c r="H915" s="348">
        <f>'3'!G632</f>
        <v>5812.8</v>
      </c>
      <c r="I915" s="348">
        <f>'3'!H632</f>
        <v>5812.8</v>
      </c>
    </row>
    <row r="916" spans="1:9" ht="47.25" hidden="1" customHeight="1">
      <c r="A916" s="77" t="s">
        <v>649</v>
      </c>
      <c r="B916" s="58" t="s">
        <v>201</v>
      </c>
      <c r="C916" s="43" t="s">
        <v>187</v>
      </c>
      <c r="D916" s="43" t="s">
        <v>678</v>
      </c>
      <c r="E916" s="43" t="s">
        <v>47</v>
      </c>
      <c r="F916" s="43" t="s">
        <v>648</v>
      </c>
      <c r="G916" s="348">
        <f>G917</f>
        <v>0</v>
      </c>
      <c r="H916" s="348">
        <f>H917</f>
        <v>0</v>
      </c>
      <c r="I916" s="348">
        <f>I917</f>
        <v>0</v>
      </c>
    </row>
    <row r="917" spans="1:9" ht="15.75" hidden="1" customHeight="1">
      <c r="A917" s="77" t="s">
        <v>117</v>
      </c>
      <c r="B917" s="58" t="s">
        <v>201</v>
      </c>
      <c r="C917" s="43" t="s">
        <v>187</v>
      </c>
      <c r="D917" s="43" t="s">
        <v>678</v>
      </c>
      <c r="E917" s="43" t="s">
        <v>47</v>
      </c>
      <c r="F917" s="43" t="s">
        <v>156</v>
      </c>
      <c r="G917" s="348"/>
      <c r="H917" s="348"/>
      <c r="I917" s="348"/>
    </row>
    <row r="918" spans="1:9" ht="63" hidden="1" customHeight="1">
      <c r="A918" s="77" t="s">
        <v>418</v>
      </c>
      <c r="B918" s="58" t="s">
        <v>201</v>
      </c>
      <c r="C918" s="43" t="s">
        <v>187</v>
      </c>
      <c r="D918" s="43" t="s">
        <v>678</v>
      </c>
      <c r="E918" s="43" t="s">
        <v>417</v>
      </c>
      <c r="F918" s="43" t="s">
        <v>198</v>
      </c>
      <c r="G918" s="348">
        <f t="shared" ref="G918:I919" si="242">G919</f>
        <v>0</v>
      </c>
      <c r="H918" s="348">
        <f t="shared" si="242"/>
        <v>0</v>
      </c>
      <c r="I918" s="348">
        <f t="shared" si="242"/>
        <v>0</v>
      </c>
    </row>
    <row r="919" spans="1:9" ht="47.25" hidden="1" customHeight="1">
      <c r="A919" s="77" t="s">
        <v>649</v>
      </c>
      <c r="B919" s="58" t="s">
        <v>201</v>
      </c>
      <c r="C919" s="43" t="s">
        <v>187</v>
      </c>
      <c r="D919" s="43" t="s">
        <v>678</v>
      </c>
      <c r="E919" s="43" t="s">
        <v>417</v>
      </c>
      <c r="F919" s="43" t="s">
        <v>648</v>
      </c>
      <c r="G919" s="348">
        <f t="shared" si="242"/>
        <v>0</v>
      </c>
      <c r="H919" s="348">
        <f t="shared" si="242"/>
        <v>0</v>
      </c>
      <c r="I919" s="348">
        <f t="shared" si="242"/>
        <v>0</v>
      </c>
    </row>
    <row r="920" spans="1:9" ht="15.75" hidden="1" customHeight="1">
      <c r="A920" s="77" t="s">
        <v>117</v>
      </c>
      <c r="B920" s="58" t="s">
        <v>201</v>
      </c>
      <c r="C920" s="43" t="s">
        <v>187</v>
      </c>
      <c r="D920" s="43" t="s">
        <v>678</v>
      </c>
      <c r="E920" s="43" t="s">
        <v>417</v>
      </c>
      <c r="F920" s="43" t="s">
        <v>156</v>
      </c>
      <c r="G920" s="348"/>
      <c r="H920" s="348"/>
      <c r="I920" s="348"/>
    </row>
    <row r="921" spans="1:9" ht="50.25" customHeight="1">
      <c r="A921" s="76" t="s">
        <v>658</v>
      </c>
      <c r="B921" s="61" t="s">
        <v>201</v>
      </c>
      <c r="C921" s="53" t="s">
        <v>187</v>
      </c>
      <c r="D921" s="53" t="s">
        <v>678</v>
      </c>
      <c r="E921" s="53" t="s">
        <v>18</v>
      </c>
      <c r="F921" s="53" t="s">
        <v>198</v>
      </c>
      <c r="G921" s="41">
        <f>G922</f>
        <v>70679.872359999994</v>
      </c>
      <c r="H921" s="41">
        <f>H922</f>
        <v>64964.291729999997</v>
      </c>
      <c r="I921" s="41">
        <f>I922</f>
        <v>67949.963440000007</v>
      </c>
    </row>
    <row r="922" spans="1:9" ht="41.25" customHeight="1">
      <c r="A922" s="86" t="s">
        <v>765</v>
      </c>
      <c r="B922" s="58" t="s">
        <v>201</v>
      </c>
      <c r="C922" s="43" t="s">
        <v>187</v>
      </c>
      <c r="D922" s="43" t="s">
        <v>678</v>
      </c>
      <c r="E922" s="43" t="s">
        <v>49</v>
      </c>
      <c r="F922" s="43" t="s">
        <v>198</v>
      </c>
      <c r="G922" s="348">
        <f>'5'!D98</f>
        <v>70679.872359999994</v>
      </c>
      <c r="H922" s="348">
        <f>H923+H931</f>
        <v>64964.291729999997</v>
      </c>
      <c r="I922" s="348">
        <f>I923+I931</f>
        <v>67949.963440000007</v>
      </c>
    </row>
    <row r="923" spans="1:9" ht="75" customHeight="1">
      <c r="A923" s="77" t="s">
        <v>880</v>
      </c>
      <c r="B923" s="58" t="s">
        <v>201</v>
      </c>
      <c r="C923" s="43" t="s">
        <v>187</v>
      </c>
      <c r="D923" s="43" t="s">
        <v>678</v>
      </c>
      <c r="E923" s="43" t="s">
        <v>49</v>
      </c>
      <c r="F923" s="43" t="s">
        <v>198</v>
      </c>
      <c r="G923" s="348">
        <f>G924+G926+G928</f>
        <v>70679.872359999994</v>
      </c>
      <c r="H923" s="348">
        <f>H924+H926+H928</f>
        <v>64964.291729999997</v>
      </c>
      <c r="I923" s="348">
        <f>I924+I926+I928</f>
        <v>67949.963440000007</v>
      </c>
    </row>
    <row r="924" spans="1:9" ht="105.75" customHeight="1">
      <c r="A924" s="77" t="s">
        <v>605</v>
      </c>
      <c r="B924" s="58" t="s">
        <v>201</v>
      </c>
      <c r="C924" s="43" t="s">
        <v>187</v>
      </c>
      <c r="D924" s="43" t="s">
        <v>678</v>
      </c>
      <c r="E924" s="43" t="s">
        <v>49</v>
      </c>
      <c r="F924" s="43" t="s">
        <v>606</v>
      </c>
      <c r="G924" s="348">
        <f>G925</f>
        <v>59656.902359999993</v>
      </c>
      <c r="H924" s="348">
        <f>H925</f>
        <v>55078.822029999996</v>
      </c>
      <c r="I924" s="348">
        <f>I925</f>
        <v>56053.329040000004</v>
      </c>
    </row>
    <row r="925" spans="1:9" ht="33" customHeight="1">
      <c r="A925" s="77" t="s">
        <v>767</v>
      </c>
      <c r="B925" s="58" t="s">
        <v>201</v>
      </c>
      <c r="C925" s="43" t="s">
        <v>187</v>
      </c>
      <c r="D925" s="43" t="s">
        <v>678</v>
      </c>
      <c r="E925" s="43" t="s">
        <v>49</v>
      </c>
      <c r="F925" s="43" t="s">
        <v>768</v>
      </c>
      <c r="G925" s="348">
        <f>'5'!D98-G926-G930</f>
        <v>59656.902359999993</v>
      </c>
      <c r="H925" s="348">
        <f>'5'!E98-H926-H930</f>
        <v>55078.822029999996</v>
      </c>
      <c r="I925" s="348">
        <f>'5'!F98-I926-I930</f>
        <v>56053.329040000004</v>
      </c>
    </row>
    <row r="926" spans="1:9" ht="33" customHeight="1">
      <c r="A926" s="77" t="s">
        <v>611</v>
      </c>
      <c r="B926" s="58" t="s">
        <v>201</v>
      </c>
      <c r="C926" s="43" t="s">
        <v>187</v>
      </c>
      <c r="D926" s="43" t="s">
        <v>678</v>
      </c>
      <c r="E926" s="43" t="s">
        <v>49</v>
      </c>
      <c r="F926" s="43" t="s">
        <v>612</v>
      </c>
      <c r="G926" s="348">
        <f>G927</f>
        <v>10992.97</v>
      </c>
      <c r="H926" s="348">
        <f>H927</f>
        <v>9855.4696999999996</v>
      </c>
      <c r="I926" s="348">
        <f>I927</f>
        <v>11866.634400000001</v>
      </c>
    </row>
    <row r="927" spans="1:9" ht="51" customHeight="1">
      <c r="A927" s="77" t="s">
        <v>613</v>
      </c>
      <c r="B927" s="58" t="s">
        <v>201</v>
      </c>
      <c r="C927" s="43" t="s">
        <v>187</v>
      </c>
      <c r="D927" s="43" t="s">
        <v>678</v>
      </c>
      <c r="E927" s="43" t="s">
        <v>49</v>
      </c>
      <c r="F927" s="43" t="s">
        <v>614</v>
      </c>
      <c r="G927" s="348">
        <f>'3'!F638</f>
        <v>10992.97</v>
      </c>
      <c r="H927" s="348">
        <f>'3'!G638</f>
        <v>9855.4696999999996</v>
      </c>
      <c r="I927" s="348">
        <f>'3'!H638</f>
        <v>11866.634400000001</v>
      </c>
    </row>
    <row r="928" spans="1:9" ht="20.25" customHeight="1">
      <c r="A928" s="77" t="s">
        <v>615</v>
      </c>
      <c r="B928" s="58" t="s">
        <v>201</v>
      </c>
      <c r="C928" s="43" t="s">
        <v>187</v>
      </c>
      <c r="D928" s="43" t="s">
        <v>678</v>
      </c>
      <c r="E928" s="43" t="s">
        <v>49</v>
      </c>
      <c r="F928" s="43" t="s">
        <v>616</v>
      </c>
      <c r="G928" s="348">
        <f>G929+G930</f>
        <v>30</v>
      </c>
      <c r="H928" s="348">
        <f>H929+H930</f>
        <v>30</v>
      </c>
      <c r="I928" s="348">
        <f>I929+I930</f>
        <v>30</v>
      </c>
    </row>
    <row r="929" spans="1:9" ht="15.75" hidden="1" customHeight="1">
      <c r="A929" s="77" t="s">
        <v>654</v>
      </c>
      <c r="B929" s="58" t="s">
        <v>201</v>
      </c>
      <c r="C929" s="43" t="s">
        <v>187</v>
      </c>
      <c r="D929" s="43" t="s">
        <v>678</v>
      </c>
      <c r="E929" s="43" t="s">
        <v>49</v>
      </c>
      <c r="F929" s="43" t="s">
        <v>655</v>
      </c>
      <c r="G929" s="348">
        <v>0</v>
      </c>
      <c r="H929" s="348">
        <v>0</v>
      </c>
      <c r="I929" s="348">
        <v>0</v>
      </c>
    </row>
    <row r="930" spans="1:9" ht="20.25" customHeight="1">
      <c r="A930" s="77" t="s">
        <v>617</v>
      </c>
      <c r="B930" s="58" t="s">
        <v>201</v>
      </c>
      <c r="C930" s="43" t="s">
        <v>187</v>
      </c>
      <c r="D930" s="43" t="s">
        <v>678</v>
      </c>
      <c r="E930" s="43" t="s">
        <v>49</v>
      </c>
      <c r="F930" s="43" t="s">
        <v>618</v>
      </c>
      <c r="G930" s="348">
        <f>'3'!F641</f>
        <v>30</v>
      </c>
      <c r="H930" s="348">
        <f>'3'!G641</f>
        <v>30</v>
      </c>
      <c r="I930" s="348">
        <f>'3'!H641</f>
        <v>30</v>
      </c>
    </row>
    <row r="931" spans="1:9" ht="63" hidden="1" customHeight="1">
      <c r="A931" s="86" t="s">
        <v>538</v>
      </c>
      <c r="B931" s="58" t="s">
        <v>201</v>
      </c>
      <c r="C931" s="43" t="s">
        <v>187</v>
      </c>
      <c r="D931" s="43" t="s">
        <v>678</v>
      </c>
      <c r="E931" s="43" t="s">
        <v>49</v>
      </c>
      <c r="F931" s="43" t="s">
        <v>198</v>
      </c>
      <c r="G931" s="348">
        <f>G932+G934</f>
        <v>0</v>
      </c>
      <c r="H931" s="348">
        <f>H932+H934</f>
        <v>0</v>
      </c>
      <c r="I931" s="348">
        <f>I932+I934</f>
        <v>0</v>
      </c>
    </row>
    <row r="932" spans="1:9" ht="94.5" hidden="1" customHeight="1">
      <c r="A932" s="77" t="s">
        <v>605</v>
      </c>
      <c r="B932" s="58" t="s">
        <v>201</v>
      </c>
      <c r="C932" s="43" t="s">
        <v>187</v>
      </c>
      <c r="D932" s="43" t="s">
        <v>678</v>
      </c>
      <c r="E932" s="43" t="s">
        <v>49</v>
      </c>
      <c r="F932" s="43" t="s">
        <v>606</v>
      </c>
      <c r="G932" s="348">
        <f>G933</f>
        <v>0</v>
      </c>
      <c r="H932" s="348">
        <f>H933</f>
        <v>0</v>
      </c>
      <c r="I932" s="348">
        <f>I933</f>
        <v>0</v>
      </c>
    </row>
    <row r="933" spans="1:9" ht="31.5" hidden="1" customHeight="1">
      <c r="A933" s="77" t="s">
        <v>767</v>
      </c>
      <c r="B933" s="58" t="s">
        <v>201</v>
      </c>
      <c r="C933" s="43" t="s">
        <v>187</v>
      </c>
      <c r="D933" s="43" t="s">
        <v>678</v>
      </c>
      <c r="E933" s="43" t="s">
        <v>49</v>
      </c>
      <c r="F933" s="43" t="s">
        <v>768</v>
      </c>
      <c r="G933" s="348">
        <f>'5'!D99</f>
        <v>0</v>
      </c>
      <c r="H933" s="348">
        <f>'5'!E99</f>
        <v>0</v>
      </c>
      <c r="I933" s="348">
        <f>'5'!F99</f>
        <v>0</v>
      </c>
    </row>
    <row r="934" spans="1:9" ht="31.5" hidden="1">
      <c r="A934" s="74" t="s">
        <v>611</v>
      </c>
      <c r="B934" s="58" t="s">
        <v>201</v>
      </c>
      <c r="C934" s="43" t="s">
        <v>187</v>
      </c>
      <c r="D934" s="43" t="s">
        <v>678</v>
      </c>
      <c r="E934" s="37" t="s">
        <v>49</v>
      </c>
      <c r="F934" s="37" t="s">
        <v>612</v>
      </c>
      <c r="G934" s="348">
        <f>G935</f>
        <v>0</v>
      </c>
      <c r="H934" s="348">
        <f>H935</f>
        <v>0</v>
      </c>
      <c r="I934" s="348">
        <f>I935</f>
        <v>0</v>
      </c>
    </row>
    <row r="935" spans="1:9" ht="47.25" hidden="1">
      <c r="A935" s="74" t="s">
        <v>613</v>
      </c>
      <c r="B935" s="58" t="s">
        <v>201</v>
      </c>
      <c r="C935" s="43" t="s">
        <v>187</v>
      </c>
      <c r="D935" s="43" t="s">
        <v>678</v>
      </c>
      <c r="E935" s="37" t="s">
        <v>49</v>
      </c>
      <c r="F935" s="37" t="s">
        <v>614</v>
      </c>
      <c r="G935" s="348">
        <v>0</v>
      </c>
      <c r="H935" s="348">
        <v>0</v>
      </c>
      <c r="I935" s="348">
        <v>0</v>
      </c>
    </row>
    <row r="936" spans="1:9" ht="63" hidden="1">
      <c r="A936" s="75" t="s">
        <v>988</v>
      </c>
      <c r="B936" s="58" t="s">
        <v>201</v>
      </c>
      <c r="C936" s="43" t="s">
        <v>187</v>
      </c>
      <c r="D936" s="43" t="s">
        <v>678</v>
      </c>
      <c r="E936" s="2" t="s">
        <v>50</v>
      </c>
      <c r="F936" s="2" t="s">
        <v>198</v>
      </c>
      <c r="G936" s="41">
        <f>G937+G945</f>
        <v>2295</v>
      </c>
      <c r="H936" s="41">
        <f>H937+H945</f>
        <v>1378</v>
      </c>
      <c r="I936" s="41">
        <f>I937+I945</f>
        <v>1418</v>
      </c>
    </row>
    <row r="937" spans="1:9" hidden="1">
      <c r="A937" s="74" t="s">
        <v>191</v>
      </c>
      <c r="B937" s="58" t="s">
        <v>201</v>
      </c>
      <c r="C937" s="43" t="s">
        <v>187</v>
      </c>
      <c r="D937" s="43" t="s">
        <v>678</v>
      </c>
      <c r="E937" s="37" t="s">
        <v>769</v>
      </c>
      <c r="F937" s="37" t="s">
        <v>198</v>
      </c>
      <c r="G937" s="348">
        <f>G940+G944</f>
        <v>1450</v>
      </c>
      <c r="H937" s="348">
        <f>H940+H944</f>
        <v>1078</v>
      </c>
      <c r="I937" s="348">
        <f>I940+I944</f>
        <v>1108</v>
      </c>
    </row>
    <row r="938" spans="1:9" ht="66.75" customHeight="1">
      <c r="A938" s="76" t="s">
        <v>511</v>
      </c>
      <c r="B938" s="58" t="s">
        <v>201</v>
      </c>
      <c r="C938" s="43" t="s">
        <v>187</v>
      </c>
      <c r="D938" s="43" t="s">
        <v>678</v>
      </c>
      <c r="E938" s="53" t="s">
        <v>50</v>
      </c>
      <c r="F938" s="53" t="s">
        <v>198</v>
      </c>
      <c r="G938" s="41">
        <f>G939+G940+G944</f>
        <v>2050</v>
      </c>
      <c r="H938" s="41">
        <f>H939+H940+H944</f>
        <v>1078</v>
      </c>
      <c r="I938" s="41">
        <f>I939+I940+I944</f>
        <v>1108</v>
      </c>
    </row>
    <row r="939" spans="1:9" ht="132.75" customHeight="1">
      <c r="A939" s="77" t="s">
        <v>994</v>
      </c>
      <c r="B939" s="58" t="s">
        <v>201</v>
      </c>
      <c r="C939" s="53" t="s">
        <v>187</v>
      </c>
      <c r="D939" s="53" t="s">
        <v>678</v>
      </c>
      <c r="E939" s="58" t="s">
        <v>995</v>
      </c>
      <c r="F939" s="43" t="s">
        <v>606</v>
      </c>
      <c r="G939" s="348">
        <v>600</v>
      </c>
      <c r="H939" s="348">
        <v>0</v>
      </c>
      <c r="I939" s="348">
        <v>0</v>
      </c>
    </row>
    <row r="940" spans="1:9" ht="31.5">
      <c r="A940" s="77" t="s">
        <v>734</v>
      </c>
      <c r="B940" s="58" t="s">
        <v>201</v>
      </c>
      <c r="C940" s="43" t="s">
        <v>187</v>
      </c>
      <c r="D940" s="43" t="s">
        <v>678</v>
      </c>
      <c r="E940" s="43" t="s">
        <v>769</v>
      </c>
      <c r="F940" s="43" t="s">
        <v>198</v>
      </c>
      <c r="G940" s="348">
        <f>G941+G942</f>
        <v>605</v>
      </c>
      <c r="H940" s="348">
        <f t="shared" ref="H940:I940" si="243">H941+H942</f>
        <v>778</v>
      </c>
      <c r="I940" s="348">
        <f t="shared" si="243"/>
        <v>798</v>
      </c>
    </row>
    <row r="941" spans="1:9">
      <c r="A941" s="77" t="s">
        <v>952</v>
      </c>
      <c r="B941" s="58" t="s">
        <v>201</v>
      </c>
      <c r="C941" s="43" t="s">
        <v>187</v>
      </c>
      <c r="D941" s="43" t="s">
        <v>678</v>
      </c>
      <c r="E941" s="43" t="s">
        <v>51</v>
      </c>
      <c r="F941" s="43" t="s">
        <v>768</v>
      </c>
      <c r="G941" s="348">
        <v>602</v>
      </c>
      <c r="H941" s="348">
        <f>'3'!G658</f>
        <v>778</v>
      </c>
      <c r="I941" s="348">
        <f>'3'!H658</f>
        <v>798</v>
      </c>
    </row>
    <row r="942" spans="1:9" ht="31.5">
      <c r="A942" s="77" t="s">
        <v>611</v>
      </c>
      <c r="B942" s="58" t="s">
        <v>201</v>
      </c>
      <c r="C942" s="43" t="s">
        <v>187</v>
      </c>
      <c r="D942" s="43" t="s">
        <v>678</v>
      </c>
      <c r="E942" s="43" t="s">
        <v>51</v>
      </c>
      <c r="F942" s="43" t="s">
        <v>612</v>
      </c>
      <c r="G942" s="348">
        <f>G943</f>
        <v>3</v>
      </c>
      <c r="H942" s="348">
        <f t="shared" ref="H942:I942" si="244">H943</f>
        <v>0</v>
      </c>
      <c r="I942" s="348">
        <f t="shared" si="244"/>
        <v>0</v>
      </c>
    </row>
    <row r="943" spans="1:9" ht="50.25" customHeight="1">
      <c r="A943" s="77" t="s">
        <v>613</v>
      </c>
      <c r="B943" s="58" t="s">
        <v>201</v>
      </c>
      <c r="C943" s="43" t="s">
        <v>187</v>
      </c>
      <c r="D943" s="43" t="s">
        <v>678</v>
      </c>
      <c r="E943" s="43" t="s">
        <v>51</v>
      </c>
      <c r="F943" s="43" t="s">
        <v>614</v>
      </c>
      <c r="G943" s="348">
        <v>3</v>
      </c>
      <c r="H943" s="348">
        <v>0</v>
      </c>
      <c r="I943" s="348">
        <v>0</v>
      </c>
    </row>
    <row r="944" spans="1:9">
      <c r="A944" s="77" t="s">
        <v>952</v>
      </c>
      <c r="B944" s="58" t="s">
        <v>201</v>
      </c>
      <c r="C944" s="43" t="s">
        <v>187</v>
      </c>
      <c r="D944" s="43" t="s">
        <v>678</v>
      </c>
      <c r="E944" s="43" t="s">
        <v>52</v>
      </c>
      <c r="F944" s="43" t="s">
        <v>198</v>
      </c>
      <c r="G944" s="348">
        <f>G945</f>
        <v>845</v>
      </c>
      <c r="H944" s="348">
        <f t="shared" ref="H944:I944" si="245">H945</f>
        <v>300</v>
      </c>
      <c r="I944" s="348">
        <f t="shared" si="245"/>
        <v>310</v>
      </c>
    </row>
    <row r="945" spans="1:9" ht="50.25" customHeight="1">
      <c r="A945" s="77" t="s">
        <v>649</v>
      </c>
      <c r="B945" s="58" t="s">
        <v>201</v>
      </c>
      <c r="C945" s="43" t="s">
        <v>187</v>
      </c>
      <c r="D945" s="43" t="s">
        <v>678</v>
      </c>
      <c r="E945" s="43" t="s">
        <v>52</v>
      </c>
      <c r="F945" s="43" t="s">
        <v>648</v>
      </c>
      <c r="G945" s="348">
        <f>G946</f>
        <v>845</v>
      </c>
      <c r="H945" s="348">
        <f>H946</f>
        <v>300</v>
      </c>
      <c r="I945" s="348">
        <f>I946</f>
        <v>310</v>
      </c>
    </row>
    <row r="946" spans="1:9" ht="36.75" customHeight="1">
      <c r="A946" s="77" t="s">
        <v>734</v>
      </c>
      <c r="B946" s="58" t="s">
        <v>201</v>
      </c>
      <c r="C946" s="43" t="s">
        <v>187</v>
      </c>
      <c r="D946" s="43" t="s">
        <v>678</v>
      </c>
      <c r="E946" s="43" t="s">
        <v>52</v>
      </c>
      <c r="F946" s="43" t="s">
        <v>156</v>
      </c>
      <c r="G946" s="348">
        <v>845</v>
      </c>
      <c r="H946" s="348">
        <f>'3'!G661</f>
        <v>300</v>
      </c>
      <c r="I946" s="348">
        <f>'3'!H661</f>
        <v>310</v>
      </c>
    </row>
    <row r="947" spans="1:9" ht="80.25" customHeight="1">
      <c r="A947" s="76" t="s">
        <v>544</v>
      </c>
      <c r="B947" s="61" t="s">
        <v>201</v>
      </c>
      <c r="C947" s="53" t="s">
        <v>187</v>
      </c>
      <c r="D947" s="53" t="s">
        <v>678</v>
      </c>
      <c r="E947" s="53" t="s">
        <v>22</v>
      </c>
      <c r="F947" s="53" t="s">
        <v>198</v>
      </c>
      <c r="G947" s="41">
        <f>G948</f>
        <v>2435</v>
      </c>
      <c r="H947" s="41">
        <f t="shared" ref="H947:I949" si="246">H948</f>
        <v>1032</v>
      </c>
      <c r="I947" s="41">
        <f t="shared" si="246"/>
        <v>318</v>
      </c>
    </row>
    <row r="948" spans="1:9" ht="17.25" customHeight="1">
      <c r="A948" s="77" t="s">
        <v>191</v>
      </c>
      <c r="B948" s="58" t="s">
        <v>201</v>
      </c>
      <c r="C948" s="43" t="s">
        <v>187</v>
      </c>
      <c r="D948" s="43" t="s">
        <v>678</v>
      </c>
      <c r="E948" s="43" t="s">
        <v>666</v>
      </c>
      <c r="F948" s="43" t="s">
        <v>198</v>
      </c>
      <c r="G948" s="348">
        <f>G949+G954</f>
        <v>2435</v>
      </c>
      <c r="H948" s="348">
        <f>H949+H954</f>
        <v>1032</v>
      </c>
      <c r="I948" s="348">
        <f>I949+I954</f>
        <v>318</v>
      </c>
    </row>
    <row r="949" spans="1:9" ht="31.5">
      <c r="A949" s="77" t="s">
        <v>611</v>
      </c>
      <c r="B949" s="58" t="s">
        <v>201</v>
      </c>
      <c r="C949" s="43" t="s">
        <v>187</v>
      </c>
      <c r="D949" s="43" t="s">
        <v>678</v>
      </c>
      <c r="E949" s="43" t="s">
        <v>53</v>
      </c>
      <c r="F949" s="43" t="s">
        <v>612</v>
      </c>
      <c r="G949" s="348">
        <f>G950</f>
        <v>4</v>
      </c>
      <c r="H949" s="348">
        <f t="shared" si="246"/>
        <v>4</v>
      </c>
      <c r="I949" s="348">
        <f t="shared" si="246"/>
        <v>10</v>
      </c>
    </row>
    <row r="950" spans="1:9" ht="47.25">
      <c r="A950" s="77" t="s">
        <v>613</v>
      </c>
      <c r="B950" s="58" t="s">
        <v>201</v>
      </c>
      <c r="C950" s="43" t="s">
        <v>187</v>
      </c>
      <c r="D950" s="43" t="s">
        <v>678</v>
      </c>
      <c r="E950" s="43" t="s">
        <v>53</v>
      </c>
      <c r="F950" s="43" t="s">
        <v>614</v>
      </c>
      <c r="G950" s="348">
        <f>'5'!D123</f>
        <v>4</v>
      </c>
      <c r="H950" s="348">
        <f>'5'!E123</f>
        <v>4</v>
      </c>
      <c r="I950" s="348">
        <f>'5'!F123</f>
        <v>10</v>
      </c>
    </row>
    <row r="951" spans="1:9" ht="15.75" hidden="1" customHeight="1">
      <c r="A951" s="76"/>
      <c r="B951" s="58"/>
      <c r="C951" s="43"/>
      <c r="D951" s="43"/>
      <c r="E951" s="43"/>
      <c r="F951" s="53"/>
      <c r="G951" s="41"/>
      <c r="H951" s="41"/>
      <c r="I951" s="41"/>
    </row>
    <row r="952" spans="1:9" hidden="1">
      <c r="A952" s="77"/>
      <c r="B952" s="58"/>
      <c r="C952" s="43"/>
      <c r="D952" s="43"/>
      <c r="E952" s="43"/>
      <c r="F952" s="43"/>
      <c r="G952" s="348"/>
      <c r="H952" s="348"/>
      <c r="I952" s="348"/>
    </row>
    <row r="953" spans="1:9" hidden="1">
      <c r="A953" s="77"/>
      <c r="B953" s="58"/>
      <c r="C953" s="43"/>
      <c r="D953" s="43"/>
      <c r="E953" s="43"/>
      <c r="F953" s="43"/>
      <c r="G953" s="348"/>
      <c r="H953" s="348"/>
      <c r="I953" s="348"/>
    </row>
    <row r="954" spans="1:9" ht="47.25">
      <c r="A954" s="77" t="s">
        <v>649</v>
      </c>
      <c r="B954" s="58" t="s">
        <v>201</v>
      </c>
      <c r="C954" s="43" t="s">
        <v>187</v>
      </c>
      <c r="D954" s="43" t="s">
        <v>678</v>
      </c>
      <c r="E954" s="43" t="s">
        <v>53</v>
      </c>
      <c r="F954" s="43" t="s">
        <v>648</v>
      </c>
      <c r="G954" s="348">
        <f>G955</f>
        <v>2431</v>
      </c>
      <c r="H954" s="348">
        <f>H955</f>
        <v>1028</v>
      </c>
      <c r="I954" s="348">
        <f>I955</f>
        <v>308</v>
      </c>
    </row>
    <row r="955" spans="1:9" ht="20.25" customHeight="1">
      <c r="A955" s="77" t="s">
        <v>117</v>
      </c>
      <c r="B955" s="58" t="s">
        <v>201</v>
      </c>
      <c r="C955" s="43" t="s">
        <v>187</v>
      </c>
      <c r="D955" s="43" t="s">
        <v>678</v>
      </c>
      <c r="E955" s="43" t="s">
        <v>53</v>
      </c>
      <c r="F955" s="43" t="s">
        <v>156</v>
      </c>
      <c r="G955" s="348">
        <f>'5'!D124</f>
        <v>2431</v>
      </c>
      <c r="H955" s="348">
        <f>'5'!E124</f>
        <v>1028</v>
      </c>
      <c r="I955" s="348">
        <f>'5'!F124</f>
        <v>308</v>
      </c>
    </row>
    <row r="956" spans="1:9" ht="99.75" customHeight="1">
      <c r="A956" s="76" t="s">
        <v>709</v>
      </c>
      <c r="B956" s="61" t="s">
        <v>201</v>
      </c>
      <c r="C956" s="53" t="s">
        <v>187</v>
      </c>
      <c r="D956" s="53" t="s">
        <v>678</v>
      </c>
      <c r="E956" s="53" t="s">
        <v>601</v>
      </c>
      <c r="F956" s="53" t="s">
        <v>198</v>
      </c>
      <c r="G956" s="41">
        <f>G957+G959</f>
        <v>550</v>
      </c>
      <c r="H956" s="41">
        <f>H957+H959</f>
        <v>550</v>
      </c>
      <c r="I956" s="41">
        <f>I957+I959</f>
        <v>0</v>
      </c>
    </row>
    <row r="957" spans="1:9" ht="31.5" hidden="1" customHeight="1">
      <c r="A957" s="77" t="s">
        <v>611</v>
      </c>
      <c r="B957" s="58" t="s">
        <v>201</v>
      </c>
      <c r="C957" s="43" t="s">
        <v>187</v>
      </c>
      <c r="D957" s="43" t="s">
        <v>678</v>
      </c>
      <c r="E957" s="43" t="s">
        <v>416</v>
      </c>
      <c r="F957" s="43" t="s">
        <v>612</v>
      </c>
      <c r="G957" s="348">
        <f>G958</f>
        <v>0</v>
      </c>
      <c r="H957" s="348">
        <f>H958</f>
        <v>0</v>
      </c>
      <c r="I957" s="348">
        <f>I958</f>
        <v>0</v>
      </c>
    </row>
    <row r="958" spans="1:9" ht="47.25" hidden="1" customHeight="1">
      <c r="A958" s="77" t="s">
        <v>613</v>
      </c>
      <c r="B958" s="58" t="s">
        <v>201</v>
      </c>
      <c r="C958" s="43" t="s">
        <v>187</v>
      </c>
      <c r="D958" s="43" t="s">
        <v>678</v>
      </c>
      <c r="E958" s="43" t="s">
        <v>416</v>
      </c>
      <c r="F958" s="43" t="s">
        <v>614</v>
      </c>
      <c r="G958" s="348">
        <f>'5'!D222</f>
        <v>0</v>
      </c>
      <c r="H958" s="348">
        <f>'5'!E222</f>
        <v>0</v>
      </c>
      <c r="I958" s="348">
        <f>'5'!F222</f>
        <v>0</v>
      </c>
    </row>
    <row r="959" spans="1:9" ht="52.5" customHeight="1">
      <c r="A959" s="77" t="s">
        <v>649</v>
      </c>
      <c r="B959" s="58" t="s">
        <v>201</v>
      </c>
      <c r="C959" s="43" t="s">
        <v>187</v>
      </c>
      <c r="D959" s="43" t="s">
        <v>678</v>
      </c>
      <c r="E959" s="43" t="s">
        <v>260</v>
      </c>
      <c r="F959" s="43" t="s">
        <v>648</v>
      </c>
      <c r="G959" s="348">
        <f>G960</f>
        <v>550</v>
      </c>
      <c r="H959" s="348">
        <f>H960</f>
        <v>550</v>
      </c>
      <c r="I959" s="348">
        <f>I960</f>
        <v>0</v>
      </c>
    </row>
    <row r="960" spans="1:9" ht="33" customHeight="1">
      <c r="A960" s="77" t="s">
        <v>734</v>
      </c>
      <c r="B960" s="58" t="s">
        <v>201</v>
      </c>
      <c r="C960" s="43" t="s">
        <v>187</v>
      </c>
      <c r="D960" s="43" t="s">
        <v>678</v>
      </c>
      <c r="E960" s="43" t="s">
        <v>260</v>
      </c>
      <c r="F960" s="43" t="s">
        <v>156</v>
      </c>
      <c r="G960" s="348">
        <f>'5'!D219</f>
        <v>550</v>
      </c>
      <c r="H960" s="348">
        <f>'5'!E219</f>
        <v>550</v>
      </c>
      <c r="I960" s="348">
        <f>'5'!F219</f>
        <v>0</v>
      </c>
    </row>
    <row r="961" spans="1:9" ht="47.25" hidden="1" customHeight="1">
      <c r="A961" s="77" t="s">
        <v>604</v>
      </c>
      <c r="B961" s="58" t="s">
        <v>201</v>
      </c>
      <c r="C961" s="43" t="s">
        <v>187</v>
      </c>
      <c r="D961" s="43" t="s">
        <v>678</v>
      </c>
      <c r="E961" s="43" t="s">
        <v>1</v>
      </c>
      <c r="F961" s="43" t="s">
        <v>198</v>
      </c>
      <c r="G961" s="348">
        <f>G962</f>
        <v>0</v>
      </c>
      <c r="H961" s="348">
        <f t="shared" ref="H961:I964" si="247">H962</f>
        <v>0</v>
      </c>
      <c r="I961" s="348">
        <f t="shared" si="247"/>
        <v>0</v>
      </c>
    </row>
    <row r="962" spans="1:9" ht="47.25" hidden="1" customHeight="1">
      <c r="A962" s="77" t="s">
        <v>104</v>
      </c>
      <c r="B962" s="58" t="s">
        <v>201</v>
      </c>
      <c r="C962" s="43" t="s">
        <v>187</v>
      </c>
      <c r="D962" s="43" t="s">
        <v>678</v>
      </c>
      <c r="E962" s="43" t="s">
        <v>2</v>
      </c>
      <c r="F962" s="43" t="s">
        <v>198</v>
      </c>
      <c r="G962" s="348">
        <f>G963</f>
        <v>0</v>
      </c>
      <c r="H962" s="348">
        <f t="shared" si="247"/>
        <v>0</v>
      </c>
      <c r="I962" s="348">
        <f t="shared" si="247"/>
        <v>0</v>
      </c>
    </row>
    <row r="963" spans="1:9" ht="15.75" hidden="1" customHeight="1">
      <c r="A963" s="77" t="s">
        <v>413</v>
      </c>
      <c r="B963" s="58" t="s">
        <v>201</v>
      </c>
      <c r="C963" s="43" t="s">
        <v>187</v>
      </c>
      <c r="D963" s="43" t="s">
        <v>678</v>
      </c>
      <c r="E963" s="43" t="s">
        <v>414</v>
      </c>
      <c r="F963" s="43" t="s">
        <v>198</v>
      </c>
      <c r="G963" s="348">
        <f>G964</f>
        <v>0</v>
      </c>
      <c r="H963" s="348">
        <f t="shared" si="247"/>
        <v>0</v>
      </c>
      <c r="I963" s="348">
        <f t="shared" si="247"/>
        <v>0</v>
      </c>
    </row>
    <row r="964" spans="1:9" ht="31.5" hidden="1" customHeight="1">
      <c r="A964" s="77" t="s">
        <v>611</v>
      </c>
      <c r="B964" s="58" t="s">
        <v>201</v>
      </c>
      <c r="C964" s="43" t="s">
        <v>187</v>
      </c>
      <c r="D964" s="43" t="s">
        <v>678</v>
      </c>
      <c r="E964" s="43" t="s">
        <v>414</v>
      </c>
      <c r="F964" s="43" t="s">
        <v>612</v>
      </c>
      <c r="G964" s="348">
        <f>G965</f>
        <v>0</v>
      </c>
      <c r="H964" s="348">
        <f t="shared" si="247"/>
        <v>0</v>
      </c>
      <c r="I964" s="348">
        <f t="shared" si="247"/>
        <v>0</v>
      </c>
    </row>
    <row r="965" spans="1:9" ht="47.25" hidden="1" customHeight="1">
      <c r="A965" s="77" t="s">
        <v>613</v>
      </c>
      <c r="B965" s="58" t="s">
        <v>201</v>
      </c>
      <c r="C965" s="43" t="s">
        <v>187</v>
      </c>
      <c r="D965" s="43" t="s">
        <v>678</v>
      </c>
      <c r="E965" s="43" t="s">
        <v>414</v>
      </c>
      <c r="F965" s="43" t="s">
        <v>614</v>
      </c>
      <c r="G965" s="348">
        <v>0</v>
      </c>
      <c r="H965" s="348">
        <v>0</v>
      </c>
      <c r="I965" s="348">
        <v>0</v>
      </c>
    </row>
    <row r="966" spans="1:9" ht="15.75" hidden="1" customHeight="1">
      <c r="A966" s="74"/>
      <c r="B966" s="47" t="s">
        <v>201</v>
      </c>
      <c r="C966" s="37"/>
      <c r="D966" s="37"/>
      <c r="E966" s="37"/>
      <c r="F966" s="37"/>
      <c r="G966" s="38"/>
      <c r="H966" s="38"/>
      <c r="I966" s="38"/>
    </row>
    <row r="967" spans="1:9" ht="15.75" hidden="1" customHeight="1">
      <c r="A967" s="74"/>
      <c r="B967" s="47"/>
      <c r="C967" s="37"/>
      <c r="D967" s="37"/>
      <c r="E967" s="37"/>
      <c r="F967" s="37"/>
      <c r="G967" s="38"/>
      <c r="H967" s="38"/>
      <c r="I967" s="38"/>
    </row>
    <row r="968" spans="1:9" ht="15.75" hidden="1" customHeight="1">
      <c r="A968" s="74"/>
      <c r="B968" s="47"/>
      <c r="C968" s="37"/>
      <c r="D968" s="37"/>
      <c r="E968" s="37"/>
      <c r="F968" s="37"/>
      <c r="G968" s="38"/>
      <c r="H968" s="38"/>
      <c r="I968" s="38"/>
    </row>
    <row r="969" spans="1:9" ht="2.25" customHeight="1">
      <c r="A969" s="74"/>
      <c r="B969" s="47"/>
      <c r="C969" s="37"/>
      <c r="D969" s="37"/>
      <c r="E969" s="37"/>
      <c r="F969" s="37"/>
      <c r="G969" s="38"/>
      <c r="H969" s="38"/>
      <c r="I969" s="38"/>
    </row>
    <row r="970" spans="1:9">
      <c r="A970" s="73" t="s">
        <v>796</v>
      </c>
      <c r="B970" s="191" t="s">
        <v>201</v>
      </c>
      <c r="C970" s="34" t="s">
        <v>120</v>
      </c>
      <c r="D970" s="34" t="s">
        <v>103</v>
      </c>
      <c r="E970" s="34" t="s">
        <v>601</v>
      </c>
      <c r="F970" s="34" t="s">
        <v>198</v>
      </c>
      <c r="G970" s="35">
        <f>G971+G975</f>
        <v>6991.0889999999999</v>
      </c>
      <c r="H970" s="35">
        <f t="shared" ref="H970:I970" si="248">H971+H975</f>
        <v>6694.683</v>
      </c>
      <c r="I970" s="35">
        <f t="shared" si="248"/>
        <v>6938.8950000000004</v>
      </c>
    </row>
    <row r="971" spans="1:9">
      <c r="A971" s="194" t="s">
        <v>304</v>
      </c>
      <c r="B971" s="195" t="s">
        <v>201</v>
      </c>
      <c r="C971" s="196" t="s">
        <v>120</v>
      </c>
      <c r="D971" s="196" t="s">
        <v>105</v>
      </c>
      <c r="E971" s="196" t="s">
        <v>601</v>
      </c>
      <c r="F971" s="196" t="s">
        <v>198</v>
      </c>
      <c r="G971" s="197">
        <f>G972</f>
        <v>530</v>
      </c>
      <c r="H971" s="197">
        <f t="shared" ref="H971:I971" si="249">H972</f>
        <v>0</v>
      </c>
      <c r="I971" s="197">
        <f t="shared" si="249"/>
        <v>0</v>
      </c>
    </row>
    <row r="972" spans="1:9" ht="99.75" customHeight="1">
      <c r="A972" s="76" t="s">
        <v>305</v>
      </c>
      <c r="B972" s="58" t="s">
        <v>201</v>
      </c>
      <c r="C972" s="43" t="s">
        <v>120</v>
      </c>
      <c r="D972" s="43" t="s">
        <v>105</v>
      </c>
      <c r="E972" s="53" t="s">
        <v>31</v>
      </c>
      <c r="F972" s="53" t="s">
        <v>198</v>
      </c>
      <c r="G972" s="41">
        <f t="shared" ref="G972:I973" si="250">G973</f>
        <v>530</v>
      </c>
      <c r="H972" s="41">
        <f t="shared" si="250"/>
        <v>0</v>
      </c>
      <c r="I972" s="41">
        <f t="shared" si="250"/>
        <v>0</v>
      </c>
    </row>
    <row r="973" spans="1:9" ht="37.5" customHeight="1">
      <c r="A973" s="74" t="s">
        <v>758</v>
      </c>
      <c r="B973" s="47" t="s">
        <v>201</v>
      </c>
      <c r="C973" s="37" t="s">
        <v>120</v>
      </c>
      <c r="D973" s="37" t="s">
        <v>105</v>
      </c>
      <c r="E973" s="37" t="s">
        <v>1086</v>
      </c>
      <c r="F973" s="37" t="s">
        <v>759</v>
      </c>
      <c r="G973" s="38">
        <f t="shared" si="250"/>
        <v>530</v>
      </c>
      <c r="H973" s="38">
        <f t="shared" si="250"/>
        <v>0</v>
      </c>
      <c r="I973" s="38">
        <f t="shared" si="250"/>
        <v>0</v>
      </c>
    </row>
    <row r="974" spans="1:9" ht="51.75" customHeight="1">
      <c r="A974" s="77" t="s">
        <v>115</v>
      </c>
      <c r="B974" s="58" t="s">
        <v>201</v>
      </c>
      <c r="C974" s="43" t="s">
        <v>120</v>
      </c>
      <c r="D974" s="43" t="s">
        <v>105</v>
      </c>
      <c r="E974" s="43" t="s">
        <v>1086</v>
      </c>
      <c r="F974" s="43" t="s">
        <v>799</v>
      </c>
      <c r="G974" s="348">
        <f>'5'!D51</f>
        <v>530</v>
      </c>
      <c r="H974" s="348">
        <f>'5'!E51</f>
        <v>0</v>
      </c>
      <c r="I974" s="348">
        <f>'5'!F51</f>
        <v>0</v>
      </c>
    </row>
    <row r="975" spans="1:9" ht="18" customHeight="1">
      <c r="A975" s="194" t="s">
        <v>192</v>
      </c>
      <c r="B975" s="195" t="s">
        <v>201</v>
      </c>
      <c r="C975" s="196" t="s">
        <v>120</v>
      </c>
      <c r="D975" s="196" t="s">
        <v>107</v>
      </c>
      <c r="E975" s="196" t="s">
        <v>601</v>
      </c>
      <c r="F975" s="196" t="s">
        <v>198</v>
      </c>
      <c r="G975" s="197">
        <f>G977+G980+G988</f>
        <v>6461.0889999999999</v>
      </c>
      <c r="H975" s="197">
        <f t="shared" ref="H975:I975" si="251">H977+H980+H988</f>
        <v>6694.683</v>
      </c>
      <c r="I975" s="197">
        <f t="shared" si="251"/>
        <v>6938.8950000000004</v>
      </c>
    </row>
    <row r="976" spans="1:9" ht="51" customHeight="1">
      <c r="A976" s="75" t="s">
        <v>658</v>
      </c>
      <c r="B976" s="201" t="s">
        <v>201</v>
      </c>
      <c r="C976" s="2" t="s">
        <v>120</v>
      </c>
      <c r="D976" s="2" t="s">
        <v>103</v>
      </c>
      <c r="E976" s="2" t="s">
        <v>18</v>
      </c>
      <c r="F976" s="2" t="s">
        <v>198</v>
      </c>
      <c r="G976" s="38">
        <f>G980+G977</f>
        <v>6161.0889999999999</v>
      </c>
      <c r="H976" s="38">
        <f>H980+H977</f>
        <v>6394.683</v>
      </c>
      <c r="I976" s="38">
        <f t="shared" ref="I976" si="252">I980+I977</f>
        <v>6638.8950000000004</v>
      </c>
    </row>
    <row r="977" spans="1:11" ht="63" customHeight="1">
      <c r="A977" s="218" t="s">
        <v>802</v>
      </c>
      <c r="B977" s="219" t="s">
        <v>201</v>
      </c>
      <c r="C977" s="167" t="s">
        <v>120</v>
      </c>
      <c r="D977" s="167" t="s">
        <v>107</v>
      </c>
      <c r="E977" s="220" t="s">
        <v>298</v>
      </c>
      <c r="F977" s="220" t="s">
        <v>198</v>
      </c>
      <c r="G977" s="188">
        <f t="shared" ref="G977:I978" si="253">G978</f>
        <v>300</v>
      </c>
      <c r="H977" s="188">
        <f t="shared" si="253"/>
        <v>300</v>
      </c>
      <c r="I977" s="188">
        <f t="shared" si="253"/>
        <v>300</v>
      </c>
    </row>
    <row r="978" spans="1:11" ht="134.25" customHeight="1">
      <c r="A978" s="76" t="s">
        <v>803</v>
      </c>
      <c r="B978" s="58" t="s">
        <v>201</v>
      </c>
      <c r="C978" s="43" t="s">
        <v>120</v>
      </c>
      <c r="D978" s="43" t="s">
        <v>107</v>
      </c>
      <c r="E978" s="53" t="s">
        <v>298</v>
      </c>
      <c r="F978" s="53" t="s">
        <v>759</v>
      </c>
      <c r="G978" s="348">
        <f t="shared" si="253"/>
        <v>300</v>
      </c>
      <c r="H978" s="348">
        <f t="shared" si="253"/>
        <v>300</v>
      </c>
      <c r="I978" s="348">
        <f t="shared" si="253"/>
        <v>300</v>
      </c>
    </row>
    <row r="979" spans="1:11" ht="51.75" customHeight="1">
      <c r="A979" s="77" t="s">
        <v>115</v>
      </c>
      <c r="B979" s="58" t="s">
        <v>201</v>
      </c>
      <c r="C979" s="43" t="s">
        <v>120</v>
      </c>
      <c r="D979" s="43" t="s">
        <v>107</v>
      </c>
      <c r="E979" s="53" t="s">
        <v>298</v>
      </c>
      <c r="F979" s="53" t="s">
        <v>799</v>
      </c>
      <c r="G979" s="348">
        <f>'3'!F824</f>
        <v>300</v>
      </c>
      <c r="H979" s="348">
        <f>'3'!G824</f>
        <v>300</v>
      </c>
      <c r="I979" s="348">
        <f>'3'!H824</f>
        <v>300</v>
      </c>
    </row>
    <row r="980" spans="1:11" ht="51.75" customHeight="1">
      <c r="A980" s="218" t="s">
        <v>720</v>
      </c>
      <c r="B980" s="219" t="s">
        <v>201</v>
      </c>
      <c r="C980" s="167" t="s">
        <v>120</v>
      </c>
      <c r="D980" s="167" t="s">
        <v>107</v>
      </c>
      <c r="E980" s="167" t="s">
        <v>27</v>
      </c>
      <c r="F980" s="167" t="s">
        <v>198</v>
      </c>
      <c r="G980" s="188">
        <f>G981</f>
        <v>5861.0889999999999</v>
      </c>
      <c r="H980" s="188">
        <f>H981</f>
        <v>6094.683</v>
      </c>
      <c r="I980" s="188">
        <f>I981</f>
        <v>6338.8950000000004</v>
      </c>
    </row>
    <row r="981" spans="1:11" ht="84" customHeight="1">
      <c r="A981" s="77" t="s">
        <v>122</v>
      </c>
      <c r="B981" s="58" t="s">
        <v>201</v>
      </c>
      <c r="C981" s="43" t="s">
        <v>120</v>
      </c>
      <c r="D981" s="43" t="s">
        <v>107</v>
      </c>
      <c r="E981" s="43" t="s">
        <v>66</v>
      </c>
      <c r="F981" s="43" t="s">
        <v>198</v>
      </c>
      <c r="G981" s="348">
        <f>G983+G982</f>
        <v>5861.0889999999999</v>
      </c>
      <c r="H981" s="348">
        <f t="shared" ref="H981:I981" si="254">H983+H982</f>
        <v>6094.683</v>
      </c>
      <c r="I981" s="348">
        <f t="shared" si="254"/>
        <v>6338.8950000000004</v>
      </c>
    </row>
    <row r="982" spans="1:11" ht="51" customHeight="1">
      <c r="A982" s="77" t="s">
        <v>613</v>
      </c>
      <c r="B982" s="58" t="s">
        <v>201</v>
      </c>
      <c r="C982" s="43" t="s">
        <v>120</v>
      </c>
      <c r="D982" s="43" t="s">
        <v>107</v>
      </c>
      <c r="E982" s="43" t="s">
        <v>66</v>
      </c>
      <c r="F982" s="43" t="s">
        <v>614</v>
      </c>
      <c r="G982" s="348">
        <f>'3'!F827</f>
        <v>87.916335000000004</v>
      </c>
      <c r="H982" s="348">
        <f>'3'!G827</f>
        <v>91.420244999999994</v>
      </c>
      <c r="I982" s="348">
        <f>'3'!H827</f>
        <v>95.083425000000005</v>
      </c>
    </row>
    <row r="983" spans="1:11" ht="36" customHeight="1">
      <c r="A983" s="77" t="s">
        <v>113</v>
      </c>
      <c r="B983" s="58" t="s">
        <v>201</v>
      </c>
      <c r="C983" s="43" t="s">
        <v>120</v>
      </c>
      <c r="D983" s="43" t="s">
        <v>107</v>
      </c>
      <c r="E983" s="43" t="s">
        <v>66</v>
      </c>
      <c r="F983" s="371">
        <v>310</v>
      </c>
      <c r="G983" s="348">
        <f>'3'!F828</f>
        <v>5773.1726650000001</v>
      </c>
      <c r="H983" s="348">
        <f>'3'!G828</f>
        <v>6003.2627549999997</v>
      </c>
      <c r="I983" s="348">
        <f>'3'!H828</f>
        <v>6243.8115750000006</v>
      </c>
    </row>
    <row r="984" spans="1:11" ht="53.25" customHeight="1">
      <c r="A984" s="76" t="s">
        <v>740</v>
      </c>
      <c r="B984" s="58" t="s">
        <v>201</v>
      </c>
      <c r="C984" s="43" t="s">
        <v>120</v>
      </c>
      <c r="D984" s="43" t="s">
        <v>107</v>
      </c>
      <c r="E984" s="53" t="s">
        <v>18</v>
      </c>
      <c r="F984" s="53" t="s">
        <v>198</v>
      </c>
      <c r="G984" s="348">
        <f>G985</f>
        <v>300</v>
      </c>
      <c r="H984" s="348">
        <f>H985</f>
        <v>300</v>
      </c>
      <c r="I984" s="348">
        <f t="shared" ref="H984:I986" si="255">I985</f>
        <v>300</v>
      </c>
    </row>
    <row r="985" spans="1:11" ht="33" customHeight="1">
      <c r="A985" s="86" t="s">
        <v>224</v>
      </c>
      <c r="B985" s="58" t="s">
        <v>201</v>
      </c>
      <c r="C985" s="43" t="s">
        <v>120</v>
      </c>
      <c r="D985" s="43" t="s">
        <v>107</v>
      </c>
      <c r="E985" s="43" t="s">
        <v>46</v>
      </c>
      <c r="F985" s="43" t="s">
        <v>198</v>
      </c>
      <c r="G985" s="348">
        <f>G986</f>
        <v>300</v>
      </c>
      <c r="H985" s="348">
        <f t="shared" si="255"/>
        <v>300</v>
      </c>
      <c r="I985" s="348">
        <f t="shared" si="255"/>
        <v>300</v>
      </c>
    </row>
    <row r="986" spans="1:11" ht="85.5" customHeight="1">
      <c r="A986" s="81" t="s">
        <v>361</v>
      </c>
      <c r="B986" s="60" t="s">
        <v>201</v>
      </c>
      <c r="C986" s="59" t="s">
        <v>120</v>
      </c>
      <c r="D986" s="59" t="s">
        <v>107</v>
      </c>
      <c r="E986" s="59" t="s">
        <v>46</v>
      </c>
      <c r="F986" s="59" t="s">
        <v>198</v>
      </c>
      <c r="G986" s="96">
        <f>G987</f>
        <v>300</v>
      </c>
      <c r="H986" s="96">
        <f t="shared" si="255"/>
        <v>300</v>
      </c>
      <c r="I986" s="96">
        <f t="shared" si="255"/>
        <v>300</v>
      </c>
    </row>
    <row r="987" spans="1:11" ht="33" customHeight="1">
      <c r="A987" s="77" t="s">
        <v>758</v>
      </c>
      <c r="B987" s="58" t="s">
        <v>201</v>
      </c>
      <c r="C987" s="43" t="s">
        <v>120</v>
      </c>
      <c r="D987" s="43" t="s">
        <v>107</v>
      </c>
      <c r="E987" s="43" t="s">
        <v>47</v>
      </c>
      <c r="F987" s="43" t="s">
        <v>759</v>
      </c>
      <c r="G987" s="348">
        <f>G988</f>
        <v>300</v>
      </c>
      <c r="H987" s="348">
        <f>H988</f>
        <v>300</v>
      </c>
      <c r="I987" s="348">
        <f>I988</f>
        <v>300</v>
      </c>
    </row>
    <row r="988" spans="1:11" ht="36" customHeight="1">
      <c r="A988" s="77" t="s">
        <v>113</v>
      </c>
      <c r="B988" s="58" t="s">
        <v>201</v>
      </c>
      <c r="C988" s="43" t="s">
        <v>120</v>
      </c>
      <c r="D988" s="43" t="s">
        <v>107</v>
      </c>
      <c r="E988" s="43" t="s">
        <v>47</v>
      </c>
      <c r="F988" s="43" t="s">
        <v>114</v>
      </c>
      <c r="G988" s="348">
        <f>'3'!F833</f>
        <v>300</v>
      </c>
      <c r="H988" s="348">
        <f>'3'!G833</f>
        <v>300</v>
      </c>
      <c r="I988" s="348">
        <f>'3'!H833</f>
        <v>300</v>
      </c>
    </row>
    <row r="989" spans="1:11" ht="17.25" customHeight="1">
      <c r="A989" s="221" t="s">
        <v>806</v>
      </c>
      <c r="B989" s="222" t="s">
        <v>201</v>
      </c>
      <c r="C989" s="223" t="s">
        <v>627</v>
      </c>
      <c r="D989" s="223" t="s">
        <v>103</v>
      </c>
      <c r="E989" s="223" t="s">
        <v>601</v>
      </c>
      <c r="F989" s="223" t="s">
        <v>198</v>
      </c>
      <c r="G989" s="224">
        <f t="shared" ref="G989:I990" si="256">G990</f>
        <v>116.25203</v>
      </c>
      <c r="H989" s="224">
        <f t="shared" si="256"/>
        <v>0</v>
      </c>
      <c r="I989" s="224">
        <f t="shared" si="256"/>
        <v>0</v>
      </c>
      <c r="K989" s="90"/>
    </row>
    <row r="990" spans="1:11" ht="15.75" hidden="1" customHeight="1">
      <c r="A990" s="74" t="s">
        <v>807</v>
      </c>
      <c r="B990" s="47" t="s">
        <v>201</v>
      </c>
      <c r="C990" s="37" t="s">
        <v>627</v>
      </c>
      <c r="D990" s="37" t="s">
        <v>603</v>
      </c>
      <c r="E990" s="37" t="s">
        <v>601</v>
      </c>
      <c r="F990" s="37" t="s">
        <v>198</v>
      </c>
      <c r="G990" s="38">
        <f t="shared" si="256"/>
        <v>116.25203</v>
      </c>
      <c r="H990" s="38">
        <f t="shared" si="256"/>
        <v>0</v>
      </c>
      <c r="I990" s="38">
        <f t="shared" si="256"/>
        <v>0</v>
      </c>
    </row>
    <row r="991" spans="1:11" ht="63" hidden="1" customHeight="1">
      <c r="A991" s="75" t="s">
        <v>881</v>
      </c>
      <c r="B991" s="47" t="s">
        <v>201</v>
      </c>
      <c r="C991" s="37" t="s">
        <v>627</v>
      </c>
      <c r="D991" s="37" t="s">
        <v>603</v>
      </c>
      <c r="E991" s="2" t="s">
        <v>67</v>
      </c>
      <c r="F991" s="37" t="s">
        <v>198</v>
      </c>
      <c r="G991" s="38">
        <f>G992+G995</f>
        <v>116.25203</v>
      </c>
      <c r="H991" s="38">
        <f>H992+H995</f>
        <v>0</v>
      </c>
      <c r="I991" s="38">
        <f>I992+I995</f>
        <v>0</v>
      </c>
    </row>
    <row r="992" spans="1:11" ht="31.5" hidden="1" customHeight="1">
      <c r="A992" s="74" t="s">
        <v>808</v>
      </c>
      <c r="B992" s="47" t="s">
        <v>201</v>
      </c>
      <c r="C992" s="37" t="s">
        <v>627</v>
      </c>
      <c r="D992" s="37" t="s">
        <v>603</v>
      </c>
      <c r="E992" s="37" t="s">
        <v>68</v>
      </c>
      <c r="F992" s="37" t="s">
        <v>198</v>
      </c>
      <c r="G992" s="38">
        <f t="shared" ref="G992:I993" si="257">G993</f>
        <v>0</v>
      </c>
      <c r="H992" s="38">
        <f t="shared" si="257"/>
        <v>0</v>
      </c>
      <c r="I992" s="38">
        <f t="shared" si="257"/>
        <v>0</v>
      </c>
    </row>
    <row r="993" spans="1:9" ht="47.25" hidden="1" customHeight="1">
      <c r="A993" s="74" t="s">
        <v>811</v>
      </c>
      <c r="B993" s="47" t="s">
        <v>201</v>
      </c>
      <c r="C993" s="37" t="s">
        <v>627</v>
      </c>
      <c r="D993" s="37" t="s">
        <v>603</v>
      </c>
      <c r="E993" s="37" t="s">
        <v>68</v>
      </c>
      <c r="F993" s="37" t="s">
        <v>648</v>
      </c>
      <c r="G993" s="38">
        <f t="shared" si="257"/>
        <v>0</v>
      </c>
      <c r="H993" s="38">
        <f t="shared" si="257"/>
        <v>0</v>
      </c>
      <c r="I993" s="38">
        <f t="shared" si="257"/>
        <v>0</v>
      </c>
    </row>
    <row r="994" spans="1:9" ht="15.75" hidden="1" customHeight="1">
      <c r="A994" s="74" t="s">
        <v>110</v>
      </c>
      <c r="B994" s="47" t="s">
        <v>201</v>
      </c>
      <c r="C994" s="37" t="s">
        <v>627</v>
      </c>
      <c r="D994" s="37" t="s">
        <v>603</v>
      </c>
      <c r="E994" s="37" t="s">
        <v>68</v>
      </c>
      <c r="F994" s="37" t="s">
        <v>156</v>
      </c>
      <c r="G994" s="348">
        <v>0</v>
      </c>
      <c r="H994" s="38">
        <v>0</v>
      </c>
      <c r="I994" s="38">
        <v>0</v>
      </c>
    </row>
    <row r="995" spans="1:9" ht="47.25" hidden="1" customHeight="1">
      <c r="A995" s="376" t="s">
        <v>356</v>
      </c>
      <c r="B995" s="47" t="s">
        <v>201</v>
      </c>
      <c r="C995" s="51" t="s">
        <v>627</v>
      </c>
      <c r="D995" s="51" t="s">
        <v>603</v>
      </c>
      <c r="E995" s="51" t="s">
        <v>67</v>
      </c>
      <c r="F995" s="51" t="s">
        <v>198</v>
      </c>
      <c r="G995" s="52">
        <f>G999+G996</f>
        <v>116.25203</v>
      </c>
      <c r="H995" s="52">
        <f>H999+H996</f>
        <v>0</v>
      </c>
      <c r="I995" s="52">
        <f>I999+I996</f>
        <v>0</v>
      </c>
    </row>
    <row r="996" spans="1:9" ht="88.5" customHeight="1">
      <c r="A996" s="76" t="s">
        <v>1051</v>
      </c>
      <c r="B996" s="61" t="s">
        <v>201</v>
      </c>
      <c r="C996" s="53" t="s">
        <v>627</v>
      </c>
      <c r="D996" s="53" t="s">
        <v>603</v>
      </c>
      <c r="E996" s="43" t="s">
        <v>1092</v>
      </c>
      <c r="F996" s="53" t="s">
        <v>198</v>
      </c>
      <c r="G996" s="41">
        <f t="shared" ref="G996:I997" si="258">G997</f>
        <v>115.08951</v>
      </c>
      <c r="H996" s="41">
        <f t="shared" si="258"/>
        <v>0</v>
      </c>
      <c r="I996" s="41">
        <f t="shared" si="258"/>
        <v>0</v>
      </c>
    </row>
    <row r="997" spans="1:9" ht="55.5" customHeight="1">
      <c r="A997" s="77" t="s">
        <v>811</v>
      </c>
      <c r="B997" s="58" t="s">
        <v>201</v>
      </c>
      <c r="C997" s="43" t="s">
        <v>627</v>
      </c>
      <c r="D997" s="43" t="s">
        <v>603</v>
      </c>
      <c r="E997" s="43" t="s">
        <v>1092</v>
      </c>
      <c r="F997" s="43" t="s">
        <v>648</v>
      </c>
      <c r="G997" s="348">
        <f t="shared" si="258"/>
        <v>115.08951</v>
      </c>
      <c r="H997" s="348">
        <f t="shared" si="258"/>
        <v>0</v>
      </c>
      <c r="I997" s="348">
        <f t="shared" si="258"/>
        <v>0</v>
      </c>
    </row>
    <row r="998" spans="1:9" ht="21" customHeight="1">
      <c r="A998" s="77" t="s">
        <v>110</v>
      </c>
      <c r="B998" s="58" t="s">
        <v>201</v>
      </c>
      <c r="C998" s="43" t="s">
        <v>627</v>
      </c>
      <c r="D998" s="43" t="s">
        <v>603</v>
      </c>
      <c r="E998" s="43" t="s">
        <v>1092</v>
      </c>
      <c r="F998" s="43" t="s">
        <v>156</v>
      </c>
      <c r="G998" s="348">
        <f>'3'!F950</f>
        <v>115.08951</v>
      </c>
      <c r="H998" s="348">
        <f>'3'!G950</f>
        <v>0</v>
      </c>
      <c r="I998" s="348">
        <f>'3'!H950</f>
        <v>0</v>
      </c>
    </row>
    <row r="999" spans="1:9" ht="104.25" customHeight="1">
      <c r="A999" s="76" t="s">
        <v>1052</v>
      </c>
      <c r="B999" s="61" t="s">
        <v>201</v>
      </c>
      <c r="C999" s="53" t="s">
        <v>627</v>
      </c>
      <c r="D999" s="53" t="s">
        <v>603</v>
      </c>
      <c r="E999" s="43" t="s">
        <v>1093</v>
      </c>
      <c r="F999" s="53" t="s">
        <v>198</v>
      </c>
      <c r="G999" s="41">
        <f t="shared" ref="G999:I1000" si="259">G1000</f>
        <v>1.16252</v>
      </c>
      <c r="H999" s="41">
        <f t="shared" si="259"/>
        <v>0</v>
      </c>
      <c r="I999" s="41">
        <f t="shared" si="259"/>
        <v>0</v>
      </c>
    </row>
    <row r="1000" spans="1:9" ht="54.75" customHeight="1">
      <c r="A1000" s="77" t="s">
        <v>811</v>
      </c>
      <c r="B1000" s="58" t="s">
        <v>201</v>
      </c>
      <c r="C1000" s="43" t="s">
        <v>627</v>
      </c>
      <c r="D1000" s="43" t="s">
        <v>603</v>
      </c>
      <c r="E1000" s="43" t="s">
        <v>1093</v>
      </c>
      <c r="F1000" s="43" t="s">
        <v>648</v>
      </c>
      <c r="G1000" s="348">
        <f t="shared" si="259"/>
        <v>1.16252</v>
      </c>
      <c r="H1000" s="348">
        <f t="shared" si="259"/>
        <v>0</v>
      </c>
      <c r="I1000" s="348">
        <f t="shared" si="259"/>
        <v>0</v>
      </c>
    </row>
    <row r="1001" spans="1:9" ht="16.899999999999999" customHeight="1">
      <c r="A1001" s="77" t="s">
        <v>110</v>
      </c>
      <c r="B1001" s="58" t="s">
        <v>201</v>
      </c>
      <c r="C1001" s="43" t="s">
        <v>627</v>
      </c>
      <c r="D1001" s="43" t="s">
        <v>603</v>
      </c>
      <c r="E1001" s="43" t="s">
        <v>1093</v>
      </c>
      <c r="F1001" s="43" t="s">
        <v>156</v>
      </c>
      <c r="G1001" s="348">
        <f>'3'!F953</f>
        <v>1.16252</v>
      </c>
      <c r="H1001" s="348">
        <f>'3'!G953</f>
        <v>0</v>
      </c>
      <c r="I1001" s="348">
        <f>'3'!H953</f>
        <v>0</v>
      </c>
    </row>
    <row r="1002" spans="1:9" ht="47.25" hidden="1" customHeight="1">
      <c r="A1002" s="376" t="s">
        <v>306</v>
      </c>
      <c r="B1002" s="208" t="s">
        <v>201</v>
      </c>
      <c r="C1002" s="51" t="s">
        <v>627</v>
      </c>
      <c r="D1002" s="51" t="s">
        <v>603</v>
      </c>
      <c r="E1002" s="51" t="s">
        <v>67</v>
      </c>
      <c r="F1002" s="51" t="s">
        <v>198</v>
      </c>
      <c r="G1002" s="52">
        <f>G1003</f>
        <v>0</v>
      </c>
      <c r="H1002" s="52">
        <f t="shared" ref="H1002:I1004" si="260">H1003</f>
        <v>0</v>
      </c>
      <c r="I1002" s="52">
        <f t="shared" si="260"/>
        <v>0</v>
      </c>
    </row>
    <row r="1003" spans="1:9" ht="78.75" hidden="1" customHeight="1">
      <c r="A1003" s="75" t="s">
        <v>882</v>
      </c>
      <c r="B1003" s="201" t="s">
        <v>201</v>
      </c>
      <c r="C1003" s="2" t="s">
        <v>627</v>
      </c>
      <c r="D1003" s="2" t="s">
        <v>603</v>
      </c>
      <c r="E1003" s="2" t="s">
        <v>441</v>
      </c>
      <c r="F1003" s="2" t="s">
        <v>198</v>
      </c>
      <c r="G1003" s="39">
        <f>G1004</f>
        <v>0</v>
      </c>
      <c r="H1003" s="39">
        <f t="shared" si="260"/>
        <v>0</v>
      </c>
      <c r="I1003" s="39">
        <f t="shared" si="260"/>
        <v>0</v>
      </c>
    </row>
    <row r="1004" spans="1:9" ht="47.25" hidden="1" customHeight="1">
      <c r="A1004" s="74" t="s">
        <v>811</v>
      </c>
      <c r="B1004" s="47" t="s">
        <v>201</v>
      </c>
      <c r="C1004" s="37" t="s">
        <v>627</v>
      </c>
      <c r="D1004" s="37" t="s">
        <v>603</v>
      </c>
      <c r="E1004" s="37" t="s">
        <v>441</v>
      </c>
      <c r="F1004" s="37" t="s">
        <v>648</v>
      </c>
      <c r="G1004" s="38">
        <f>G1005</f>
        <v>0</v>
      </c>
      <c r="H1004" s="38">
        <f t="shared" si="260"/>
        <v>0</v>
      </c>
      <c r="I1004" s="38">
        <f t="shared" si="260"/>
        <v>0</v>
      </c>
    </row>
    <row r="1005" spans="1:9" ht="15.75" hidden="1" customHeight="1">
      <c r="A1005" s="74" t="s">
        <v>110</v>
      </c>
      <c r="B1005" s="47" t="s">
        <v>201</v>
      </c>
      <c r="C1005" s="37" t="s">
        <v>627</v>
      </c>
      <c r="D1005" s="37" t="s">
        <v>603</v>
      </c>
      <c r="E1005" s="37" t="s">
        <v>441</v>
      </c>
      <c r="F1005" s="37" t="s">
        <v>156</v>
      </c>
      <c r="G1005" s="38"/>
      <c r="H1005" s="38"/>
      <c r="I1005" s="38"/>
    </row>
    <row r="1006" spans="1:9" ht="110.25" hidden="1" customHeight="1">
      <c r="A1006" s="75" t="s">
        <v>812</v>
      </c>
      <c r="B1006" s="201" t="s">
        <v>201</v>
      </c>
      <c r="C1006" s="2" t="s">
        <v>627</v>
      </c>
      <c r="D1006" s="2" t="s">
        <v>603</v>
      </c>
      <c r="E1006" s="2" t="s">
        <v>883</v>
      </c>
      <c r="F1006" s="2" t="s">
        <v>198</v>
      </c>
      <c r="G1006" s="39">
        <f t="shared" ref="G1006:I1007" si="261">G1007</f>
        <v>0</v>
      </c>
      <c r="H1006" s="39">
        <f t="shared" si="261"/>
        <v>0</v>
      </c>
      <c r="I1006" s="39">
        <f t="shared" si="261"/>
        <v>0</v>
      </c>
    </row>
    <row r="1007" spans="1:9" ht="47.25" hidden="1" customHeight="1">
      <c r="A1007" s="74" t="s">
        <v>811</v>
      </c>
      <c r="B1007" s="47" t="s">
        <v>201</v>
      </c>
      <c r="C1007" s="37" t="s">
        <v>627</v>
      </c>
      <c r="D1007" s="37" t="s">
        <v>603</v>
      </c>
      <c r="E1007" s="37" t="s">
        <v>883</v>
      </c>
      <c r="F1007" s="37" t="s">
        <v>648</v>
      </c>
      <c r="G1007" s="38">
        <f t="shared" si="261"/>
        <v>0</v>
      </c>
      <c r="H1007" s="38">
        <f t="shared" si="261"/>
        <v>0</v>
      </c>
      <c r="I1007" s="38">
        <f t="shared" si="261"/>
        <v>0</v>
      </c>
    </row>
    <row r="1008" spans="1:9" ht="15.75" hidden="1" customHeight="1">
      <c r="A1008" s="74" t="s">
        <v>110</v>
      </c>
      <c r="B1008" s="47" t="s">
        <v>201</v>
      </c>
      <c r="C1008" s="37" t="s">
        <v>627</v>
      </c>
      <c r="D1008" s="37" t="s">
        <v>603</v>
      </c>
      <c r="E1008" s="37" t="s">
        <v>883</v>
      </c>
      <c r="F1008" s="37" t="s">
        <v>156</v>
      </c>
      <c r="G1008" s="38"/>
      <c r="H1008" s="38"/>
      <c r="I1008" s="38"/>
    </row>
    <row r="1009" spans="1:10" ht="51.75" customHeight="1">
      <c r="A1009" s="80" t="s">
        <v>884</v>
      </c>
      <c r="B1009" s="190" t="s">
        <v>200</v>
      </c>
      <c r="C1009" s="190" t="s">
        <v>103</v>
      </c>
      <c r="D1009" s="190" t="s">
        <v>103</v>
      </c>
      <c r="E1009" s="190" t="s">
        <v>601</v>
      </c>
      <c r="F1009" s="190" t="s">
        <v>198</v>
      </c>
      <c r="G1009" s="31">
        <f>G1010</f>
        <v>3262.7</v>
      </c>
      <c r="H1009" s="31">
        <f t="shared" ref="H1009:I1009" si="262">H1010</f>
        <v>3202.2080000000001</v>
      </c>
      <c r="I1009" s="31">
        <f t="shared" si="262"/>
        <v>3316.096</v>
      </c>
    </row>
    <row r="1010" spans="1:10" ht="69" customHeight="1">
      <c r="A1010" s="77" t="s">
        <v>621</v>
      </c>
      <c r="B1010" s="58" t="s">
        <v>200</v>
      </c>
      <c r="C1010" s="43" t="s">
        <v>102</v>
      </c>
      <c r="D1010" s="43" t="s">
        <v>622</v>
      </c>
      <c r="E1010" s="43" t="s">
        <v>601</v>
      </c>
      <c r="F1010" s="43" t="s">
        <v>198</v>
      </c>
      <c r="G1010" s="348">
        <f>G1011</f>
        <v>3262.7</v>
      </c>
      <c r="H1010" s="348">
        <f>H1011</f>
        <v>3202.2080000000001</v>
      </c>
      <c r="I1010" s="348">
        <f t="shared" ref="G1010:I1011" si="263">I1011</f>
        <v>3316.096</v>
      </c>
    </row>
    <row r="1011" spans="1:10" ht="38.25" customHeight="1">
      <c r="A1011" s="77" t="s">
        <v>184</v>
      </c>
      <c r="B1011" s="58" t="s">
        <v>200</v>
      </c>
      <c r="C1011" s="43" t="s">
        <v>102</v>
      </c>
      <c r="D1011" s="43" t="s">
        <v>622</v>
      </c>
      <c r="E1011" s="43" t="s">
        <v>1</v>
      </c>
      <c r="F1011" s="43" t="s">
        <v>198</v>
      </c>
      <c r="G1011" s="348">
        <f t="shared" si="263"/>
        <v>3262.7</v>
      </c>
      <c r="H1011" s="348">
        <f t="shared" si="263"/>
        <v>3202.2080000000001</v>
      </c>
      <c r="I1011" s="348">
        <f t="shared" si="263"/>
        <v>3316.096</v>
      </c>
    </row>
    <row r="1012" spans="1:10" ht="52.5" customHeight="1">
      <c r="A1012" s="77" t="s">
        <v>885</v>
      </c>
      <c r="B1012" s="58" t="s">
        <v>200</v>
      </c>
      <c r="C1012" s="43" t="s">
        <v>102</v>
      </c>
      <c r="D1012" s="43" t="s">
        <v>622</v>
      </c>
      <c r="E1012" s="43" t="s">
        <v>2</v>
      </c>
      <c r="F1012" s="43" t="s">
        <v>198</v>
      </c>
      <c r="G1012" s="348">
        <f>G1015+G1017+G1019+G1014</f>
        <v>3262.7</v>
      </c>
      <c r="H1012" s="348">
        <f>H1015+H1017+H1019+H1014</f>
        <v>3202.2080000000001</v>
      </c>
      <c r="I1012" s="348">
        <f>I1015+I1017+I1019+I1014</f>
        <v>3316.096</v>
      </c>
    </row>
    <row r="1013" spans="1:10" ht="94.5" hidden="1" customHeight="1">
      <c r="A1013" s="85" t="s">
        <v>605</v>
      </c>
      <c r="B1013" s="185" t="s">
        <v>200</v>
      </c>
      <c r="C1013" s="64" t="s">
        <v>102</v>
      </c>
      <c r="D1013" s="64" t="s">
        <v>622</v>
      </c>
      <c r="E1013" s="64" t="s">
        <v>5</v>
      </c>
      <c r="F1013" s="64" t="s">
        <v>606</v>
      </c>
      <c r="G1013" s="50">
        <f>G1014</f>
        <v>0</v>
      </c>
      <c r="H1013" s="50">
        <f>H1014</f>
        <v>0</v>
      </c>
      <c r="I1013" s="50">
        <f>I1014</f>
        <v>0</v>
      </c>
    </row>
    <row r="1014" spans="1:10" ht="1.5" hidden="1" customHeight="1">
      <c r="A1014" s="85" t="s">
        <v>607</v>
      </c>
      <c r="B1014" s="185" t="s">
        <v>200</v>
      </c>
      <c r="C1014" s="64" t="s">
        <v>102</v>
      </c>
      <c r="D1014" s="64" t="s">
        <v>622</v>
      </c>
      <c r="E1014" s="64" t="s">
        <v>5</v>
      </c>
      <c r="F1014" s="64" t="s">
        <v>608</v>
      </c>
      <c r="G1014" s="50">
        <f>'3'!F62</f>
        <v>0</v>
      </c>
      <c r="H1014" s="50">
        <f>'3'!G62</f>
        <v>0</v>
      </c>
      <c r="I1014" s="50">
        <f>'3'!H62</f>
        <v>0</v>
      </c>
    </row>
    <row r="1015" spans="1:10" ht="33.75" customHeight="1">
      <c r="A1015" s="77" t="s">
        <v>611</v>
      </c>
      <c r="B1015" s="58" t="s">
        <v>200</v>
      </c>
      <c r="C1015" s="43" t="s">
        <v>102</v>
      </c>
      <c r="D1015" s="43" t="s">
        <v>622</v>
      </c>
      <c r="E1015" s="43" t="s">
        <v>5</v>
      </c>
      <c r="F1015" s="43" t="s">
        <v>612</v>
      </c>
      <c r="G1015" s="348">
        <f>G1016</f>
        <v>473</v>
      </c>
      <c r="H1015" s="348">
        <f>H1016</f>
        <v>353</v>
      </c>
      <c r="I1015" s="348">
        <f>I1016</f>
        <v>353</v>
      </c>
    </row>
    <row r="1016" spans="1:10" ht="50.25" customHeight="1">
      <c r="A1016" s="77" t="s">
        <v>613</v>
      </c>
      <c r="B1016" s="58" t="s">
        <v>200</v>
      </c>
      <c r="C1016" s="43" t="s">
        <v>102</v>
      </c>
      <c r="D1016" s="43" t="s">
        <v>622</v>
      </c>
      <c r="E1016" s="43" t="s">
        <v>5</v>
      </c>
      <c r="F1016" s="43" t="s">
        <v>614</v>
      </c>
      <c r="G1016" s="348">
        <f>'3'!F64</f>
        <v>473</v>
      </c>
      <c r="H1016" s="348">
        <f>'3'!G64</f>
        <v>353</v>
      </c>
      <c r="I1016" s="348">
        <f>'3'!H64</f>
        <v>353</v>
      </c>
      <c r="J1016" s="90"/>
    </row>
    <row r="1017" spans="1:10" ht="20.25" customHeight="1">
      <c r="A1017" s="77" t="s">
        <v>615</v>
      </c>
      <c r="B1017" s="58" t="s">
        <v>200</v>
      </c>
      <c r="C1017" s="43" t="s">
        <v>102</v>
      </c>
      <c r="D1017" s="43" t="s">
        <v>622</v>
      </c>
      <c r="E1017" s="43" t="s">
        <v>5</v>
      </c>
      <c r="F1017" s="43" t="s">
        <v>616</v>
      </c>
      <c r="G1017" s="348">
        <f>G1018</f>
        <v>2</v>
      </c>
      <c r="H1017" s="348">
        <f>H1018</f>
        <v>2</v>
      </c>
      <c r="I1017" s="348">
        <f>I1018</f>
        <v>2</v>
      </c>
    </row>
    <row r="1018" spans="1:10" ht="20.25" customHeight="1">
      <c r="A1018" s="77" t="s">
        <v>617</v>
      </c>
      <c r="B1018" s="58" t="s">
        <v>200</v>
      </c>
      <c r="C1018" s="43" t="s">
        <v>102</v>
      </c>
      <c r="D1018" s="43" t="s">
        <v>622</v>
      </c>
      <c r="E1018" s="43" t="s">
        <v>5</v>
      </c>
      <c r="F1018" s="43" t="s">
        <v>618</v>
      </c>
      <c r="G1018" s="348">
        <f>'3'!F66</f>
        <v>2</v>
      </c>
      <c r="H1018" s="348">
        <f>'3'!G66</f>
        <v>2</v>
      </c>
      <c r="I1018" s="348">
        <f>'3'!H66</f>
        <v>2</v>
      </c>
    </row>
    <row r="1019" spans="1:10" ht="37.5" customHeight="1">
      <c r="A1019" s="211" t="s">
        <v>625</v>
      </c>
      <c r="B1019" s="225" t="s">
        <v>200</v>
      </c>
      <c r="C1019" s="212" t="s">
        <v>102</v>
      </c>
      <c r="D1019" s="212" t="s">
        <v>622</v>
      </c>
      <c r="E1019" s="212" t="s">
        <v>6</v>
      </c>
      <c r="F1019" s="212" t="s">
        <v>198</v>
      </c>
      <c r="G1019" s="213">
        <f>G1020</f>
        <v>2787.7</v>
      </c>
      <c r="H1019" s="213">
        <f t="shared" ref="G1019:I1020" si="264">H1020</f>
        <v>2847.2080000000001</v>
      </c>
      <c r="I1019" s="213">
        <f t="shared" si="264"/>
        <v>2961.096</v>
      </c>
    </row>
    <row r="1020" spans="1:10" ht="98.25" customHeight="1">
      <c r="A1020" s="77" t="s">
        <v>605</v>
      </c>
      <c r="B1020" s="58" t="s">
        <v>200</v>
      </c>
      <c r="C1020" s="43" t="s">
        <v>102</v>
      </c>
      <c r="D1020" s="43" t="s">
        <v>622</v>
      </c>
      <c r="E1020" s="43" t="s">
        <v>6</v>
      </c>
      <c r="F1020" s="43" t="s">
        <v>606</v>
      </c>
      <c r="G1020" s="348">
        <f t="shared" si="264"/>
        <v>2787.7</v>
      </c>
      <c r="H1020" s="348">
        <f t="shared" si="264"/>
        <v>2847.2080000000001</v>
      </c>
      <c r="I1020" s="348">
        <f t="shared" si="264"/>
        <v>2961.096</v>
      </c>
    </row>
    <row r="1021" spans="1:10" ht="51" customHeight="1">
      <c r="A1021" s="77" t="s">
        <v>607</v>
      </c>
      <c r="B1021" s="58" t="s">
        <v>200</v>
      </c>
      <c r="C1021" s="43" t="s">
        <v>102</v>
      </c>
      <c r="D1021" s="43" t="s">
        <v>622</v>
      </c>
      <c r="E1021" s="43" t="s">
        <v>6</v>
      </c>
      <c r="F1021" s="43" t="s">
        <v>608</v>
      </c>
      <c r="G1021" s="348">
        <f>'5'!D273</f>
        <v>2787.7</v>
      </c>
      <c r="H1021" s="348">
        <f>'5'!E273</f>
        <v>2847.2080000000001</v>
      </c>
      <c r="I1021" s="348">
        <f>'5'!F273</f>
        <v>2961.096</v>
      </c>
    </row>
    <row r="1022" spans="1:10" ht="15.75" customHeight="1">
      <c r="A1022" s="73" t="s">
        <v>514</v>
      </c>
      <c r="B1022" s="191"/>
      <c r="C1022" s="34"/>
      <c r="D1022" s="34"/>
      <c r="E1022" s="34"/>
      <c r="F1022" s="34"/>
      <c r="G1022" s="35">
        <v>0</v>
      </c>
      <c r="H1022" s="226">
        <f>'5'!E339</f>
        <v>10733.266275000002</v>
      </c>
      <c r="I1022" s="226">
        <f>'5'!F339</f>
        <v>22757.532550000004</v>
      </c>
    </row>
    <row r="1023" spans="1:10">
      <c r="A1023" s="227" t="s">
        <v>886</v>
      </c>
      <c r="B1023" s="228"/>
      <c r="C1023" s="228"/>
      <c r="D1023" s="228"/>
      <c r="E1023" s="228"/>
      <c r="F1023" s="228"/>
      <c r="G1023" s="52">
        <f>G1009+G739+G682+G663+G12</f>
        <v>1078241.3671951515</v>
      </c>
      <c r="H1023" s="52">
        <f>H12+H663+H682+H739+H1009+H1022</f>
        <v>938077.19989881059</v>
      </c>
      <c r="I1023" s="52">
        <f>I12+I663+I682+I739+I1009+I1022</f>
        <v>1000450.9043810467</v>
      </c>
    </row>
    <row r="1024" spans="1:10">
      <c r="E1024" s="90"/>
      <c r="G1024" s="89"/>
      <c r="H1024" s="90"/>
      <c r="I1024" s="90"/>
    </row>
    <row r="1025" spans="1:9">
      <c r="A1025" s="13"/>
      <c r="E1025" s="229"/>
      <c r="F1025" s="229"/>
      <c r="G1025" s="5"/>
      <c r="H1025" s="5"/>
      <c r="I1025" s="5"/>
    </row>
    <row r="1026" spans="1:9">
      <c r="A1026" s="13"/>
      <c r="E1026" s="22"/>
      <c r="F1026" s="230"/>
      <c r="G1026" s="90"/>
      <c r="H1026" s="90"/>
      <c r="I1026" s="90"/>
    </row>
    <row r="1027" spans="1:9">
      <c r="A1027" s="13"/>
      <c r="E1027" s="1"/>
      <c r="F1027" s="1"/>
      <c r="G1027" s="90"/>
      <c r="H1027" s="90"/>
      <c r="I1027" s="90"/>
    </row>
    <row r="1028" spans="1:9">
      <c r="A1028" s="13"/>
      <c r="E1028" s="231"/>
      <c r="F1028" s="231"/>
      <c r="G1028" s="89"/>
      <c r="H1028" s="89"/>
      <c r="I1028" s="89"/>
    </row>
    <row r="1029" spans="1:9">
      <c r="A1029" s="13"/>
      <c r="G1029" s="5"/>
      <c r="H1029" s="5"/>
      <c r="I1029" s="5"/>
    </row>
    <row r="1030" spans="1:9">
      <c r="A1030" s="13"/>
      <c r="G1030" s="90"/>
      <c r="H1030" s="90"/>
      <c r="I1030" s="90"/>
    </row>
    <row r="1031" spans="1:9">
      <c r="A1031" s="13"/>
      <c r="G1031" s="232"/>
      <c r="H1031" s="90"/>
      <c r="I1031" s="90"/>
    </row>
    <row r="1032" spans="1:9">
      <c r="A1032" s="13"/>
      <c r="G1032" s="90"/>
      <c r="H1032" s="90"/>
      <c r="I1032" s="90"/>
    </row>
    <row r="1033" spans="1:9">
      <c r="A1033" s="13"/>
      <c r="H1033" s="90"/>
      <c r="I1033" s="90"/>
    </row>
  </sheetData>
  <autoFilter ref="A10:I232"/>
  <mergeCells count="15">
    <mergeCell ref="H1:I1"/>
    <mergeCell ref="A2:I2"/>
    <mergeCell ref="A3:I3"/>
    <mergeCell ref="A4:I4"/>
    <mergeCell ref="A6:I6"/>
    <mergeCell ref="A7:I7"/>
    <mergeCell ref="G10:G11"/>
    <mergeCell ref="H10:H11"/>
    <mergeCell ref="I10:I11"/>
    <mergeCell ref="A10:A11"/>
    <mergeCell ref="B10:B11"/>
    <mergeCell ref="C10:C11"/>
    <mergeCell ref="D10:D11"/>
    <mergeCell ref="E10:E11"/>
    <mergeCell ref="F10:F11"/>
  </mergeCells>
  <phoneticPr fontId="14" type="noConversion"/>
  <pageMargins left="0.7" right="0.7" top="0.75" bottom="0.75" header="0.3" footer="0.3"/>
  <pageSetup paperSize="9" scale="66" fitToHeight="0" orientation="portrait" r:id="rId1"/>
  <rowBreaks count="5" manualBreakCount="5">
    <brk id="35" max="8" man="1"/>
    <brk id="309" max="8" man="1"/>
    <brk id="365" max="8" man="1"/>
    <brk id="386" max="8" man="1"/>
    <brk id="48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9"/>
  <sheetViews>
    <sheetView view="pageBreakPreview" topLeftCell="A185" zoomScale="85" zoomScaleSheetLayoutView="85" workbookViewId="0">
      <selection activeCell="B197" sqref="B197"/>
    </sheetView>
  </sheetViews>
  <sheetFormatPr defaultColWidth="8.7109375" defaultRowHeight="15.75"/>
  <cols>
    <col min="1" max="1" width="73.7109375" style="189" customWidth="1"/>
    <col min="2" max="2" width="14.42578125" style="24" customWidth="1"/>
    <col min="3" max="3" width="18.5703125" style="347" customWidth="1"/>
    <col min="4" max="4" width="19.28515625" style="235" customWidth="1"/>
    <col min="5" max="5" width="17.42578125" style="42" customWidth="1"/>
    <col min="6" max="6" width="17" style="42" customWidth="1"/>
    <col min="7" max="7" width="20.85546875" style="42" customWidth="1"/>
    <col min="8" max="8" width="17.85546875" style="24" customWidth="1"/>
    <col min="9" max="10" width="9.140625" style="24" customWidth="1"/>
    <col min="11" max="16384" width="8.7109375" style="24"/>
  </cols>
  <sheetData>
    <row r="1" spans="1:7">
      <c r="A1" s="405" t="s">
        <v>469</v>
      </c>
      <c r="B1" s="405"/>
      <c r="C1" s="405"/>
      <c r="D1" s="405"/>
      <c r="E1" s="405"/>
      <c r="F1" s="405"/>
      <c r="G1" s="377"/>
    </row>
    <row r="2" spans="1:7">
      <c r="A2" s="405" t="s">
        <v>195</v>
      </c>
      <c r="B2" s="405"/>
      <c r="C2" s="405"/>
      <c r="D2" s="405"/>
      <c r="E2" s="405"/>
      <c r="F2" s="405"/>
      <c r="G2" s="377"/>
    </row>
    <row r="3" spans="1:7">
      <c r="A3" s="405" t="s">
        <v>214</v>
      </c>
      <c r="B3" s="405"/>
      <c r="C3" s="405"/>
      <c r="D3" s="405"/>
      <c r="E3" s="405"/>
      <c r="F3" s="405"/>
      <c r="G3" s="377"/>
    </row>
    <row r="4" spans="1:7">
      <c r="A4" s="397" t="s">
        <v>1151</v>
      </c>
      <c r="B4" s="397"/>
      <c r="C4" s="397"/>
      <c r="D4" s="397"/>
      <c r="E4" s="397"/>
      <c r="F4" s="397"/>
      <c r="G4" s="373"/>
    </row>
    <row r="5" spans="1:7" ht="5.65" customHeight="1">
      <c r="A5" s="233"/>
      <c r="B5" s="234"/>
    </row>
    <row r="6" spans="1:7" ht="60.75" customHeight="1">
      <c r="A6" s="395" t="s">
        <v>1030</v>
      </c>
      <c r="B6" s="395"/>
      <c r="C6" s="395"/>
      <c r="D6" s="395"/>
      <c r="E6" s="395"/>
      <c r="F6" s="395"/>
      <c r="G6" s="374"/>
    </row>
    <row r="7" spans="1:7" ht="4.1500000000000004" customHeight="1">
      <c r="A7" s="340"/>
      <c r="B7" s="374"/>
      <c r="C7" s="346"/>
      <c r="D7" s="341"/>
      <c r="E7" s="342"/>
      <c r="F7" s="342"/>
      <c r="G7" s="342"/>
    </row>
    <row r="8" spans="1:7">
      <c r="A8" s="233"/>
      <c r="B8" s="236"/>
      <c r="C8" s="237"/>
      <c r="D8" s="238"/>
      <c r="E8" s="239"/>
      <c r="F8" s="239" t="s">
        <v>96</v>
      </c>
      <c r="G8" s="239"/>
    </row>
    <row r="9" spans="1:7" ht="39.75" customHeight="1">
      <c r="A9" s="376" t="s">
        <v>182</v>
      </c>
      <c r="B9" s="375" t="s">
        <v>157</v>
      </c>
      <c r="C9" s="345" t="s">
        <v>183</v>
      </c>
      <c r="D9" s="96" t="s">
        <v>503</v>
      </c>
      <c r="E9" s="52" t="s">
        <v>592</v>
      </c>
      <c r="F9" s="52" t="s">
        <v>1031</v>
      </c>
      <c r="G9" s="240"/>
    </row>
    <row r="10" spans="1:7" ht="16.149999999999999" customHeight="1">
      <c r="A10" s="376">
        <v>1</v>
      </c>
      <c r="B10" s="375">
        <v>2</v>
      </c>
      <c r="C10" s="345">
        <v>3</v>
      </c>
      <c r="D10" s="241">
        <v>4</v>
      </c>
      <c r="E10" s="242">
        <v>5</v>
      </c>
      <c r="F10" s="242">
        <v>6</v>
      </c>
      <c r="G10" s="243"/>
    </row>
    <row r="11" spans="1:7" s="49" customFormat="1" ht="19.149999999999999" customHeight="1">
      <c r="A11" s="406" t="s">
        <v>94</v>
      </c>
      <c r="B11" s="406"/>
      <c r="C11" s="406"/>
      <c r="D11" s="406"/>
    </row>
    <row r="12" spans="1:7" ht="35.25" customHeight="1">
      <c r="A12" s="244" t="s">
        <v>512</v>
      </c>
      <c r="B12" s="245" t="s">
        <v>198</v>
      </c>
      <c r="C12" s="245" t="s">
        <v>18</v>
      </c>
      <c r="D12" s="246">
        <f>D13+D56+D70+D73+D92+D97+D100+D103+D94+D110+D105</f>
        <v>772577.39339515148</v>
      </c>
      <c r="E12" s="246">
        <f t="shared" ref="E12:F12" si="0">E13+E56+E70+E73+E92+E97+E100+E103+E94+E110+E105</f>
        <v>684615.1329000002</v>
      </c>
      <c r="F12" s="246">
        <f t="shared" si="0"/>
        <v>719554.69090500008</v>
      </c>
      <c r="G12" s="247"/>
    </row>
    <row r="13" spans="1:7" s="40" customFormat="1" ht="30" customHeight="1">
      <c r="A13" s="248" t="s">
        <v>159</v>
      </c>
      <c r="B13" s="249" t="s">
        <v>201</v>
      </c>
      <c r="C13" s="249" t="s">
        <v>31</v>
      </c>
      <c r="D13" s="250">
        <f>D14+D17+D21+D24+D25+D28+D46+D49+D50+D51+D52+D53+D20+D26+D54+D40+D55</f>
        <v>466527.68082515144</v>
      </c>
      <c r="E13" s="250">
        <f t="shared" ref="E13:F13" si="1">E14+E17+E21+E24+E25+E28+E46+E49+E50+E51+E52+E53+E20+E26+E54+E37+E55</f>
        <v>437056.85900000005</v>
      </c>
      <c r="F13" s="250">
        <f t="shared" si="1"/>
        <v>464038.82853000006</v>
      </c>
      <c r="G13" s="251"/>
    </row>
    <row r="14" spans="1:7" s="40" customFormat="1" ht="32.25" customHeight="1">
      <c r="A14" s="81" t="s">
        <v>132</v>
      </c>
      <c r="B14" s="60" t="s">
        <v>201</v>
      </c>
      <c r="C14" s="60" t="s">
        <v>33</v>
      </c>
      <c r="D14" s="54">
        <f>D15+D16</f>
        <v>9445.7999999999993</v>
      </c>
      <c r="E14" s="54">
        <f t="shared" ref="E14:F14" si="2">E15+E16</f>
        <v>500</v>
      </c>
      <c r="F14" s="54">
        <f t="shared" si="2"/>
        <v>500</v>
      </c>
      <c r="G14" s="252"/>
    </row>
    <row r="15" spans="1:7" s="49" customFormat="1" ht="33" customHeight="1">
      <c r="A15" s="74" t="s">
        <v>1067</v>
      </c>
      <c r="B15" s="47" t="s">
        <v>201</v>
      </c>
      <c r="C15" s="58" t="s">
        <v>33</v>
      </c>
      <c r="D15" s="348">
        <f>500+6675+160.8+2110</f>
        <v>9445.7999999999993</v>
      </c>
      <c r="E15" s="38">
        <v>500</v>
      </c>
      <c r="F15" s="38">
        <v>500</v>
      </c>
      <c r="G15" s="253"/>
    </row>
    <row r="16" spans="1:7" s="49" customFormat="1" ht="34.15" hidden="1" customHeight="1">
      <c r="A16" s="254" t="s">
        <v>1068</v>
      </c>
      <c r="B16" s="255" t="s">
        <v>201</v>
      </c>
      <c r="C16" s="255" t="s">
        <v>33</v>
      </c>
      <c r="D16" s="264"/>
      <c r="E16" s="264">
        <v>0</v>
      </c>
      <c r="F16" s="264">
        <v>0</v>
      </c>
      <c r="G16" s="256"/>
    </row>
    <row r="17" spans="1:7" s="49" customFormat="1" ht="49.5" hidden="1" customHeight="1">
      <c r="A17" s="257" t="s">
        <v>295</v>
      </c>
      <c r="B17" s="258" t="s">
        <v>201</v>
      </c>
      <c r="C17" s="258" t="s">
        <v>296</v>
      </c>
      <c r="D17" s="343">
        <f>D18+D19</f>
        <v>0</v>
      </c>
      <c r="E17" s="343"/>
      <c r="F17" s="343"/>
      <c r="G17" s="259"/>
    </row>
    <row r="18" spans="1:7" s="49" customFormat="1" ht="62.25" hidden="1" customHeight="1">
      <c r="A18" s="254" t="s">
        <v>311</v>
      </c>
      <c r="B18" s="255" t="s">
        <v>201</v>
      </c>
      <c r="C18" s="255" t="s">
        <v>297</v>
      </c>
      <c r="D18" s="264"/>
      <c r="E18" s="264"/>
      <c r="F18" s="264"/>
      <c r="G18" s="256"/>
    </row>
    <row r="19" spans="1:7" s="49" customFormat="1" ht="51" hidden="1" customHeight="1">
      <c r="A19" s="254" t="s">
        <v>352</v>
      </c>
      <c r="B19" s="255" t="s">
        <v>201</v>
      </c>
      <c r="C19" s="255" t="s">
        <v>347</v>
      </c>
      <c r="D19" s="264"/>
      <c r="E19" s="264"/>
      <c r="F19" s="264"/>
      <c r="G19" s="256"/>
    </row>
    <row r="20" spans="1:7" s="49" customFormat="1" ht="32.25" customHeight="1">
      <c r="A20" s="77" t="s">
        <v>1069</v>
      </c>
      <c r="B20" s="58" t="s">
        <v>201</v>
      </c>
      <c r="C20" s="58" t="s">
        <v>399</v>
      </c>
      <c r="D20" s="348">
        <v>1122</v>
      </c>
      <c r="E20" s="348">
        <v>0</v>
      </c>
      <c r="F20" s="348">
        <v>0</v>
      </c>
      <c r="G20" s="186"/>
    </row>
    <row r="21" spans="1:7" s="49" customFormat="1" ht="43.5" hidden="1" customHeight="1">
      <c r="A21" s="260" t="s">
        <v>337</v>
      </c>
      <c r="B21" s="255"/>
      <c r="C21" s="261"/>
      <c r="D21" s="262">
        <f>D22+D23</f>
        <v>0</v>
      </c>
      <c r="E21" s="262">
        <f>E22+E23</f>
        <v>0</v>
      </c>
      <c r="F21" s="262">
        <f>F22+F23</f>
        <v>0</v>
      </c>
      <c r="G21" s="263"/>
    </row>
    <row r="22" spans="1:7" s="49" customFormat="1" ht="46.9" hidden="1" customHeight="1">
      <c r="A22" s="254" t="s">
        <v>338</v>
      </c>
      <c r="B22" s="255" t="s">
        <v>422</v>
      </c>
      <c r="C22" s="255" t="s">
        <v>346</v>
      </c>
      <c r="D22" s="264"/>
      <c r="E22" s="264"/>
      <c r="F22" s="264"/>
      <c r="G22" s="256"/>
    </row>
    <row r="23" spans="1:7" s="49" customFormat="1" ht="55.9" hidden="1" customHeight="1">
      <c r="A23" s="254" t="s">
        <v>339</v>
      </c>
      <c r="B23" s="255" t="s">
        <v>111</v>
      </c>
      <c r="C23" s="255" t="s">
        <v>529</v>
      </c>
      <c r="D23" s="264"/>
      <c r="E23" s="264">
        <v>0</v>
      </c>
      <c r="F23" s="264">
        <v>0</v>
      </c>
      <c r="G23" s="256"/>
    </row>
    <row r="24" spans="1:7" s="265" customFormat="1" ht="71.25" hidden="1" customHeight="1">
      <c r="A24" s="254" t="s">
        <v>339</v>
      </c>
      <c r="B24" s="255" t="s">
        <v>111</v>
      </c>
      <c r="C24" s="255" t="s">
        <v>347</v>
      </c>
      <c r="D24" s="264"/>
      <c r="E24" s="264"/>
      <c r="F24" s="264"/>
      <c r="G24" s="256"/>
    </row>
    <row r="25" spans="1:7" s="49" customFormat="1" ht="33" hidden="1" customHeight="1">
      <c r="A25" s="260" t="s">
        <v>446</v>
      </c>
      <c r="B25" s="261" t="s">
        <v>201</v>
      </c>
      <c r="C25" s="261"/>
      <c r="D25" s="262">
        <f>D26+D27</f>
        <v>0</v>
      </c>
      <c r="E25" s="262">
        <f>E26+E27</f>
        <v>0</v>
      </c>
      <c r="F25" s="262">
        <f>F26+F27</f>
        <v>0</v>
      </c>
      <c r="G25" s="263"/>
    </row>
    <row r="26" spans="1:7" s="49" customFormat="1" ht="30" hidden="1" customHeight="1">
      <c r="A26" s="254" t="s">
        <v>438</v>
      </c>
      <c r="B26" s="255" t="s">
        <v>201</v>
      </c>
      <c r="C26" s="255" t="s">
        <v>439</v>
      </c>
      <c r="D26" s="264"/>
      <c r="E26" s="264"/>
      <c r="F26" s="264"/>
      <c r="G26" s="256"/>
    </row>
    <row r="27" spans="1:7" s="49" customFormat="1" ht="45.75" hidden="1" customHeight="1">
      <c r="A27" s="254" t="s">
        <v>388</v>
      </c>
      <c r="B27" s="255" t="s">
        <v>201</v>
      </c>
      <c r="C27" s="255" t="s">
        <v>530</v>
      </c>
      <c r="D27" s="264"/>
      <c r="E27" s="264">
        <v>0</v>
      </c>
      <c r="F27" s="264">
        <v>0</v>
      </c>
      <c r="G27" s="256"/>
    </row>
    <row r="28" spans="1:7" s="266" customFormat="1" ht="32.450000000000003" hidden="1" customHeight="1">
      <c r="A28" s="81" t="s">
        <v>490</v>
      </c>
      <c r="B28" s="60" t="s">
        <v>201</v>
      </c>
      <c r="C28" s="60"/>
      <c r="D28" s="96">
        <f>D29+D31+D34</f>
        <v>0</v>
      </c>
      <c r="E28" s="96">
        <f>E29+E30</f>
        <v>0</v>
      </c>
      <c r="F28" s="96">
        <f>F29+F30</f>
        <v>0</v>
      </c>
      <c r="G28" s="263"/>
    </row>
    <row r="29" spans="1:7" s="266" customFormat="1" ht="45.6" hidden="1" customHeight="1">
      <c r="A29" s="77" t="s">
        <v>491</v>
      </c>
      <c r="B29" s="58" t="s">
        <v>201</v>
      </c>
      <c r="C29" s="58" t="s">
        <v>542</v>
      </c>
      <c r="D29" s="348">
        <f>5940-5940</f>
        <v>0</v>
      </c>
      <c r="E29" s="348">
        <v>0</v>
      </c>
      <c r="F29" s="348">
        <v>0</v>
      </c>
      <c r="G29" s="256"/>
    </row>
    <row r="30" spans="1:7" s="266" customFormat="1" ht="54" hidden="1" customHeight="1">
      <c r="A30" s="77" t="s">
        <v>493</v>
      </c>
      <c r="B30" s="58" t="s">
        <v>201</v>
      </c>
      <c r="C30" s="58" t="s">
        <v>543</v>
      </c>
      <c r="D30" s="348"/>
      <c r="E30" s="348">
        <v>0</v>
      </c>
      <c r="F30" s="348">
        <v>0</v>
      </c>
      <c r="G30" s="256"/>
    </row>
    <row r="31" spans="1:7" s="270" customFormat="1" ht="52.5" hidden="1" customHeight="1">
      <c r="A31" s="153" t="s">
        <v>937</v>
      </c>
      <c r="B31" s="198" t="s">
        <v>201</v>
      </c>
      <c r="C31" s="198"/>
      <c r="D31" s="54">
        <f>D32+D33</f>
        <v>0</v>
      </c>
      <c r="E31" s="54">
        <f t="shared" ref="E31:F31" si="3">E32+E33</f>
        <v>0</v>
      </c>
      <c r="F31" s="54">
        <f t="shared" si="3"/>
        <v>0</v>
      </c>
      <c r="G31" s="269"/>
    </row>
    <row r="32" spans="1:7" s="266" customFormat="1" ht="68.25" hidden="1" customHeight="1">
      <c r="A32" s="77" t="s">
        <v>1098</v>
      </c>
      <c r="B32" s="58" t="s">
        <v>201</v>
      </c>
      <c r="C32" s="58" t="s">
        <v>1106</v>
      </c>
      <c r="D32" s="348">
        <v>0</v>
      </c>
      <c r="E32" s="348">
        <f>'2  '!E60</f>
        <v>0</v>
      </c>
      <c r="F32" s="348">
        <f>'2  '!F60</f>
        <v>0</v>
      </c>
      <c r="G32" s="256"/>
    </row>
    <row r="33" spans="1:7" s="266" customFormat="1" ht="70.5" hidden="1" customHeight="1">
      <c r="A33" s="77" t="s">
        <v>1099</v>
      </c>
      <c r="B33" s="58" t="s">
        <v>201</v>
      </c>
      <c r="C33" s="58" t="s">
        <v>1106</v>
      </c>
      <c r="D33" s="348">
        <v>0</v>
      </c>
      <c r="E33" s="348">
        <f t="shared" ref="E33:F33" si="4">E32/99</f>
        <v>0</v>
      </c>
      <c r="F33" s="348">
        <f t="shared" si="4"/>
        <v>0</v>
      </c>
      <c r="G33" s="256"/>
    </row>
    <row r="34" spans="1:7" s="270" customFormat="1" ht="38.25" hidden="1" customHeight="1">
      <c r="A34" s="153" t="s">
        <v>938</v>
      </c>
      <c r="B34" s="198" t="s">
        <v>201</v>
      </c>
      <c r="C34" s="361"/>
      <c r="D34" s="54">
        <f>D35+D36</f>
        <v>0</v>
      </c>
      <c r="E34" s="54">
        <f t="shared" ref="E34:F34" si="5">E35+E36</f>
        <v>0</v>
      </c>
      <c r="F34" s="54">
        <f t="shared" si="5"/>
        <v>0</v>
      </c>
      <c r="G34" s="269"/>
    </row>
    <row r="35" spans="1:7" s="266" customFormat="1" ht="47.25" hidden="1" customHeight="1">
      <c r="A35" s="77" t="s">
        <v>973</v>
      </c>
      <c r="B35" s="58" t="s">
        <v>201</v>
      </c>
      <c r="C35" s="58" t="s">
        <v>939</v>
      </c>
      <c r="D35" s="348"/>
      <c r="E35" s="348">
        <v>0</v>
      </c>
      <c r="F35" s="348">
        <v>0</v>
      </c>
      <c r="G35" s="256"/>
    </row>
    <row r="36" spans="1:7" s="266" customFormat="1" ht="47.25" hidden="1" customHeight="1">
      <c r="A36" s="77" t="s">
        <v>972</v>
      </c>
      <c r="B36" s="58" t="s">
        <v>201</v>
      </c>
      <c r="C36" s="58" t="s">
        <v>939</v>
      </c>
      <c r="D36" s="348">
        <f>D35/99</f>
        <v>0</v>
      </c>
      <c r="E36" s="348">
        <f t="shared" ref="E36:F36" si="6">E35/99</f>
        <v>0</v>
      </c>
      <c r="F36" s="348">
        <f t="shared" si="6"/>
        <v>0</v>
      </c>
      <c r="G36" s="256"/>
    </row>
    <row r="37" spans="1:7" s="266" customFormat="1" ht="39" hidden="1" customHeight="1">
      <c r="A37" s="81" t="s">
        <v>929</v>
      </c>
      <c r="B37" s="60" t="s">
        <v>201</v>
      </c>
      <c r="C37" s="371" t="s">
        <v>1105</v>
      </c>
      <c r="D37" s="96"/>
      <c r="E37" s="96"/>
      <c r="F37" s="96"/>
      <c r="G37" s="263"/>
    </row>
    <row r="38" spans="1:7" s="266" customFormat="1" ht="53.25" hidden="1" customHeight="1">
      <c r="A38" s="362" t="s">
        <v>931</v>
      </c>
      <c r="B38" s="58" t="s">
        <v>201</v>
      </c>
      <c r="C38" s="58" t="s">
        <v>933</v>
      </c>
      <c r="D38" s="363"/>
      <c r="E38" s="348">
        <v>0</v>
      </c>
      <c r="F38" s="348">
        <v>0</v>
      </c>
      <c r="G38" s="256"/>
    </row>
    <row r="39" spans="1:7" s="266" customFormat="1" ht="58.5" hidden="1" customHeight="1">
      <c r="A39" s="77" t="s">
        <v>932</v>
      </c>
      <c r="B39" s="58" t="s">
        <v>201</v>
      </c>
      <c r="C39" s="371" t="s">
        <v>930</v>
      </c>
      <c r="D39" s="363"/>
      <c r="E39" s="363">
        <f t="shared" ref="E39:F39" si="7">E38/99</f>
        <v>0</v>
      </c>
      <c r="F39" s="363">
        <f t="shared" si="7"/>
        <v>0</v>
      </c>
      <c r="G39" s="256"/>
    </row>
    <row r="40" spans="1:7" s="270" customFormat="1" ht="55.5" customHeight="1">
      <c r="A40" s="81" t="s">
        <v>977</v>
      </c>
      <c r="B40" s="58" t="s">
        <v>201</v>
      </c>
      <c r="C40" s="378" t="s">
        <v>1105</v>
      </c>
      <c r="D40" s="379">
        <f>D41+D42</f>
        <v>1515.1515151515152</v>
      </c>
      <c r="E40" s="379">
        <f t="shared" ref="E40:F40" si="8">E41+E42</f>
        <v>0</v>
      </c>
      <c r="F40" s="379">
        <f t="shared" si="8"/>
        <v>0</v>
      </c>
      <c r="G40" s="269"/>
    </row>
    <row r="41" spans="1:7" s="266" customFormat="1" ht="58.5" customHeight="1">
      <c r="A41" s="77" t="s">
        <v>1101</v>
      </c>
      <c r="B41" s="58" t="s">
        <v>201</v>
      </c>
      <c r="C41" s="371" t="s">
        <v>1105</v>
      </c>
      <c r="D41" s="363">
        <f>'2  '!D61</f>
        <v>1500</v>
      </c>
      <c r="E41" s="363">
        <f>'2  '!E61</f>
        <v>0</v>
      </c>
      <c r="F41" s="363">
        <f>'2  '!F61</f>
        <v>0</v>
      </c>
      <c r="G41" s="256"/>
    </row>
    <row r="42" spans="1:7" s="266" customFormat="1" ht="58.5" customHeight="1">
      <c r="A42" s="77" t="s">
        <v>1102</v>
      </c>
      <c r="B42" s="58" t="s">
        <v>201</v>
      </c>
      <c r="C42" s="371" t="s">
        <v>1105</v>
      </c>
      <c r="D42" s="363">
        <f>D41/99</f>
        <v>15.151515151515152</v>
      </c>
      <c r="E42" s="363">
        <f t="shared" ref="E42:F42" si="9">E41/99</f>
        <v>0</v>
      </c>
      <c r="F42" s="363">
        <f t="shared" si="9"/>
        <v>0</v>
      </c>
      <c r="G42" s="256"/>
    </row>
    <row r="43" spans="1:7" s="270" customFormat="1" ht="51.6" hidden="1" customHeight="1">
      <c r="A43" s="267" t="s">
        <v>978</v>
      </c>
      <c r="B43" s="268" t="s">
        <v>201</v>
      </c>
      <c r="C43" s="364"/>
      <c r="D43" s="272">
        <f>D44+D45</f>
        <v>0</v>
      </c>
      <c r="E43" s="272">
        <f t="shared" ref="E43:F43" si="10">E44+E45</f>
        <v>0</v>
      </c>
      <c r="F43" s="272">
        <f t="shared" si="10"/>
        <v>0</v>
      </c>
      <c r="G43" s="269"/>
    </row>
    <row r="44" spans="1:7" s="266" customFormat="1" ht="48" hidden="1" customHeight="1">
      <c r="A44" s="254" t="s">
        <v>979</v>
      </c>
      <c r="B44" s="255" t="s">
        <v>201</v>
      </c>
      <c r="C44" s="371" t="s">
        <v>940</v>
      </c>
      <c r="D44" s="271"/>
      <c r="E44" s="264">
        <v>0</v>
      </c>
      <c r="F44" s="264">
        <v>0</v>
      </c>
      <c r="G44" s="256"/>
    </row>
    <row r="45" spans="1:7" s="266" customFormat="1" ht="51.75" hidden="1" customHeight="1">
      <c r="A45" s="254" t="s">
        <v>980</v>
      </c>
      <c r="B45" s="255" t="s">
        <v>201</v>
      </c>
      <c r="C45" s="371" t="s">
        <v>940</v>
      </c>
      <c r="D45" s="271">
        <f>D44/99</f>
        <v>0</v>
      </c>
      <c r="E45" s="271">
        <f t="shared" ref="E45:F45" si="11">E44/99</f>
        <v>0</v>
      </c>
      <c r="F45" s="271">
        <f t="shared" si="11"/>
        <v>0</v>
      </c>
      <c r="G45" s="256"/>
    </row>
    <row r="46" spans="1:7" ht="67.5" customHeight="1">
      <c r="A46" s="376" t="s">
        <v>499</v>
      </c>
      <c r="B46" s="208" t="s">
        <v>201</v>
      </c>
      <c r="C46" s="273" t="s">
        <v>34</v>
      </c>
      <c r="D46" s="96">
        <f>D47+D48</f>
        <v>143018.5</v>
      </c>
      <c r="E46" s="96">
        <f t="shared" ref="E46:F46" si="12">E47+E48</f>
        <v>96395</v>
      </c>
      <c r="F46" s="96">
        <f t="shared" si="12"/>
        <v>100445</v>
      </c>
      <c r="G46" s="274"/>
    </row>
    <row r="47" spans="1:7" ht="69.75" customHeight="1">
      <c r="A47" s="77" t="s">
        <v>1070</v>
      </c>
      <c r="B47" s="58" t="s">
        <v>201</v>
      </c>
      <c r="C47" s="58" t="s">
        <v>34</v>
      </c>
      <c r="D47" s="348">
        <f>143490.5-472</f>
        <v>143018.5</v>
      </c>
      <c r="E47" s="348">
        <f>81629+15000-234</f>
        <v>96395</v>
      </c>
      <c r="F47" s="348">
        <f>82445+18000</f>
        <v>100445</v>
      </c>
      <c r="G47" s="186"/>
    </row>
    <row r="48" spans="1:7" ht="48.75" hidden="1" customHeight="1">
      <c r="A48" s="116" t="s">
        <v>1071</v>
      </c>
      <c r="B48" s="275" t="s">
        <v>201</v>
      </c>
      <c r="C48" s="275" t="s">
        <v>34</v>
      </c>
      <c r="D48" s="118"/>
      <c r="E48" s="118">
        <v>0</v>
      </c>
      <c r="F48" s="118">
        <v>0</v>
      </c>
      <c r="G48" s="276"/>
    </row>
    <row r="49" spans="1:7" ht="68.25" customHeight="1">
      <c r="A49" s="77" t="s">
        <v>83</v>
      </c>
      <c r="B49" s="58" t="s">
        <v>201</v>
      </c>
      <c r="C49" s="58" t="s">
        <v>43</v>
      </c>
      <c r="D49" s="348">
        <f>'2  '!D76</f>
        <v>273458.663</v>
      </c>
      <c r="E49" s="348">
        <f>'2  '!E76</f>
        <v>302704.51300000004</v>
      </c>
      <c r="F49" s="348">
        <f>'2  '!F76</f>
        <v>325378.54400000005</v>
      </c>
      <c r="G49" s="186"/>
    </row>
    <row r="50" spans="1:7" ht="35.25" customHeight="1">
      <c r="A50" s="77" t="s">
        <v>312</v>
      </c>
      <c r="B50" s="58" t="s">
        <v>201</v>
      </c>
      <c r="C50" s="58" t="s">
        <v>298</v>
      </c>
      <c r="D50" s="348">
        <v>300</v>
      </c>
      <c r="E50" s="348">
        <v>300</v>
      </c>
      <c r="F50" s="348">
        <v>300</v>
      </c>
      <c r="G50" s="186"/>
    </row>
    <row r="51" spans="1:7" ht="68.25" customHeight="1">
      <c r="A51" s="77" t="s">
        <v>305</v>
      </c>
      <c r="B51" s="58" t="s">
        <v>201</v>
      </c>
      <c r="C51" s="58" t="s">
        <v>1086</v>
      </c>
      <c r="D51" s="348">
        <f>'2  '!D74</f>
        <v>530</v>
      </c>
      <c r="E51" s="348">
        <f>'2  '!E74</f>
        <v>0</v>
      </c>
      <c r="F51" s="348">
        <f>'2  '!F74</f>
        <v>0</v>
      </c>
      <c r="G51" s="186"/>
    </row>
    <row r="52" spans="1:7" ht="49.5" hidden="1" customHeight="1">
      <c r="A52" s="116"/>
      <c r="B52" s="275"/>
      <c r="C52" s="275"/>
      <c r="D52" s="118"/>
      <c r="E52" s="118"/>
      <c r="F52" s="118"/>
      <c r="G52" s="276"/>
    </row>
    <row r="53" spans="1:7" ht="67.5" customHeight="1">
      <c r="A53" s="77" t="s">
        <v>377</v>
      </c>
      <c r="B53" s="58" t="s">
        <v>201</v>
      </c>
      <c r="C53" s="58" t="s">
        <v>1087</v>
      </c>
      <c r="D53" s="348">
        <f>'2  '!D100</f>
        <v>35334</v>
      </c>
      <c r="E53" s="348">
        <f>'2  '!E100</f>
        <v>35334</v>
      </c>
      <c r="F53" s="348">
        <f>'2  '!F100</f>
        <v>35568</v>
      </c>
      <c r="G53" s="186"/>
    </row>
    <row r="54" spans="1:7" ht="69.75" customHeight="1">
      <c r="A54" s="77" t="s">
        <v>546</v>
      </c>
      <c r="B54" s="58" t="s">
        <v>201</v>
      </c>
      <c r="C54" s="58" t="s">
        <v>1088</v>
      </c>
      <c r="D54" s="4">
        <f>'2  '!D99</f>
        <v>1303.5983099999999</v>
      </c>
      <c r="E54" s="4">
        <f>'2  '!E99</f>
        <v>1323.3780000000006</v>
      </c>
      <c r="F54" s="4">
        <f>'2  '!F99</f>
        <v>1347.3165300000005</v>
      </c>
      <c r="G54" s="277"/>
    </row>
    <row r="55" spans="1:7" ht="114" customHeight="1">
      <c r="A55" s="77" t="s">
        <v>1057</v>
      </c>
      <c r="B55" s="58" t="s">
        <v>201</v>
      </c>
      <c r="C55" s="58" t="s">
        <v>1089</v>
      </c>
      <c r="D55" s="4">
        <f>'2  '!D102</f>
        <v>499.96800000000002</v>
      </c>
      <c r="E55" s="4">
        <f>'2  '!E102</f>
        <v>499.96800000000002</v>
      </c>
      <c r="F55" s="4">
        <f>'2  '!F102</f>
        <v>499.96800000000002</v>
      </c>
      <c r="G55" s="277"/>
    </row>
    <row r="56" spans="1:7" s="40" customFormat="1" ht="33" customHeight="1">
      <c r="A56" s="248" t="s">
        <v>160</v>
      </c>
      <c r="B56" s="249" t="s">
        <v>201</v>
      </c>
      <c r="C56" s="249" t="s">
        <v>27</v>
      </c>
      <c r="D56" s="250">
        <f>D57+D60+D65+D68+D69+D62</f>
        <v>116968.10820000002</v>
      </c>
      <c r="E56" s="250">
        <f t="shared" ref="E56:F56" si="13">E57+E60+E65+E68+E69+E61</f>
        <v>106470.697</v>
      </c>
      <c r="F56" s="250">
        <f t="shared" si="13"/>
        <v>113496.94900000001</v>
      </c>
      <c r="G56" s="251"/>
    </row>
    <row r="57" spans="1:7" s="40" customFormat="1" ht="33" customHeight="1">
      <c r="A57" s="376" t="s">
        <v>161</v>
      </c>
      <c r="B57" s="198" t="s">
        <v>201</v>
      </c>
      <c r="C57" s="58" t="s">
        <v>28</v>
      </c>
      <c r="D57" s="54">
        <f>D58+D59</f>
        <v>250</v>
      </c>
      <c r="E57" s="54">
        <f>E58+E59</f>
        <v>200</v>
      </c>
      <c r="F57" s="54">
        <f>F58+F59</f>
        <v>200</v>
      </c>
      <c r="G57" s="252"/>
    </row>
    <row r="58" spans="1:7" s="40" customFormat="1" ht="33" customHeight="1">
      <c r="A58" s="77" t="s">
        <v>1072</v>
      </c>
      <c r="B58" s="61" t="s">
        <v>201</v>
      </c>
      <c r="C58" s="58" t="s">
        <v>28</v>
      </c>
      <c r="D58" s="348">
        <v>250</v>
      </c>
      <c r="E58" s="348">
        <v>200</v>
      </c>
      <c r="F58" s="348">
        <v>200</v>
      </c>
      <c r="G58" s="186"/>
    </row>
    <row r="59" spans="1:7" ht="30.6" hidden="1" customHeight="1">
      <c r="A59" s="116" t="s">
        <v>1073</v>
      </c>
      <c r="B59" s="275" t="s">
        <v>201</v>
      </c>
      <c r="C59" s="275" t="s">
        <v>28</v>
      </c>
      <c r="D59" s="118"/>
      <c r="E59" s="118"/>
      <c r="F59" s="118"/>
      <c r="G59" s="276"/>
    </row>
    <row r="60" spans="1:7" ht="33.6" customHeight="1">
      <c r="A60" s="77" t="s">
        <v>1074</v>
      </c>
      <c r="B60" s="58" t="s">
        <v>201</v>
      </c>
      <c r="C60" s="58" t="s">
        <v>400</v>
      </c>
      <c r="D60" s="348">
        <v>238</v>
      </c>
      <c r="E60" s="348">
        <v>0</v>
      </c>
      <c r="F60" s="348">
        <v>0</v>
      </c>
      <c r="G60" s="186"/>
    </row>
    <row r="61" spans="1:7" ht="33.6" hidden="1" customHeight="1">
      <c r="A61" s="81" t="s">
        <v>490</v>
      </c>
      <c r="B61" s="60" t="s">
        <v>201</v>
      </c>
      <c r="C61" s="58" t="s">
        <v>1147</v>
      </c>
      <c r="D61" s="96"/>
      <c r="E61" s="96"/>
      <c r="F61" s="96"/>
      <c r="G61" s="186"/>
    </row>
    <row r="62" spans="1:7" ht="53.25" customHeight="1">
      <c r="A62" s="81" t="s">
        <v>1148</v>
      </c>
      <c r="B62" s="60" t="s">
        <v>201</v>
      </c>
      <c r="C62" s="58" t="s">
        <v>1147</v>
      </c>
      <c r="D62" s="96">
        <f>D63+D64</f>
        <v>3000</v>
      </c>
      <c r="E62" s="96">
        <f t="shared" ref="E62:F62" si="14">E63+E64</f>
        <v>0</v>
      </c>
      <c r="F62" s="96">
        <f t="shared" si="14"/>
        <v>0</v>
      </c>
      <c r="G62" s="186"/>
    </row>
    <row r="63" spans="1:7" ht="66.75" customHeight="1">
      <c r="A63" s="77" t="s">
        <v>1098</v>
      </c>
      <c r="B63" s="58" t="s">
        <v>201</v>
      </c>
      <c r="C63" s="58" t="s">
        <v>1147</v>
      </c>
      <c r="D63" s="348">
        <v>2970</v>
      </c>
      <c r="E63" s="348">
        <v>0</v>
      </c>
      <c r="F63" s="348">
        <v>0</v>
      </c>
      <c r="G63" s="186"/>
    </row>
    <row r="64" spans="1:7" ht="70.5" customHeight="1">
      <c r="A64" s="77" t="s">
        <v>1099</v>
      </c>
      <c r="B64" s="58" t="s">
        <v>201</v>
      </c>
      <c r="C64" s="58" t="s">
        <v>1147</v>
      </c>
      <c r="D64" s="348">
        <f>D63/99</f>
        <v>30</v>
      </c>
      <c r="E64" s="348">
        <f t="shared" ref="E64:F64" si="15">E63/99</f>
        <v>0</v>
      </c>
      <c r="F64" s="348">
        <f t="shared" si="15"/>
        <v>0</v>
      </c>
      <c r="G64" s="186"/>
    </row>
    <row r="65" spans="1:7" ht="66" customHeight="1">
      <c r="A65" s="376" t="s">
        <v>500</v>
      </c>
      <c r="B65" s="208" t="s">
        <v>201</v>
      </c>
      <c r="C65" s="60" t="s">
        <v>29</v>
      </c>
      <c r="D65" s="96">
        <f>D66+D67</f>
        <v>54877.353199999998</v>
      </c>
      <c r="E65" s="96">
        <f t="shared" ref="E65:F65" si="16">E66+E67</f>
        <v>41929</v>
      </c>
      <c r="F65" s="96">
        <f t="shared" si="16"/>
        <v>44429</v>
      </c>
      <c r="G65" s="274"/>
    </row>
    <row r="66" spans="1:7" ht="68.25" customHeight="1">
      <c r="A66" s="77" t="s">
        <v>1075</v>
      </c>
      <c r="B66" s="58" t="s">
        <v>201</v>
      </c>
      <c r="C66" s="58" t="s">
        <v>29</v>
      </c>
      <c r="D66" s="348">
        <f>58091.3532-3214</f>
        <v>54877.353199999998</v>
      </c>
      <c r="E66" s="348">
        <f>27167+15000-238</f>
        <v>41929</v>
      </c>
      <c r="F66" s="348">
        <f>27439+17000-10</f>
        <v>44429</v>
      </c>
      <c r="G66" s="186"/>
    </row>
    <row r="67" spans="1:7" ht="68.25" hidden="1" customHeight="1">
      <c r="A67" s="116" t="s">
        <v>1076</v>
      </c>
      <c r="B67" s="275" t="s">
        <v>201</v>
      </c>
      <c r="C67" s="275" t="s">
        <v>29</v>
      </c>
      <c r="D67" s="118"/>
      <c r="E67" s="118">
        <v>0</v>
      </c>
      <c r="F67" s="118">
        <v>0</v>
      </c>
      <c r="G67" s="276"/>
    </row>
    <row r="68" spans="1:7" ht="53.25" customHeight="1">
      <c r="A68" s="77" t="s">
        <v>84</v>
      </c>
      <c r="B68" s="58" t="s">
        <v>201</v>
      </c>
      <c r="C68" s="58" t="s">
        <v>30</v>
      </c>
      <c r="D68" s="348">
        <f>'2  '!D75</f>
        <v>52741.666000000005</v>
      </c>
      <c r="E68" s="348">
        <f>'2  '!E75</f>
        <v>58247.013999999996</v>
      </c>
      <c r="F68" s="348">
        <f>'2  '!F75</f>
        <v>62529.054000000004</v>
      </c>
      <c r="G68" s="186"/>
    </row>
    <row r="69" spans="1:7" ht="68.25" customHeight="1">
      <c r="A69" s="77" t="s">
        <v>85</v>
      </c>
      <c r="B69" s="58" t="s">
        <v>201</v>
      </c>
      <c r="C69" s="58" t="s">
        <v>66</v>
      </c>
      <c r="D69" s="348">
        <f>'2  '!D87</f>
        <v>5861.0889999999999</v>
      </c>
      <c r="E69" s="348">
        <f>'2  '!E87</f>
        <v>6094.683</v>
      </c>
      <c r="F69" s="348">
        <f>'2  '!F87</f>
        <v>6338.8950000000004</v>
      </c>
      <c r="G69" s="186"/>
    </row>
    <row r="70" spans="1:7" s="40" customFormat="1" ht="16.5" customHeight="1">
      <c r="A70" s="248" t="s">
        <v>162</v>
      </c>
      <c r="B70" s="249" t="s">
        <v>201</v>
      </c>
      <c r="C70" s="249" t="s">
        <v>35</v>
      </c>
      <c r="D70" s="250">
        <f>D71+D72</f>
        <v>6071</v>
      </c>
      <c r="E70" s="250">
        <f t="shared" ref="E70:F70" si="17">E71+E72</f>
        <v>1800</v>
      </c>
      <c r="F70" s="250">
        <f t="shared" si="17"/>
        <v>1800</v>
      </c>
      <c r="G70" s="251"/>
    </row>
    <row r="71" spans="1:7" ht="30" customHeight="1">
      <c r="A71" s="74" t="s">
        <v>134</v>
      </c>
      <c r="B71" s="47" t="s">
        <v>201</v>
      </c>
      <c r="C71" s="58" t="s">
        <v>36</v>
      </c>
      <c r="D71" s="348">
        <v>250</v>
      </c>
      <c r="E71" s="348">
        <v>300</v>
      </c>
      <c r="F71" s="348">
        <v>300</v>
      </c>
      <c r="G71" s="186"/>
    </row>
    <row r="72" spans="1:7" ht="19.149999999999999" customHeight="1">
      <c r="A72" s="74" t="s">
        <v>133</v>
      </c>
      <c r="B72" s="47" t="s">
        <v>201</v>
      </c>
      <c r="C72" s="58" t="s">
        <v>37</v>
      </c>
      <c r="D72" s="348">
        <f>1500+4321</f>
        <v>5821</v>
      </c>
      <c r="E72" s="348">
        <v>1500</v>
      </c>
      <c r="F72" s="348">
        <v>1500</v>
      </c>
      <c r="G72" s="186"/>
    </row>
    <row r="73" spans="1:7" s="40" customFormat="1" ht="17.25" customHeight="1">
      <c r="A73" s="248" t="s">
        <v>163</v>
      </c>
      <c r="B73" s="249" t="s">
        <v>201</v>
      </c>
      <c r="C73" s="249" t="s">
        <v>38</v>
      </c>
      <c r="D73" s="250">
        <f>D74+D78+D79+D80+D86+D88+D87+D83+D89</f>
        <v>79552.429510000002</v>
      </c>
      <c r="E73" s="250">
        <f t="shared" ref="E73:F73" si="18">E74+E78+E79+E80+E86+E88+E87+E83+E89</f>
        <v>41187.385170000009</v>
      </c>
      <c r="F73" s="250">
        <f t="shared" si="18"/>
        <v>39531.399935000009</v>
      </c>
      <c r="G73" s="251"/>
    </row>
    <row r="74" spans="1:7" s="40" customFormat="1" ht="33" customHeight="1">
      <c r="A74" s="78" t="s">
        <v>567</v>
      </c>
      <c r="B74" s="198" t="s">
        <v>201</v>
      </c>
      <c r="C74" s="198" t="s">
        <v>412</v>
      </c>
      <c r="D74" s="41">
        <f>D75+D76+D77</f>
        <v>35</v>
      </c>
      <c r="E74" s="41">
        <f t="shared" ref="E74:F74" si="19">E75+E76+E77</f>
        <v>0</v>
      </c>
      <c r="F74" s="41">
        <f t="shared" si="19"/>
        <v>0</v>
      </c>
      <c r="G74" s="278"/>
    </row>
    <row r="75" spans="1:7" ht="31.5" hidden="1" customHeight="1">
      <c r="A75" s="116" t="s">
        <v>1077</v>
      </c>
      <c r="B75" s="275" t="s">
        <v>111</v>
      </c>
      <c r="C75" s="275" t="s">
        <v>412</v>
      </c>
      <c r="D75" s="118"/>
      <c r="E75" s="118">
        <v>0</v>
      </c>
      <c r="F75" s="118">
        <v>0</v>
      </c>
      <c r="G75" s="276"/>
    </row>
    <row r="76" spans="1:7" ht="38.25" customHeight="1">
      <c r="A76" s="74" t="s">
        <v>1078</v>
      </c>
      <c r="B76" s="47" t="s">
        <v>201</v>
      </c>
      <c r="C76" s="58" t="s">
        <v>412</v>
      </c>
      <c r="D76" s="348">
        <v>35</v>
      </c>
      <c r="E76" s="38">
        <v>0</v>
      </c>
      <c r="F76" s="38">
        <v>0</v>
      </c>
      <c r="G76" s="253"/>
    </row>
    <row r="77" spans="1:7" ht="30.75" hidden="1" customHeight="1">
      <c r="A77" s="116" t="s">
        <v>1077</v>
      </c>
      <c r="B77" s="275" t="s">
        <v>201</v>
      </c>
      <c r="C77" s="275" t="s">
        <v>412</v>
      </c>
      <c r="D77" s="118"/>
      <c r="E77" s="118">
        <v>0</v>
      </c>
      <c r="F77" s="118">
        <v>0</v>
      </c>
      <c r="G77" s="276"/>
    </row>
    <row r="78" spans="1:7" s="48" customFormat="1" ht="40.5" customHeight="1">
      <c r="A78" s="153" t="s">
        <v>470</v>
      </c>
      <c r="B78" s="198" t="s">
        <v>201</v>
      </c>
      <c r="C78" s="150" t="s">
        <v>401</v>
      </c>
      <c r="D78" s="54">
        <f>80+80</f>
        <v>160</v>
      </c>
      <c r="E78" s="54">
        <v>0</v>
      </c>
      <c r="F78" s="54">
        <v>0</v>
      </c>
      <c r="G78" s="252"/>
    </row>
    <row r="79" spans="1:7" ht="20.25" customHeight="1">
      <c r="A79" s="74" t="s">
        <v>478</v>
      </c>
      <c r="B79" s="47" t="s">
        <v>201</v>
      </c>
      <c r="C79" s="43" t="s">
        <v>39</v>
      </c>
      <c r="D79" s="348">
        <f>15080+841</f>
        <v>15921</v>
      </c>
      <c r="E79" s="348">
        <f>8835.1-860.767+6468.88113</f>
        <v>14443.21413</v>
      </c>
      <c r="F79" s="348">
        <f>8835.1-860.767+8025.61021-1108.766275</f>
        <v>14891.176935000001</v>
      </c>
      <c r="G79" s="279"/>
    </row>
    <row r="80" spans="1:7" ht="36.75" customHeight="1">
      <c r="A80" s="74" t="s">
        <v>420</v>
      </c>
      <c r="B80" s="47" t="s">
        <v>201</v>
      </c>
      <c r="C80" s="43" t="s">
        <v>40</v>
      </c>
      <c r="D80" s="348">
        <f>22244+279.645+168.736</f>
        <v>22692.381000000001</v>
      </c>
      <c r="E80" s="348">
        <f>19947.74+3464.76304</f>
        <v>23412.503040000003</v>
      </c>
      <c r="F80" s="348">
        <v>21108.555</v>
      </c>
      <c r="G80" s="186"/>
    </row>
    <row r="81" spans="1:7" ht="21" hidden="1" customHeight="1">
      <c r="A81" s="116" t="s">
        <v>126</v>
      </c>
      <c r="B81" s="275" t="s">
        <v>111</v>
      </c>
      <c r="C81" s="275" t="s">
        <v>41</v>
      </c>
      <c r="D81" s="118"/>
      <c r="E81" s="118"/>
      <c r="F81" s="118"/>
      <c r="G81" s="276"/>
    </row>
    <row r="82" spans="1:7" ht="21" hidden="1" customHeight="1">
      <c r="A82" s="116" t="s">
        <v>127</v>
      </c>
      <c r="B82" s="275" t="s">
        <v>111</v>
      </c>
      <c r="C82" s="275" t="s">
        <v>42</v>
      </c>
      <c r="D82" s="118"/>
      <c r="E82" s="118"/>
      <c r="F82" s="118"/>
      <c r="G82" s="276"/>
    </row>
    <row r="83" spans="1:7" ht="56.25" customHeight="1">
      <c r="A83" s="78" t="s">
        <v>340</v>
      </c>
      <c r="B83" s="209" t="s">
        <v>201</v>
      </c>
      <c r="C83" s="58"/>
      <c r="D83" s="54">
        <f>D84+D85</f>
        <v>33505.599999999999</v>
      </c>
      <c r="E83" s="54">
        <f t="shared" ref="E83:F83" si="20">E84+E85</f>
        <v>0</v>
      </c>
      <c r="F83" s="54">
        <f t="shared" si="20"/>
        <v>0</v>
      </c>
      <c r="G83" s="252"/>
    </row>
    <row r="84" spans="1:7" ht="48" customHeight="1">
      <c r="A84" s="77" t="s">
        <v>341</v>
      </c>
      <c r="B84" s="58" t="s">
        <v>201</v>
      </c>
      <c r="C84" s="43" t="s">
        <v>761</v>
      </c>
      <c r="D84" s="348">
        <f>'2  '!D62</f>
        <v>33170.544000000002</v>
      </c>
      <c r="E84" s="348">
        <f>'2  '!E62</f>
        <v>0</v>
      </c>
      <c r="F84" s="348">
        <f>'2  '!F62</f>
        <v>0</v>
      </c>
      <c r="G84" s="186"/>
    </row>
    <row r="85" spans="1:7" ht="66.75" customHeight="1">
      <c r="A85" s="74" t="s">
        <v>342</v>
      </c>
      <c r="B85" s="47" t="s">
        <v>201</v>
      </c>
      <c r="C85" s="43" t="s">
        <v>909</v>
      </c>
      <c r="D85" s="348">
        <v>335.05599999999998</v>
      </c>
      <c r="E85" s="348">
        <v>0</v>
      </c>
      <c r="F85" s="348">
        <v>0</v>
      </c>
      <c r="G85" s="186"/>
    </row>
    <row r="86" spans="1:7" ht="38.450000000000003" hidden="1" customHeight="1">
      <c r="A86" s="116" t="s">
        <v>501</v>
      </c>
      <c r="B86" s="275" t="s">
        <v>201</v>
      </c>
      <c r="C86" s="275" t="s">
        <v>489</v>
      </c>
      <c r="D86" s="118"/>
      <c r="E86" s="118"/>
      <c r="F86" s="118"/>
      <c r="G86" s="276"/>
    </row>
    <row r="87" spans="1:7" ht="68.25" customHeight="1">
      <c r="A87" s="77" t="s">
        <v>577</v>
      </c>
      <c r="B87" s="58" t="s">
        <v>201</v>
      </c>
      <c r="C87" s="58" t="s">
        <v>489</v>
      </c>
      <c r="D87" s="348">
        <f t="shared" ref="D87:F87" si="21">860.767+1177.101</f>
        <v>2037.8680000000002</v>
      </c>
      <c r="E87" s="348">
        <f t="shared" si="21"/>
        <v>2037.8680000000002</v>
      </c>
      <c r="F87" s="348">
        <f t="shared" si="21"/>
        <v>2037.8680000000002</v>
      </c>
      <c r="G87" s="186"/>
    </row>
    <row r="88" spans="1:7" ht="50.25" customHeight="1">
      <c r="A88" s="74" t="s">
        <v>555</v>
      </c>
      <c r="B88" s="47" t="s">
        <v>201</v>
      </c>
      <c r="C88" s="58" t="s">
        <v>421</v>
      </c>
      <c r="D88" s="348">
        <v>1010</v>
      </c>
      <c r="E88" s="348">
        <f>793.8+500</f>
        <v>1293.8</v>
      </c>
      <c r="F88" s="348">
        <f>793.8+700</f>
        <v>1493.8</v>
      </c>
      <c r="G88" s="186"/>
    </row>
    <row r="89" spans="1:7" s="48" customFormat="1" ht="97.5" customHeight="1">
      <c r="A89" s="78" t="s">
        <v>1095</v>
      </c>
      <c r="B89" s="209" t="s">
        <v>201</v>
      </c>
      <c r="C89" s="198"/>
      <c r="D89" s="54">
        <f>D90+D91</f>
        <v>4190.5805100000007</v>
      </c>
      <c r="E89" s="54">
        <f t="shared" ref="E89:F89" si="22">E90+E91</f>
        <v>0</v>
      </c>
      <c r="F89" s="54">
        <f t="shared" si="22"/>
        <v>0</v>
      </c>
      <c r="G89" s="252"/>
    </row>
    <row r="90" spans="1:7" ht="99.75" customHeight="1">
      <c r="A90" s="77" t="s">
        <v>915</v>
      </c>
      <c r="B90" s="58" t="s">
        <v>201</v>
      </c>
      <c r="C90" s="58" t="s">
        <v>1094</v>
      </c>
      <c r="D90" s="348">
        <f>'2  '!D55</f>
        <v>4148.6747000000005</v>
      </c>
      <c r="E90" s="348">
        <f>'2  '!E55</f>
        <v>0</v>
      </c>
      <c r="F90" s="348">
        <f>'2  '!F55</f>
        <v>0</v>
      </c>
      <c r="G90" s="186"/>
    </row>
    <row r="91" spans="1:7" ht="102.75" customHeight="1">
      <c r="A91" s="170" t="s">
        <v>916</v>
      </c>
      <c r="B91" s="58" t="s">
        <v>201</v>
      </c>
      <c r="C91" s="58" t="s">
        <v>1094</v>
      </c>
      <c r="D91" s="348">
        <v>41.905810000000002</v>
      </c>
      <c r="E91" s="348">
        <f t="shared" ref="E91:F91" si="23">E90/99</f>
        <v>0</v>
      </c>
      <c r="F91" s="348">
        <f t="shared" si="23"/>
        <v>0</v>
      </c>
      <c r="G91" s="186"/>
    </row>
    <row r="92" spans="1:7" s="40" customFormat="1" ht="17.25" customHeight="1">
      <c r="A92" s="248" t="s">
        <v>164</v>
      </c>
      <c r="B92" s="249" t="s">
        <v>201</v>
      </c>
      <c r="C92" s="249" t="s">
        <v>44</v>
      </c>
      <c r="D92" s="250">
        <f>D93</f>
        <v>100</v>
      </c>
      <c r="E92" s="250">
        <f>E93</f>
        <v>50</v>
      </c>
      <c r="F92" s="250">
        <f>F93</f>
        <v>50</v>
      </c>
      <c r="G92" s="251"/>
    </row>
    <row r="93" spans="1:7" s="13" customFormat="1" ht="17.25" customHeight="1">
      <c r="A93" s="74" t="s">
        <v>387</v>
      </c>
      <c r="B93" s="47" t="s">
        <v>201</v>
      </c>
      <c r="C93" s="58" t="s">
        <v>45</v>
      </c>
      <c r="D93" s="348">
        <v>100</v>
      </c>
      <c r="E93" s="38">
        <v>50</v>
      </c>
      <c r="F93" s="38">
        <v>50</v>
      </c>
      <c r="G93" s="253"/>
    </row>
    <row r="94" spans="1:7" s="40" customFormat="1" ht="17.25" customHeight="1">
      <c r="A94" s="248" t="s">
        <v>224</v>
      </c>
      <c r="B94" s="249" t="s">
        <v>201</v>
      </c>
      <c r="C94" s="249" t="s">
        <v>46</v>
      </c>
      <c r="D94" s="250">
        <f>D95+D96</f>
        <v>4447.0524999999998</v>
      </c>
      <c r="E94" s="250">
        <f t="shared" ref="E94:F94" si="24">E95+E96</f>
        <v>6112.8</v>
      </c>
      <c r="F94" s="250">
        <f t="shared" si="24"/>
        <v>6112.8</v>
      </c>
      <c r="G94" s="251"/>
    </row>
    <row r="95" spans="1:7" s="13" customFormat="1" ht="56.25" customHeight="1">
      <c r="A95" s="77" t="s">
        <v>361</v>
      </c>
      <c r="B95" s="58" t="s">
        <v>201</v>
      </c>
      <c r="C95" s="58" t="s">
        <v>47</v>
      </c>
      <c r="D95" s="4">
        <f>'2  '!D77</f>
        <v>4447.0524999999998</v>
      </c>
      <c r="E95" s="4">
        <f>'2  '!E77</f>
        <v>6112.8</v>
      </c>
      <c r="F95" s="4">
        <f>'2  '!F77</f>
        <v>6112.8</v>
      </c>
      <c r="G95" s="277"/>
    </row>
    <row r="96" spans="1:7" s="13" customFormat="1" ht="32.450000000000003" hidden="1" customHeight="1">
      <c r="A96" s="116" t="s">
        <v>418</v>
      </c>
      <c r="B96" s="275" t="s">
        <v>201</v>
      </c>
      <c r="C96" s="275" t="s">
        <v>417</v>
      </c>
      <c r="D96" s="118"/>
      <c r="E96" s="118"/>
      <c r="F96" s="118"/>
      <c r="G96" s="276"/>
    </row>
    <row r="97" spans="1:7" s="40" customFormat="1" ht="18.75" customHeight="1">
      <c r="A97" s="248" t="s">
        <v>165</v>
      </c>
      <c r="B97" s="249" t="s">
        <v>201</v>
      </c>
      <c r="C97" s="249" t="s">
        <v>48</v>
      </c>
      <c r="D97" s="250">
        <f>D98+D99</f>
        <v>70679.872359999994</v>
      </c>
      <c r="E97" s="250">
        <f t="shared" ref="E97:F97" si="25">E98+E99</f>
        <v>64964.291729999997</v>
      </c>
      <c r="F97" s="250">
        <f t="shared" si="25"/>
        <v>67949.963440000007</v>
      </c>
      <c r="G97" s="251"/>
    </row>
    <row r="98" spans="1:7" ht="31.5" customHeight="1">
      <c r="A98" s="77" t="s">
        <v>112</v>
      </c>
      <c r="B98" s="58" t="s">
        <v>201</v>
      </c>
      <c r="C98" s="58" t="s">
        <v>49</v>
      </c>
      <c r="D98" s="348">
        <f>65373+3485+1821.87236</f>
        <v>70679.872359999994</v>
      </c>
      <c r="E98" s="348">
        <f>63769+1195.29173</f>
        <v>64964.291729999997</v>
      </c>
      <c r="F98" s="348">
        <f>66319+1630.96344</f>
        <v>67949.963440000007</v>
      </c>
      <c r="G98" s="186"/>
    </row>
    <row r="99" spans="1:7" ht="27.75" hidden="1" customHeight="1">
      <c r="A99" s="116" t="s">
        <v>538</v>
      </c>
      <c r="B99" s="275" t="s">
        <v>201</v>
      </c>
      <c r="C99" s="275" t="s">
        <v>49</v>
      </c>
      <c r="D99" s="118"/>
      <c r="E99" s="118"/>
      <c r="F99" s="118"/>
      <c r="G99" s="276"/>
    </row>
    <row r="100" spans="1:7" s="40" customFormat="1" ht="17.25" customHeight="1">
      <c r="A100" s="248" t="s">
        <v>502</v>
      </c>
      <c r="B100" s="249" t="s">
        <v>111</v>
      </c>
      <c r="C100" s="249" t="s">
        <v>19</v>
      </c>
      <c r="D100" s="250">
        <f>D101+D102</f>
        <v>200</v>
      </c>
      <c r="E100" s="250">
        <f t="shared" ref="E100:F100" si="26">E101+E102</f>
        <v>250</v>
      </c>
      <c r="F100" s="250">
        <f t="shared" si="26"/>
        <v>300</v>
      </c>
      <c r="G100" s="251"/>
    </row>
    <row r="101" spans="1:7" s="49" customFormat="1" ht="21" customHeight="1">
      <c r="A101" s="77" t="s">
        <v>191</v>
      </c>
      <c r="B101" s="371">
        <v>951</v>
      </c>
      <c r="C101" s="58" t="s">
        <v>20</v>
      </c>
      <c r="D101" s="348">
        <v>161</v>
      </c>
      <c r="E101" s="348">
        <v>211</v>
      </c>
      <c r="F101" s="344">
        <f>261</f>
        <v>261</v>
      </c>
      <c r="G101" s="253"/>
    </row>
    <row r="102" spans="1:7" s="13" customFormat="1" ht="20.25" customHeight="1">
      <c r="A102" s="77" t="s">
        <v>179</v>
      </c>
      <c r="B102" s="371">
        <v>951</v>
      </c>
      <c r="C102" s="58" t="s">
        <v>61</v>
      </c>
      <c r="D102" s="348">
        <v>39</v>
      </c>
      <c r="E102" s="348">
        <v>39</v>
      </c>
      <c r="F102" s="38">
        <v>39</v>
      </c>
      <c r="G102" s="253"/>
    </row>
    <row r="103" spans="1:7" s="40" customFormat="1" ht="36.75" customHeight="1">
      <c r="A103" s="248" t="s">
        <v>230</v>
      </c>
      <c r="B103" s="249" t="s">
        <v>111</v>
      </c>
      <c r="C103" s="249" t="s">
        <v>21</v>
      </c>
      <c r="D103" s="250">
        <f>D104</f>
        <v>120</v>
      </c>
      <c r="E103" s="250">
        <f t="shared" ref="E103:F103" si="27">E104</f>
        <v>120</v>
      </c>
      <c r="F103" s="250">
        <f t="shared" si="27"/>
        <v>140</v>
      </c>
      <c r="G103" s="251"/>
    </row>
    <row r="104" spans="1:7" s="40" customFormat="1" ht="21" customHeight="1">
      <c r="A104" s="77" t="s">
        <v>174</v>
      </c>
      <c r="B104" s="58" t="s">
        <v>111</v>
      </c>
      <c r="C104" s="58" t="s">
        <v>348</v>
      </c>
      <c r="D104" s="348">
        <v>120</v>
      </c>
      <c r="E104" s="348">
        <v>120</v>
      </c>
      <c r="F104" s="348">
        <v>140</v>
      </c>
      <c r="G104" s="186"/>
    </row>
    <row r="105" spans="1:7" s="40" customFormat="1" ht="35.25" customHeight="1">
      <c r="A105" s="248" t="s">
        <v>947</v>
      </c>
      <c r="B105" s="249" t="s">
        <v>201</v>
      </c>
      <c r="C105" s="249" t="s">
        <v>959</v>
      </c>
      <c r="D105" s="250">
        <f>D106+D107+D108</f>
        <v>27911.25</v>
      </c>
      <c r="E105" s="250">
        <f t="shared" ref="E105:F105" si="28">E106+E107+E108</f>
        <v>26603.1</v>
      </c>
      <c r="F105" s="250">
        <f t="shared" si="28"/>
        <v>26134.75</v>
      </c>
      <c r="G105" s="251"/>
    </row>
    <row r="106" spans="1:7" s="40" customFormat="1" ht="34.9" customHeight="1">
      <c r="A106" s="77" t="s">
        <v>971</v>
      </c>
      <c r="B106" s="61" t="s">
        <v>201</v>
      </c>
      <c r="C106" s="61" t="s">
        <v>958</v>
      </c>
      <c r="D106" s="41">
        <f>'2  '!D80-D50</f>
        <v>12256.2</v>
      </c>
      <c r="E106" s="41">
        <f>'2  '!E80-E50</f>
        <v>12256.2</v>
      </c>
      <c r="F106" s="41">
        <f>'2  '!F80-F50</f>
        <v>12256.2</v>
      </c>
      <c r="G106" s="278"/>
    </row>
    <row r="107" spans="1:7" s="40" customFormat="1" ht="54.75" customHeight="1">
      <c r="A107" s="77" t="s">
        <v>380</v>
      </c>
      <c r="B107" s="61" t="s">
        <v>201</v>
      </c>
      <c r="C107" s="160" t="s">
        <v>968</v>
      </c>
      <c r="D107" s="41">
        <f>'2  '!D90</f>
        <v>15617.050000000001</v>
      </c>
      <c r="E107" s="41">
        <f>'2  '!E90</f>
        <v>14308.9</v>
      </c>
      <c r="F107" s="41">
        <f>'2  '!F90</f>
        <v>13840.550000000001</v>
      </c>
      <c r="G107" s="278"/>
    </row>
    <row r="108" spans="1:7" s="40" customFormat="1" ht="36" customHeight="1">
      <c r="A108" s="77" t="s">
        <v>946</v>
      </c>
      <c r="B108" s="58" t="s">
        <v>111</v>
      </c>
      <c r="C108" s="58" t="s">
        <v>1058</v>
      </c>
      <c r="D108" s="348">
        <v>38</v>
      </c>
      <c r="E108" s="348">
        <v>38</v>
      </c>
      <c r="F108" s="348">
        <v>38</v>
      </c>
      <c r="G108" s="278"/>
    </row>
    <row r="109" spans="1:7" ht="18" hidden="1" customHeight="1">
      <c r="A109" s="280"/>
      <c r="C109" s="24"/>
      <c r="D109" s="24"/>
      <c r="E109" s="24"/>
      <c r="F109" s="24"/>
      <c r="G109" s="24"/>
    </row>
    <row r="110" spans="1:7" ht="47.25" hidden="1" customHeight="1">
      <c r="A110" s="75" t="s">
        <v>238</v>
      </c>
      <c r="B110" s="201" t="s">
        <v>201</v>
      </c>
      <c r="C110" s="61" t="s">
        <v>31</v>
      </c>
      <c r="D110" s="41">
        <f>D111</f>
        <v>0</v>
      </c>
      <c r="E110" s="39">
        <f>E111</f>
        <v>0</v>
      </c>
      <c r="F110" s="39">
        <f>F111</f>
        <v>0</v>
      </c>
      <c r="G110" s="281"/>
    </row>
    <row r="111" spans="1:7" ht="29.25" hidden="1" customHeight="1">
      <c r="A111" s="74" t="s">
        <v>239</v>
      </c>
      <c r="B111" s="47" t="s">
        <v>201</v>
      </c>
      <c r="C111" s="58" t="s">
        <v>32</v>
      </c>
      <c r="D111" s="348">
        <v>0</v>
      </c>
      <c r="E111" s="38">
        <v>0</v>
      </c>
      <c r="F111" s="38">
        <v>0</v>
      </c>
      <c r="G111" s="253"/>
    </row>
    <row r="112" spans="1:7" ht="48.75" customHeight="1">
      <c r="A112" s="244" t="s">
        <v>511</v>
      </c>
      <c r="B112" s="245" t="s">
        <v>198</v>
      </c>
      <c r="C112" s="245" t="s">
        <v>50</v>
      </c>
      <c r="D112" s="246">
        <f>D113+D114+D118+D115+D116+D117</f>
        <v>2055</v>
      </c>
      <c r="E112" s="246">
        <f t="shared" ref="E112:F112" si="29">E113+E114+E118+E115+E116+E117</f>
        <v>1083</v>
      </c>
      <c r="F112" s="246">
        <f t="shared" si="29"/>
        <v>1113</v>
      </c>
      <c r="G112" s="247"/>
    </row>
    <row r="113" spans="1:7" ht="14.65" hidden="1" customHeight="1">
      <c r="A113" s="74" t="s">
        <v>88</v>
      </c>
      <c r="B113" s="47" t="s">
        <v>201</v>
      </c>
      <c r="C113" s="58" t="s">
        <v>51</v>
      </c>
      <c r="D113" s="348"/>
      <c r="E113" s="38"/>
      <c r="F113" s="38"/>
      <c r="G113" s="253"/>
    </row>
    <row r="114" spans="1:7" ht="15" hidden="1" customHeight="1">
      <c r="A114" s="74" t="s">
        <v>110</v>
      </c>
      <c r="B114" s="47" t="s">
        <v>201</v>
      </c>
      <c r="C114" s="58" t="s">
        <v>52</v>
      </c>
      <c r="D114" s="348"/>
      <c r="E114" s="38"/>
      <c r="F114" s="38"/>
      <c r="G114" s="253"/>
    </row>
    <row r="115" spans="1:7" ht="81" customHeight="1">
      <c r="A115" s="77" t="s">
        <v>994</v>
      </c>
      <c r="B115" s="58" t="s">
        <v>201</v>
      </c>
      <c r="C115" s="58" t="s">
        <v>995</v>
      </c>
      <c r="D115" s="348">
        <f>'2  '!D101</f>
        <v>600</v>
      </c>
      <c r="E115" s="348">
        <f>'2  '!E101</f>
        <v>0</v>
      </c>
      <c r="F115" s="348">
        <f>'2  '!F101</f>
        <v>0</v>
      </c>
      <c r="G115" s="186"/>
    </row>
    <row r="116" spans="1:7" ht="84.75" customHeight="1">
      <c r="A116" s="77" t="s">
        <v>1035</v>
      </c>
      <c r="B116" s="58" t="s">
        <v>201</v>
      </c>
      <c r="C116" s="58" t="s">
        <v>51</v>
      </c>
      <c r="D116" s="348">
        <v>605</v>
      </c>
      <c r="E116" s="348">
        <v>778</v>
      </c>
      <c r="F116" s="348">
        <v>798</v>
      </c>
      <c r="G116" s="186"/>
    </row>
    <row r="117" spans="1:7" ht="82.5" customHeight="1">
      <c r="A117" s="77" t="s">
        <v>1036</v>
      </c>
      <c r="B117" s="58" t="s">
        <v>201</v>
      </c>
      <c r="C117" s="58" t="s">
        <v>52</v>
      </c>
      <c r="D117" s="348">
        <v>845</v>
      </c>
      <c r="E117" s="348">
        <v>300</v>
      </c>
      <c r="F117" s="348">
        <v>310</v>
      </c>
      <c r="G117" s="186"/>
    </row>
    <row r="118" spans="1:7" ht="23.25" customHeight="1">
      <c r="A118" s="74" t="s">
        <v>178</v>
      </c>
      <c r="B118" s="47" t="s">
        <v>111</v>
      </c>
      <c r="C118" s="58" t="s">
        <v>62</v>
      </c>
      <c r="D118" s="348">
        <v>5</v>
      </c>
      <c r="E118" s="38">
        <v>5</v>
      </c>
      <c r="F118" s="38">
        <v>5</v>
      </c>
      <c r="G118" s="253"/>
    </row>
    <row r="119" spans="1:7" s="206" customFormat="1" ht="48" hidden="1" customHeight="1">
      <c r="A119" s="376" t="s">
        <v>210</v>
      </c>
      <c r="B119" s="208" t="s">
        <v>111</v>
      </c>
      <c r="C119" s="59" t="s">
        <v>17</v>
      </c>
      <c r="D119" s="96">
        <f>D120+D121</f>
        <v>0</v>
      </c>
      <c r="E119" s="52">
        <f>E120+E121</f>
        <v>0</v>
      </c>
      <c r="F119" s="52">
        <f>F120+F121</f>
        <v>0</v>
      </c>
      <c r="G119" s="240"/>
    </row>
    <row r="120" spans="1:7" s="49" customFormat="1" ht="69" hidden="1" customHeight="1">
      <c r="A120" s="282" t="s">
        <v>86</v>
      </c>
      <c r="B120" s="47" t="s">
        <v>111</v>
      </c>
      <c r="C120" s="43" t="s">
        <v>225</v>
      </c>
      <c r="D120" s="348"/>
      <c r="E120" s="38"/>
      <c r="F120" s="38"/>
      <c r="G120" s="253"/>
    </row>
    <row r="121" spans="1:7" ht="62.25" hidden="1" customHeight="1">
      <c r="A121" s="74" t="s">
        <v>87</v>
      </c>
      <c r="B121" s="47" t="s">
        <v>111</v>
      </c>
      <c r="C121" s="43" t="s">
        <v>74</v>
      </c>
      <c r="D121" s="348"/>
      <c r="E121" s="38"/>
      <c r="F121" s="38"/>
      <c r="G121" s="253"/>
    </row>
    <row r="122" spans="1:7" s="13" customFormat="1" ht="51.75" customHeight="1">
      <c r="A122" s="244" t="s">
        <v>544</v>
      </c>
      <c r="B122" s="245" t="s">
        <v>198</v>
      </c>
      <c r="C122" s="245" t="s">
        <v>22</v>
      </c>
      <c r="D122" s="246">
        <f>SUM(D123:D128)</f>
        <v>2534</v>
      </c>
      <c r="E122" s="246">
        <f t="shared" ref="E122:F122" si="30">SUM(E123:E128)</f>
        <v>1131</v>
      </c>
      <c r="F122" s="246">
        <f t="shared" si="30"/>
        <v>379</v>
      </c>
      <c r="G122" s="247"/>
    </row>
    <row r="123" spans="1:7" s="13" customFormat="1" ht="19.5" customHeight="1">
      <c r="A123" s="74" t="s">
        <v>89</v>
      </c>
      <c r="B123" s="47" t="s">
        <v>201</v>
      </c>
      <c r="C123" s="58" t="s">
        <v>53</v>
      </c>
      <c r="D123" s="348">
        <v>4</v>
      </c>
      <c r="E123" s="348">
        <v>4</v>
      </c>
      <c r="F123" s="348">
        <v>10</v>
      </c>
      <c r="G123" s="186"/>
    </row>
    <row r="124" spans="1:7" s="13" customFormat="1" ht="36.75" customHeight="1">
      <c r="A124" s="74" t="s">
        <v>409</v>
      </c>
      <c r="B124" s="47" t="s">
        <v>201</v>
      </c>
      <c r="C124" s="58" t="s">
        <v>53</v>
      </c>
      <c r="D124" s="348">
        <f>1028+1403</f>
        <v>2431</v>
      </c>
      <c r="E124" s="348">
        <v>1028</v>
      </c>
      <c r="F124" s="348">
        <v>308</v>
      </c>
      <c r="G124" s="186"/>
    </row>
    <row r="125" spans="1:7" s="13" customFormat="1" ht="19.5" customHeight="1">
      <c r="A125" s="74" t="s">
        <v>353</v>
      </c>
      <c r="B125" s="47" t="s">
        <v>111</v>
      </c>
      <c r="C125" s="58" t="s">
        <v>23</v>
      </c>
      <c r="D125" s="348">
        <v>39</v>
      </c>
      <c r="E125" s="348">
        <v>39</v>
      </c>
      <c r="F125" s="348">
        <v>41</v>
      </c>
      <c r="G125" s="186"/>
    </row>
    <row r="126" spans="1:7" s="13" customFormat="1" ht="19.5" customHeight="1">
      <c r="A126" s="74" t="s">
        <v>178</v>
      </c>
      <c r="B126" s="47" t="s">
        <v>111</v>
      </c>
      <c r="C126" s="58" t="s">
        <v>349</v>
      </c>
      <c r="D126" s="348">
        <v>60</v>
      </c>
      <c r="E126" s="348">
        <v>60</v>
      </c>
      <c r="F126" s="348">
        <v>20</v>
      </c>
      <c r="G126" s="186"/>
    </row>
    <row r="127" spans="1:7" s="13" customFormat="1" ht="33.6" hidden="1" customHeight="1">
      <c r="A127" s="74" t="s">
        <v>433</v>
      </c>
      <c r="B127" s="47" t="s">
        <v>201</v>
      </c>
      <c r="C127" s="58" t="s">
        <v>431</v>
      </c>
      <c r="D127" s="348"/>
      <c r="E127" s="38"/>
      <c r="F127" s="38"/>
      <c r="G127" s="253"/>
    </row>
    <row r="128" spans="1:7" s="13" customFormat="1" ht="15" hidden="1" customHeight="1">
      <c r="A128" s="74" t="s">
        <v>432</v>
      </c>
      <c r="B128" s="47" t="s">
        <v>201</v>
      </c>
      <c r="C128" s="58"/>
      <c r="D128" s="348"/>
      <c r="E128" s="38"/>
      <c r="F128" s="38"/>
      <c r="G128" s="253"/>
    </row>
    <row r="129" spans="1:7" s="13" customFormat="1" ht="32.25" customHeight="1">
      <c r="A129" s="244" t="s">
        <v>510</v>
      </c>
      <c r="B129" s="245" t="s">
        <v>198</v>
      </c>
      <c r="C129" s="245" t="s">
        <v>67</v>
      </c>
      <c r="D129" s="246">
        <f>D130+D131+D134+D135+D142+D145+D148</f>
        <v>366.25202999999999</v>
      </c>
      <c r="E129" s="246">
        <f t="shared" ref="E129:F129" si="31">E130+E131+E134+E135+E142+E145+E148</f>
        <v>250</v>
      </c>
      <c r="F129" s="246">
        <f t="shared" si="31"/>
        <v>300</v>
      </c>
      <c r="G129" s="247"/>
    </row>
    <row r="130" spans="1:7" s="13" customFormat="1" ht="25.5" customHeight="1">
      <c r="A130" s="77" t="s">
        <v>158</v>
      </c>
      <c r="B130" s="58" t="s">
        <v>111</v>
      </c>
      <c r="C130" s="58" t="s">
        <v>68</v>
      </c>
      <c r="D130" s="348">
        <v>250</v>
      </c>
      <c r="E130" s="348">
        <v>250</v>
      </c>
      <c r="F130" s="348">
        <v>300</v>
      </c>
      <c r="G130" s="186"/>
    </row>
    <row r="131" spans="1:7" s="13" customFormat="1" ht="31.9" hidden="1" customHeight="1">
      <c r="A131" s="77" t="s">
        <v>566</v>
      </c>
      <c r="B131" s="58" t="s">
        <v>201</v>
      </c>
      <c r="C131" s="58" t="s">
        <v>68</v>
      </c>
      <c r="D131" s="348"/>
      <c r="E131" s="348">
        <v>0</v>
      </c>
      <c r="F131" s="348">
        <v>0</v>
      </c>
      <c r="G131" s="186"/>
    </row>
    <row r="132" spans="1:7" s="206" customFormat="1" ht="19.5" hidden="1" customHeight="1">
      <c r="A132" s="81"/>
      <c r="B132" s="58"/>
      <c r="C132" s="58"/>
      <c r="D132" s="96"/>
      <c r="E132" s="96"/>
      <c r="F132" s="96"/>
      <c r="G132" s="274"/>
    </row>
    <row r="133" spans="1:7" s="13" customFormat="1" ht="22.5" hidden="1" customHeight="1">
      <c r="A133" s="77"/>
      <c r="B133" s="58"/>
      <c r="C133" s="58"/>
      <c r="D133" s="348"/>
      <c r="E133" s="348"/>
      <c r="F133" s="348"/>
      <c r="G133" s="186"/>
    </row>
    <row r="134" spans="1:7" s="13" customFormat="1" ht="31.15" hidden="1" customHeight="1">
      <c r="A134" s="77" t="s">
        <v>370</v>
      </c>
      <c r="B134" s="58" t="s">
        <v>111</v>
      </c>
      <c r="C134" s="58" t="s">
        <v>369</v>
      </c>
      <c r="D134" s="348"/>
      <c r="E134" s="348">
        <v>0</v>
      </c>
      <c r="F134" s="348">
        <v>0</v>
      </c>
      <c r="G134" s="186"/>
    </row>
    <row r="135" spans="1:7" s="13" customFormat="1" ht="33" hidden="1" customHeight="1">
      <c r="A135" s="153" t="s">
        <v>306</v>
      </c>
      <c r="B135" s="198" t="s">
        <v>111</v>
      </c>
      <c r="C135" s="150"/>
      <c r="D135" s="54">
        <f>SUM(D136:D141)</f>
        <v>0</v>
      </c>
      <c r="E135" s="54">
        <f>SUM(E136:E141)</f>
        <v>0</v>
      </c>
      <c r="F135" s="54">
        <f>SUM(F136:F141)</f>
        <v>0</v>
      </c>
      <c r="G135" s="252"/>
    </row>
    <row r="136" spans="1:7" s="13" customFormat="1" ht="48" hidden="1" customHeight="1">
      <c r="A136" s="77" t="s">
        <v>314</v>
      </c>
      <c r="B136" s="58" t="s">
        <v>111</v>
      </c>
      <c r="C136" s="43" t="s">
        <v>307</v>
      </c>
      <c r="D136" s="348">
        <v>0</v>
      </c>
      <c r="E136" s="348">
        <v>0</v>
      </c>
      <c r="F136" s="348">
        <v>0</v>
      </c>
      <c r="G136" s="186"/>
    </row>
    <row r="137" spans="1:7" s="13" customFormat="1" ht="28.9" hidden="1" customHeight="1">
      <c r="A137" s="77" t="s">
        <v>473</v>
      </c>
      <c r="B137" s="58" t="s">
        <v>111</v>
      </c>
      <c r="C137" s="43" t="s">
        <v>440</v>
      </c>
      <c r="D137" s="348"/>
      <c r="E137" s="348"/>
      <c r="F137" s="348"/>
      <c r="G137" s="186"/>
    </row>
    <row r="138" spans="1:7" s="13" customFormat="1" ht="21" hidden="1" customHeight="1">
      <c r="A138" s="77" t="s">
        <v>357</v>
      </c>
      <c r="B138" s="58" t="s">
        <v>111</v>
      </c>
      <c r="C138" s="43" t="s">
        <v>308</v>
      </c>
      <c r="D138" s="348"/>
      <c r="E138" s="348"/>
      <c r="F138" s="348"/>
      <c r="G138" s="186"/>
    </row>
    <row r="139" spans="1:7" s="13" customFormat="1" ht="18.600000000000001" hidden="1" customHeight="1">
      <c r="A139" s="77" t="s">
        <v>357</v>
      </c>
      <c r="B139" s="58" t="s">
        <v>201</v>
      </c>
      <c r="C139" s="43" t="s">
        <v>307</v>
      </c>
      <c r="D139" s="348"/>
      <c r="E139" s="348"/>
      <c r="F139" s="348"/>
      <c r="G139" s="186"/>
    </row>
    <row r="140" spans="1:7" s="13" customFormat="1" ht="56.25" hidden="1" customHeight="1">
      <c r="A140" s="77" t="s">
        <v>537</v>
      </c>
      <c r="B140" s="58" t="s">
        <v>111</v>
      </c>
      <c r="C140" s="43" t="s">
        <v>531</v>
      </c>
      <c r="D140" s="348"/>
      <c r="E140" s="348">
        <v>0</v>
      </c>
      <c r="F140" s="348">
        <v>0</v>
      </c>
      <c r="G140" s="186"/>
    </row>
    <row r="141" spans="1:7" s="13" customFormat="1" ht="31.9" hidden="1" customHeight="1">
      <c r="A141" s="77" t="s">
        <v>474</v>
      </c>
      <c r="B141" s="58" t="s">
        <v>111</v>
      </c>
      <c r="C141" s="43" t="s">
        <v>471</v>
      </c>
      <c r="D141" s="348"/>
      <c r="E141" s="348"/>
      <c r="F141" s="348"/>
      <c r="G141" s="186"/>
    </row>
    <row r="142" spans="1:7" s="13" customFormat="1" ht="31.9" customHeight="1">
      <c r="A142" s="153" t="s">
        <v>356</v>
      </c>
      <c r="B142" s="198" t="s">
        <v>201</v>
      </c>
      <c r="C142" s="43"/>
      <c r="D142" s="54">
        <f>D143+D144</f>
        <v>116.25203</v>
      </c>
      <c r="E142" s="54">
        <f t="shared" ref="E142:F142" si="32">E143+E144</f>
        <v>0</v>
      </c>
      <c r="F142" s="54">
        <f t="shared" si="32"/>
        <v>0</v>
      </c>
      <c r="G142" s="252"/>
    </row>
    <row r="143" spans="1:7" s="13" customFormat="1" ht="20.25" customHeight="1">
      <c r="A143" s="77" t="s">
        <v>365</v>
      </c>
      <c r="B143" s="58" t="s">
        <v>201</v>
      </c>
      <c r="C143" s="43" t="s">
        <v>1092</v>
      </c>
      <c r="D143" s="348">
        <f>'2  '!D65</f>
        <v>115.08951</v>
      </c>
      <c r="E143" s="348">
        <f>'2  '!E65</f>
        <v>0</v>
      </c>
      <c r="F143" s="348">
        <f>'2  '!F65</f>
        <v>0</v>
      </c>
      <c r="G143" s="283"/>
    </row>
    <row r="144" spans="1:7" s="13" customFormat="1" ht="21" customHeight="1">
      <c r="A144" s="77" t="s">
        <v>366</v>
      </c>
      <c r="B144" s="58" t="s">
        <v>201</v>
      </c>
      <c r="C144" s="43" t="s">
        <v>1093</v>
      </c>
      <c r="D144" s="348">
        <v>1.16252</v>
      </c>
      <c r="E144" s="348">
        <f t="shared" ref="E144:F144" si="33">E143/99</f>
        <v>0</v>
      </c>
      <c r="F144" s="348">
        <f t="shared" si="33"/>
        <v>0</v>
      </c>
      <c r="G144" s="283"/>
    </row>
    <row r="145" spans="1:9" s="13" customFormat="1" ht="44.45" hidden="1" customHeight="1">
      <c r="A145" s="153" t="s">
        <v>466</v>
      </c>
      <c r="B145" s="198" t="s">
        <v>111</v>
      </c>
      <c r="C145" s="150"/>
      <c r="D145" s="54">
        <f>D146+D147</f>
        <v>0</v>
      </c>
      <c r="E145" s="54">
        <f t="shared" ref="E145:F145" si="34">E146+E147</f>
        <v>0</v>
      </c>
      <c r="F145" s="54">
        <f t="shared" si="34"/>
        <v>0</v>
      </c>
      <c r="G145" s="252"/>
    </row>
    <row r="146" spans="1:9" s="13" customFormat="1" ht="50.45" hidden="1" customHeight="1">
      <c r="A146" s="77" t="s">
        <v>468</v>
      </c>
      <c r="B146" s="58" t="s">
        <v>111</v>
      </c>
      <c r="C146" s="43" t="s">
        <v>441</v>
      </c>
      <c r="D146" s="348">
        <f>'2  '!D71</f>
        <v>0</v>
      </c>
      <c r="E146" s="348">
        <f>'2  '!E71</f>
        <v>0</v>
      </c>
      <c r="F146" s="348">
        <f>'2  '!F71</f>
        <v>0</v>
      </c>
      <c r="G146" s="186"/>
    </row>
    <row r="147" spans="1:9" s="13" customFormat="1" ht="58.15" hidden="1" customHeight="1">
      <c r="A147" s="77" t="s">
        <v>467</v>
      </c>
      <c r="B147" s="58" t="s">
        <v>111</v>
      </c>
      <c r="C147" s="43" t="s">
        <v>817</v>
      </c>
      <c r="D147" s="348">
        <f>D146/99</f>
        <v>0</v>
      </c>
      <c r="E147" s="348">
        <f t="shared" ref="E147:F147" si="35">E146/99</f>
        <v>0</v>
      </c>
      <c r="F147" s="348">
        <f t="shared" si="35"/>
        <v>0</v>
      </c>
      <c r="G147" s="186"/>
    </row>
    <row r="148" spans="1:9" s="199" customFormat="1" ht="16.899999999999999" hidden="1" customHeight="1">
      <c r="A148" s="78" t="s">
        <v>472</v>
      </c>
      <c r="B148" s="209" t="s">
        <v>111</v>
      </c>
      <c r="C148" s="150"/>
      <c r="D148" s="54">
        <f>D149+D150</f>
        <v>0</v>
      </c>
      <c r="E148" s="45">
        <f>E149+E150</f>
        <v>0</v>
      </c>
      <c r="F148" s="45">
        <f>F149+F150</f>
        <v>0</v>
      </c>
      <c r="G148" s="284"/>
    </row>
    <row r="149" spans="1:9" s="13" customFormat="1" ht="35.450000000000003" hidden="1" customHeight="1">
      <c r="A149" s="74" t="s">
        <v>475</v>
      </c>
      <c r="B149" s="47" t="s">
        <v>111</v>
      </c>
      <c r="C149" s="43" t="s">
        <v>477</v>
      </c>
      <c r="D149" s="348">
        <v>0</v>
      </c>
      <c r="E149" s="38">
        <v>0</v>
      </c>
      <c r="F149" s="38">
        <v>0</v>
      </c>
      <c r="G149" s="253"/>
    </row>
    <row r="150" spans="1:9" s="13" customFormat="1" ht="45.6" hidden="1" customHeight="1">
      <c r="A150" s="74" t="s">
        <v>476</v>
      </c>
      <c r="B150" s="47" t="s">
        <v>111</v>
      </c>
      <c r="C150" s="43" t="s">
        <v>532</v>
      </c>
      <c r="D150" s="348"/>
      <c r="E150" s="38"/>
      <c r="F150" s="38"/>
      <c r="G150" s="253"/>
    </row>
    <row r="151" spans="1:9" s="13" customFormat="1" ht="45.75" customHeight="1">
      <c r="A151" s="244" t="s">
        <v>394</v>
      </c>
      <c r="B151" s="245" t="s">
        <v>198</v>
      </c>
      <c r="C151" s="245" t="s">
        <v>64</v>
      </c>
      <c r="D151" s="246">
        <f>D152</f>
        <v>300</v>
      </c>
      <c r="E151" s="246">
        <f>E152</f>
        <v>300</v>
      </c>
      <c r="F151" s="246">
        <f t="shared" ref="F151" si="36">F152</f>
        <v>300</v>
      </c>
      <c r="G151" s="247"/>
    </row>
    <row r="152" spans="1:9" s="206" customFormat="1" ht="37.5" customHeight="1">
      <c r="A152" s="74" t="s">
        <v>115</v>
      </c>
      <c r="B152" s="47" t="s">
        <v>111</v>
      </c>
      <c r="C152" s="58" t="s">
        <v>65</v>
      </c>
      <c r="D152" s="348">
        <v>300</v>
      </c>
      <c r="E152" s="348">
        <v>300</v>
      </c>
      <c r="F152" s="348">
        <v>300</v>
      </c>
      <c r="G152" s="186"/>
    </row>
    <row r="153" spans="1:9" s="206" customFormat="1" ht="42.75" customHeight="1">
      <c r="A153" s="244" t="s">
        <v>509</v>
      </c>
      <c r="B153" s="245" t="s">
        <v>198</v>
      </c>
      <c r="C153" s="285" t="s">
        <v>54</v>
      </c>
      <c r="D153" s="246">
        <f>D154+D174+D176+D179+D162+D182+D184+D187+D190+D201+D198+D158+D195</f>
        <v>55587.833310000002</v>
      </c>
      <c r="E153" s="246">
        <f t="shared" ref="E153:F153" si="37">E154+E174+E176+E179+E162+E182+E184+E187+E190+E201+E198+E158+E195</f>
        <v>54875.376030303029</v>
      </c>
      <c r="F153" s="246">
        <f t="shared" si="37"/>
        <v>64212.667686868685</v>
      </c>
      <c r="G153" s="247"/>
    </row>
    <row r="154" spans="1:9" s="13" customFormat="1" ht="54" customHeight="1">
      <c r="A154" s="153" t="s">
        <v>266</v>
      </c>
      <c r="B154" s="198" t="s">
        <v>111</v>
      </c>
      <c r="C154" s="150" t="s">
        <v>56</v>
      </c>
      <c r="D154" s="54">
        <f>D156+D157+D168+D171</f>
        <v>13980.956</v>
      </c>
      <c r="E154" s="54">
        <f t="shared" ref="E154:F154" si="38">E156+E157+E168+E171</f>
        <v>14568</v>
      </c>
      <c r="F154" s="54">
        <f t="shared" si="38"/>
        <v>15518</v>
      </c>
      <c r="G154" s="252"/>
    </row>
    <row r="155" spans="1:9" s="13" customFormat="1" ht="15" hidden="1" customHeight="1">
      <c r="A155" s="77" t="s">
        <v>118</v>
      </c>
      <c r="B155" s="58" t="s">
        <v>390</v>
      </c>
      <c r="C155" s="43" t="s">
        <v>119</v>
      </c>
      <c r="D155" s="348"/>
      <c r="E155" s="348"/>
      <c r="F155" s="348"/>
      <c r="G155" s="186"/>
    </row>
    <row r="156" spans="1:9" s="13" customFormat="1" ht="23.25" customHeight="1">
      <c r="A156" s="77" t="s">
        <v>270</v>
      </c>
      <c r="B156" s="58" t="s">
        <v>111</v>
      </c>
      <c r="C156" s="43" t="s">
        <v>57</v>
      </c>
      <c r="D156" s="348">
        <f>13236+847-572.6</f>
        <v>13510.4</v>
      </c>
      <c r="E156" s="348">
        <f>13568+1000</f>
        <v>14568</v>
      </c>
      <c r="F156" s="348">
        <f>13968+1550</f>
        <v>15518</v>
      </c>
      <c r="G156" s="90"/>
      <c r="H156" s="90"/>
      <c r="I156" s="90"/>
    </row>
    <row r="157" spans="1:9" s="13" customFormat="1" ht="36" customHeight="1">
      <c r="A157" s="77" t="s">
        <v>1080</v>
      </c>
      <c r="B157" s="58" t="s">
        <v>111</v>
      </c>
      <c r="C157" s="43" t="s">
        <v>73</v>
      </c>
      <c r="D157" s="348">
        <v>470.55599999999998</v>
      </c>
      <c r="E157" s="348">
        <f>'2  '!E98</f>
        <v>0</v>
      </c>
      <c r="F157" s="348">
        <f>'2  '!F98</f>
        <v>0</v>
      </c>
      <c r="G157" s="186"/>
    </row>
    <row r="158" spans="1:9" s="13" customFormat="1" ht="55.5" customHeight="1">
      <c r="A158" s="76" t="s">
        <v>299</v>
      </c>
      <c r="B158" s="61" t="s">
        <v>111</v>
      </c>
      <c r="C158" s="53" t="s">
        <v>315</v>
      </c>
      <c r="D158" s="41">
        <f>D159+D160</f>
        <v>2021.3856700000001</v>
      </c>
      <c r="E158" s="41">
        <f t="shared" ref="E158:F158" si="39">E159+E160</f>
        <v>0</v>
      </c>
      <c r="F158" s="41">
        <f t="shared" si="39"/>
        <v>0</v>
      </c>
      <c r="G158" s="278"/>
    </row>
    <row r="159" spans="1:9" s="13" customFormat="1" ht="50.25" customHeight="1">
      <c r="A159" s="77" t="s">
        <v>300</v>
      </c>
      <c r="B159" s="58" t="s">
        <v>111</v>
      </c>
      <c r="C159" s="43" t="s">
        <v>1097</v>
      </c>
      <c r="D159" s="348">
        <f>'2  '!D56</f>
        <v>2001.1718100000001</v>
      </c>
      <c r="E159" s="348">
        <f>'2  '!E56</f>
        <v>0</v>
      </c>
      <c r="F159" s="348">
        <f>'2  '!F56</f>
        <v>0</v>
      </c>
      <c r="G159" s="186"/>
    </row>
    <row r="160" spans="1:9" s="13" customFormat="1" ht="83.25" customHeight="1">
      <c r="A160" s="77" t="s">
        <v>316</v>
      </c>
      <c r="B160" s="58" t="s">
        <v>111</v>
      </c>
      <c r="C160" s="43" t="s">
        <v>1097</v>
      </c>
      <c r="D160" s="348">
        <v>20.21386</v>
      </c>
      <c r="E160" s="348">
        <f t="shared" ref="E160:F160" si="40">E159/99</f>
        <v>0</v>
      </c>
      <c r="F160" s="348">
        <f t="shared" si="40"/>
        <v>0</v>
      </c>
      <c r="G160" s="186"/>
    </row>
    <row r="161" spans="1:7" s="13" customFormat="1" ht="57" hidden="1" customHeight="1">
      <c r="A161" s="74" t="s">
        <v>373</v>
      </c>
      <c r="B161" s="47" t="s">
        <v>111</v>
      </c>
      <c r="C161" s="43" t="s">
        <v>389</v>
      </c>
      <c r="D161" s="348">
        <f>25-25</f>
        <v>0</v>
      </c>
      <c r="E161" s="38">
        <f>25-25</f>
        <v>0</v>
      </c>
      <c r="F161" s="38">
        <f>25-25</f>
        <v>0</v>
      </c>
      <c r="G161" s="253"/>
    </row>
    <row r="162" spans="1:7" s="13" customFormat="1" ht="31.9" hidden="1" customHeight="1">
      <c r="A162" s="78" t="s">
        <v>423</v>
      </c>
      <c r="B162" s="209" t="s">
        <v>111</v>
      </c>
      <c r="C162" s="150" t="s">
        <v>55</v>
      </c>
      <c r="D162" s="54">
        <f>D163+D164</f>
        <v>0</v>
      </c>
      <c r="E162" s="45">
        <f>E163+E164</f>
        <v>0</v>
      </c>
      <c r="F162" s="45">
        <f>F163+F164</f>
        <v>0</v>
      </c>
      <c r="G162" s="284"/>
    </row>
    <row r="163" spans="1:7" s="13" customFormat="1" ht="32.450000000000003" hidden="1" customHeight="1">
      <c r="A163" s="77" t="s">
        <v>424</v>
      </c>
      <c r="B163" s="58" t="s">
        <v>111</v>
      </c>
      <c r="C163" s="43" t="s">
        <v>426</v>
      </c>
      <c r="D163" s="348">
        <f>'2  '!D66</f>
        <v>0</v>
      </c>
      <c r="E163" s="348">
        <f>'2  '!E66</f>
        <v>0</v>
      </c>
      <c r="F163" s="348">
        <f>'2  '!F66</f>
        <v>0</v>
      </c>
      <c r="G163" s="186"/>
    </row>
    <row r="164" spans="1:7" s="13" customFormat="1" ht="46.15" hidden="1" customHeight="1">
      <c r="A164" s="77" t="s">
        <v>425</v>
      </c>
      <c r="B164" s="58" t="s">
        <v>111</v>
      </c>
      <c r="C164" s="43" t="s">
        <v>427</v>
      </c>
      <c r="D164" s="348"/>
      <c r="E164" s="348">
        <v>0</v>
      </c>
      <c r="F164" s="348">
        <v>0</v>
      </c>
      <c r="G164" s="186"/>
    </row>
    <row r="165" spans="1:7" s="13" customFormat="1" ht="33" hidden="1" customHeight="1">
      <c r="A165" s="78" t="s">
        <v>490</v>
      </c>
      <c r="B165" s="209" t="s">
        <v>111</v>
      </c>
      <c r="C165" s="150" t="s">
        <v>55</v>
      </c>
      <c r="D165" s="54">
        <f>D166+D167</f>
        <v>0</v>
      </c>
      <c r="E165" s="45">
        <f>E166+E167</f>
        <v>0</v>
      </c>
      <c r="F165" s="45">
        <f>F166+F167</f>
        <v>0</v>
      </c>
      <c r="G165" s="284"/>
    </row>
    <row r="166" spans="1:7" s="13" customFormat="1" ht="46.15" hidden="1" customHeight="1">
      <c r="A166" s="74" t="s">
        <v>491</v>
      </c>
      <c r="B166" s="47" t="s">
        <v>111</v>
      </c>
      <c r="C166" s="43" t="s">
        <v>492</v>
      </c>
      <c r="D166" s="348"/>
      <c r="E166" s="38"/>
      <c r="F166" s="38"/>
      <c r="G166" s="253"/>
    </row>
    <row r="167" spans="1:7" s="13" customFormat="1" ht="46.15" hidden="1" customHeight="1">
      <c r="A167" s="74" t="s">
        <v>493</v>
      </c>
      <c r="B167" s="47" t="s">
        <v>111</v>
      </c>
      <c r="C167" s="43" t="s">
        <v>494</v>
      </c>
      <c r="D167" s="348"/>
      <c r="E167" s="38"/>
      <c r="F167" s="38"/>
      <c r="G167" s="253"/>
    </row>
    <row r="168" spans="1:7" s="13" customFormat="1" ht="40.9" hidden="1" customHeight="1">
      <c r="A168" s="78" t="s">
        <v>495</v>
      </c>
      <c r="B168" s="209" t="s">
        <v>111</v>
      </c>
      <c r="C168" s="150" t="s">
        <v>497</v>
      </c>
      <c r="D168" s="54">
        <f>D169+D170</f>
        <v>0</v>
      </c>
      <c r="E168" s="45">
        <f>E169+E170</f>
        <v>0</v>
      </c>
      <c r="F168" s="45">
        <f>F169+F170</f>
        <v>0</v>
      </c>
      <c r="G168" s="284"/>
    </row>
    <row r="169" spans="1:7" s="13" customFormat="1" ht="44.45" hidden="1" customHeight="1">
      <c r="A169" s="74" t="s">
        <v>496</v>
      </c>
      <c r="B169" s="47" t="s">
        <v>111</v>
      </c>
      <c r="C169" s="43" t="s">
        <v>497</v>
      </c>
      <c r="D169" s="348">
        <v>0</v>
      </c>
      <c r="E169" s="348">
        <v>0</v>
      </c>
      <c r="F169" s="348">
        <v>0</v>
      </c>
      <c r="G169" s="253"/>
    </row>
    <row r="170" spans="1:7" s="13" customFormat="1" ht="59.45" hidden="1" customHeight="1">
      <c r="A170" s="74" t="s">
        <v>498</v>
      </c>
      <c r="B170" s="47" t="s">
        <v>111</v>
      </c>
      <c r="C170" s="43" t="s">
        <v>497</v>
      </c>
      <c r="D170" s="348"/>
      <c r="E170" s="38">
        <v>0</v>
      </c>
      <c r="F170" s="38">
        <v>0</v>
      </c>
      <c r="G170" s="253"/>
    </row>
    <row r="171" spans="1:7" s="206" customFormat="1" ht="50.25" hidden="1" customHeight="1">
      <c r="A171" s="78" t="s">
        <v>560</v>
      </c>
      <c r="B171" s="208" t="s">
        <v>111</v>
      </c>
      <c r="C171" s="59" t="s">
        <v>562</v>
      </c>
      <c r="D171" s="96">
        <f>D172+D173</f>
        <v>0</v>
      </c>
      <c r="E171" s="96">
        <f>E172+E173</f>
        <v>0</v>
      </c>
      <c r="F171" s="96">
        <f>F172+F173</f>
        <v>0</v>
      </c>
      <c r="G171" s="274"/>
    </row>
    <row r="172" spans="1:7" s="13" customFormat="1" ht="59.45" hidden="1" customHeight="1">
      <c r="A172" s="74" t="s">
        <v>496</v>
      </c>
      <c r="B172" s="47" t="s">
        <v>111</v>
      </c>
      <c r="C172" s="43" t="s">
        <v>562</v>
      </c>
      <c r="D172" s="348">
        <f>'2  '!D49</f>
        <v>0</v>
      </c>
      <c r="E172" s="38">
        <v>0</v>
      </c>
      <c r="F172" s="38">
        <v>0</v>
      </c>
      <c r="G172" s="253"/>
    </row>
    <row r="173" spans="1:7" s="13" customFormat="1" ht="59.45" hidden="1" customHeight="1">
      <c r="A173" s="74" t="s">
        <v>561</v>
      </c>
      <c r="B173" s="47" t="s">
        <v>111</v>
      </c>
      <c r="C173" s="43" t="s">
        <v>562</v>
      </c>
      <c r="D173" s="348"/>
      <c r="E173" s="38">
        <v>0</v>
      </c>
      <c r="F173" s="38">
        <v>0</v>
      </c>
      <c r="G173" s="253"/>
    </row>
    <row r="174" spans="1:7" s="13" customFormat="1" ht="57.75" customHeight="1">
      <c r="A174" s="153" t="s">
        <v>267</v>
      </c>
      <c r="B174" s="198" t="s">
        <v>111</v>
      </c>
      <c r="C174" s="150" t="s">
        <v>58</v>
      </c>
      <c r="D174" s="54">
        <f>D175</f>
        <v>6048</v>
      </c>
      <c r="E174" s="54">
        <f t="shared" ref="E174:F174" si="41">E175</f>
        <v>6658</v>
      </c>
      <c r="F174" s="54">
        <f t="shared" si="41"/>
        <v>7807</v>
      </c>
      <c r="G174" s="252"/>
    </row>
    <row r="175" spans="1:7" s="13" customFormat="1" ht="21.75" customHeight="1">
      <c r="A175" s="77" t="s">
        <v>507</v>
      </c>
      <c r="B175" s="58" t="s">
        <v>111</v>
      </c>
      <c r="C175" s="43" t="s">
        <v>58</v>
      </c>
      <c r="D175" s="348">
        <v>6048</v>
      </c>
      <c r="E175" s="348">
        <f>6158+500</f>
        <v>6658</v>
      </c>
      <c r="F175" s="348">
        <f>6257+1550</f>
        <v>7807</v>
      </c>
      <c r="G175" s="186"/>
    </row>
    <row r="176" spans="1:7" s="13" customFormat="1" ht="60.6" hidden="1" customHeight="1">
      <c r="A176" s="76" t="s">
        <v>558</v>
      </c>
      <c r="B176" s="61" t="s">
        <v>111</v>
      </c>
      <c r="C176" s="53" t="s">
        <v>302</v>
      </c>
      <c r="D176" s="41">
        <f>D177+D178</f>
        <v>0</v>
      </c>
      <c r="E176" s="41">
        <f>E177+E178</f>
        <v>0</v>
      </c>
      <c r="F176" s="41">
        <f>F177+F178</f>
        <v>0</v>
      </c>
      <c r="G176" s="278"/>
    </row>
    <row r="177" spans="1:7" s="13" customFormat="1" ht="60" hidden="1" customHeight="1">
      <c r="A177" s="77" t="s">
        <v>556</v>
      </c>
      <c r="B177" s="58" t="s">
        <v>111</v>
      </c>
      <c r="C177" s="43" t="s">
        <v>504</v>
      </c>
      <c r="D177" s="348">
        <f>'2  '!D52</f>
        <v>0</v>
      </c>
      <c r="E177" s="348">
        <v>0</v>
      </c>
      <c r="F177" s="348">
        <v>0</v>
      </c>
      <c r="G177" s="186"/>
    </row>
    <row r="178" spans="1:7" s="13" customFormat="1" ht="78" hidden="1" customHeight="1">
      <c r="A178" s="77" t="s">
        <v>557</v>
      </c>
      <c r="B178" s="58" t="s">
        <v>111</v>
      </c>
      <c r="C178" s="43" t="s">
        <v>504</v>
      </c>
      <c r="D178" s="348"/>
      <c r="E178" s="348"/>
      <c r="F178" s="348"/>
      <c r="G178" s="186"/>
    </row>
    <row r="179" spans="1:7" s="13" customFormat="1" ht="73.5" customHeight="1">
      <c r="A179" s="76" t="s">
        <v>558</v>
      </c>
      <c r="B179" s="61" t="s">
        <v>111</v>
      </c>
      <c r="C179" s="53" t="s">
        <v>302</v>
      </c>
      <c r="D179" s="41">
        <f>D180+D181</f>
        <v>169.70202</v>
      </c>
      <c r="E179" s="41">
        <f t="shared" ref="E179:F179" si="42">E180+E181</f>
        <v>169.70202020202021</v>
      </c>
      <c r="F179" s="41">
        <f t="shared" si="42"/>
        <v>169.70202020202021</v>
      </c>
      <c r="G179" s="278"/>
    </row>
    <row r="180" spans="1:7" s="13" customFormat="1" ht="56.25" customHeight="1">
      <c r="A180" s="77" t="s">
        <v>1079</v>
      </c>
      <c r="B180" s="58" t="s">
        <v>111</v>
      </c>
      <c r="C180" s="43" t="s">
        <v>303</v>
      </c>
      <c r="D180" s="348">
        <f>'2  '!D68</f>
        <v>168.005</v>
      </c>
      <c r="E180" s="348">
        <f>'2  '!E68</f>
        <v>168.005</v>
      </c>
      <c r="F180" s="348">
        <f>'2  '!F68</f>
        <v>168.005</v>
      </c>
      <c r="G180" s="186"/>
    </row>
    <row r="181" spans="1:7" s="13" customFormat="1" ht="75.75" customHeight="1">
      <c r="A181" s="77" t="s">
        <v>317</v>
      </c>
      <c r="B181" s="58" t="s">
        <v>111</v>
      </c>
      <c r="C181" s="43" t="s">
        <v>533</v>
      </c>
      <c r="D181" s="348">
        <v>1.69702</v>
      </c>
      <c r="E181" s="348">
        <f t="shared" ref="E181:F181" si="43">E180/99</f>
        <v>1.6970202020202019</v>
      </c>
      <c r="F181" s="348">
        <f t="shared" si="43"/>
        <v>1.6970202020202019</v>
      </c>
      <c r="G181" s="186"/>
    </row>
    <row r="182" spans="1:7" s="13" customFormat="1" ht="74.25" customHeight="1">
      <c r="A182" s="153" t="s">
        <v>268</v>
      </c>
      <c r="B182" s="198" t="s">
        <v>111</v>
      </c>
      <c r="C182" s="150" t="s">
        <v>59</v>
      </c>
      <c r="D182" s="54">
        <f>D183</f>
        <v>3050</v>
      </c>
      <c r="E182" s="54">
        <f>E183</f>
        <v>3495</v>
      </c>
      <c r="F182" s="54">
        <f>F183</f>
        <v>4708</v>
      </c>
      <c r="G182" s="252"/>
    </row>
    <row r="183" spans="1:7" s="13" customFormat="1" ht="21.75" customHeight="1">
      <c r="A183" s="77" t="s">
        <v>117</v>
      </c>
      <c r="B183" s="58" t="s">
        <v>111</v>
      </c>
      <c r="C183" s="43" t="s">
        <v>59</v>
      </c>
      <c r="D183" s="348">
        <v>3050</v>
      </c>
      <c r="E183" s="348">
        <f>3095+400</f>
        <v>3495</v>
      </c>
      <c r="F183" s="348">
        <f>3158+1550</f>
        <v>4708</v>
      </c>
      <c r="G183" s="186"/>
    </row>
    <row r="184" spans="1:7" ht="57.75" customHeight="1">
      <c r="A184" s="153" t="s">
        <v>309</v>
      </c>
      <c r="B184" s="198" t="s">
        <v>111</v>
      </c>
      <c r="C184" s="198"/>
      <c r="D184" s="54">
        <f>D185+D186</f>
        <v>1010.10101</v>
      </c>
      <c r="E184" s="54">
        <f t="shared" ref="E184:F184" si="44">E185+E186</f>
        <v>1010.10101010101</v>
      </c>
      <c r="F184" s="54">
        <f t="shared" si="44"/>
        <v>1010.10101010101</v>
      </c>
      <c r="G184" s="252"/>
    </row>
    <row r="185" spans="1:7" ht="71.25" customHeight="1">
      <c r="A185" s="77" t="s">
        <v>330</v>
      </c>
      <c r="B185" s="58" t="s">
        <v>111</v>
      </c>
      <c r="C185" s="58" t="s">
        <v>358</v>
      </c>
      <c r="D185" s="348">
        <f>'2  '!D67</f>
        <v>1000</v>
      </c>
      <c r="E185" s="348">
        <f>'2  '!E67</f>
        <v>1000</v>
      </c>
      <c r="F185" s="348">
        <f>'2  '!F67</f>
        <v>1000</v>
      </c>
      <c r="G185" s="186"/>
    </row>
    <row r="186" spans="1:7" ht="85.5" customHeight="1">
      <c r="A186" s="77" t="s">
        <v>331</v>
      </c>
      <c r="B186" s="58" t="s">
        <v>111</v>
      </c>
      <c r="C186" s="58" t="s">
        <v>554</v>
      </c>
      <c r="D186" s="348">
        <v>10.10101</v>
      </c>
      <c r="E186" s="348">
        <f t="shared" ref="E186:F186" si="45">E185/99</f>
        <v>10.1010101010101</v>
      </c>
      <c r="F186" s="348">
        <f t="shared" si="45"/>
        <v>10.1010101010101</v>
      </c>
      <c r="G186" s="186"/>
    </row>
    <row r="187" spans="1:7" s="13" customFormat="1" ht="19.899999999999999" customHeight="1">
      <c r="A187" s="153" t="s">
        <v>272</v>
      </c>
      <c r="B187" s="198" t="s">
        <v>111</v>
      </c>
      <c r="C187" s="150" t="s">
        <v>450</v>
      </c>
      <c r="D187" s="54">
        <f>D188+D189</f>
        <v>1041.7</v>
      </c>
      <c r="E187" s="54">
        <f t="shared" ref="E187:F187" si="46">E188+E189</f>
        <v>2845</v>
      </c>
      <c r="F187" s="54">
        <f t="shared" si="46"/>
        <v>2895</v>
      </c>
      <c r="G187" s="252"/>
    </row>
    <row r="188" spans="1:7" s="13" customFormat="1" ht="36" customHeight="1">
      <c r="A188" s="77" t="s">
        <v>271</v>
      </c>
      <c r="B188" s="58" t="s">
        <v>111</v>
      </c>
      <c r="C188" s="43" t="s">
        <v>60</v>
      </c>
      <c r="D188" s="348">
        <f>2291-1249.3</f>
        <v>1041.7</v>
      </c>
      <c r="E188" s="348">
        <f>2345+500</f>
        <v>2845</v>
      </c>
      <c r="F188" s="348">
        <f>2395+500</f>
        <v>2895</v>
      </c>
      <c r="G188" s="186"/>
    </row>
    <row r="189" spans="1:7" s="13" customFormat="1" ht="45.75" hidden="1" customHeight="1">
      <c r="A189" s="85" t="s">
        <v>269</v>
      </c>
      <c r="B189" s="185" t="s">
        <v>391</v>
      </c>
      <c r="C189" s="64" t="s">
        <v>240</v>
      </c>
      <c r="D189" s="50"/>
      <c r="E189" s="50"/>
      <c r="F189" s="50"/>
      <c r="G189" s="279"/>
    </row>
    <row r="190" spans="1:7" s="13" customFormat="1" ht="36.75" customHeight="1">
      <c r="A190" s="78" t="s">
        <v>447</v>
      </c>
      <c r="B190" s="209" t="s">
        <v>111</v>
      </c>
      <c r="C190" s="150"/>
      <c r="D190" s="54">
        <f>D191+D193</f>
        <v>25210</v>
      </c>
      <c r="E190" s="54">
        <f t="shared" ref="E190:F190" si="47">E191+E193</f>
        <v>26129.573</v>
      </c>
      <c r="F190" s="54">
        <f t="shared" si="47"/>
        <v>25924.976999999999</v>
      </c>
      <c r="G190" s="252"/>
    </row>
    <row r="191" spans="1:7" s="13" customFormat="1" ht="34.5" customHeight="1">
      <c r="A191" s="153" t="s">
        <v>462</v>
      </c>
      <c r="B191" s="198" t="s">
        <v>111</v>
      </c>
      <c r="C191" s="150" t="s">
        <v>448</v>
      </c>
      <c r="D191" s="54">
        <f>D192</f>
        <v>17820</v>
      </c>
      <c r="E191" s="54">
        <f t="shared" ref="E191:F191" si="48">E192</f>
        <v>17917.303</v>
      </c>
      <c r="F191" s="54">
        <f t="shared" si="48"/>
        <v>17141.844000000001</v>
      </c>
      <c r="G191" s="252"/>
    </row>
    <row r="192" spans="1:7" s="13" customFormat="1" ht="24.75" customHeight="1">
      <c r="A192" s="77" t="s">
        <v>463</v>
      </c>
      <c r="B192" s="61" t="s">
        <v>111</v>
      </c>
      <c r="C192" s="53" t="s">
        <v>448</v>
      </c>
      <c r="D192" s="348">
        <v>17820</v>
      </c>
      <c r="E192" s="348">
        <f>15917.303+2000</f>
        <v>17917.303</v>
      </c>
      <c r="F192" s="348">
        <v>17141.844000000001</v>
      </c>
      <c r="G192" s="186"/>
    </row>
    <row r="193" spans="1:7" s="13" customFormat="1" ht="32.25" customHeight="1">
      <c r="A193" s="153" t="s">
        <v>746</v>
      </c>
      <c r="B193" s="198" t="s">
        <v>111</v>
      </c>
      <c r="C193" s="150" t="s">
        <v>449</v>
      </c>
      <c r="D193" s="54">
        <f>D194</f>
        <v>7390</v>
      </c>
      <c r="E193" s="54">
        <f t="shared" ref="E193:F193" si="49">E194</f>
        <v>8212.27</v>
      </c>
      <c r="F193" s="54">
        <f t="shared" si="49"/>
        <v>8783.1329999999998</v>
      </c>
      <c r="G193" s="252"/>
    </row>
    <row r="194" spans="1:7" s="13" customFormat="1" ht="24.75" customHeight="1">
      <c r="A194" s="77" t="s">
        <v>464</v>
      </c>
      <c r="B194" s="58" t="s">
        <v>111</v>
      </c>
      <c r="C194" s="53" t="s">
        <v>449</v>
      </c>
      <c r="D194" s="348">
        <v>7390</v>
      </c>
      <c r="E194" s="348">
        <v>8212.27</v>
      </c>
      <c r="F194" s="348">
        <v>8783.1329999999998</v>
      </c>
      <c r="G194" s="186"/>
    </row>
    <row r="195" spans="1:7" s="13" customFormat="1" ht="71.25" customHeight="1">
      <c r="A195" s="153" t="s">
        <v>1059</v>
      </c>
      <c r="B195" s="198" t="s">
        <v>111</v>
      </c>
      <c r="C195" s="150" t="s">
        <v>1083</v>
      </c>
      <c r="D195" s="54">
        <f>D196+D197</f>
        <v>3055.9886099999999</v>
      </c>
      <c r="E195" s="54">
        <f t="shared" ref="E195:F195" si="50">E196+E197</f>
        <v>0</v>
      </c>
      <c r="F195" s="54">
        <f t="shared" si="50"/>
        <v>6179.8876565656565</v>
      </c>
      <c r="G195" s="240"/>
    </row>
    <row r="196" spans="1:7" s="13" customFormat="1" ht="72" customHeight="1">
      <c r="A196" s="77" t="s">
        <v>1061</v>
      </c>
      <c r="B196" s="58" t="s">
        <v>111</v>
      </c>
      <c r="C196" s="43" t="s">
        <v>1082</v>
      </c>
      <c r="D196" s="348">
        <f>'2  '!D48</f>
        <v>3025.4287199999999</v>
      </c>
      <c r="E196" s="348">
        <f>'2  '!E48</f>
        <v>0</v>
      </c>
      <c r="F196" s="348">
        <f>'2  '!F48</f>
        <v>6118.08878</v>
      </c>
      <c r="G196" s="253"/>
    </row>
    <row r="197" spans="1:7" s="13" customFormat="1" ht="71.25" customHeight="1">
      <c r="A197" s="77" t="s">
        <v>1062</v>
      </c>
      <c r="B197" s="58" t="s">
        <v>111</v>
      </c>
      <c r="C197" s="43" t="s">
        <v>1082</v>
      </c>
      <c r="D197" s="348">
        <v>30.559889999999999</v>
      </c>
      <c r="E197" s="348">
        <f t="shared" ref="E197:F197" si="51">E196/99</f>
        <v>0</v>
      </c>
      <c r="F197" s="348">
        <f t="shared" si="51"/>
        <v>61.798876565656563</v>
      </c>
      <c r="G197" s="253"/>
    </row>
    <row r="198" spans="1:7" s="206" customFormat="1" ht="33.75" hidden="1" customHeight="1">
      <c r="A198" s="376" t="s">
        <v>411</v>
      </c>
      <c r="B198" s="208" t="s">
        <v>111</v>
      </c>
      <c r="C198" s="59" t="s">
        <v>575</v>
      </c>
      <c r="D198" s="96">
        <f>D199</f>
        <v>0</v>
      </c>
      <c r="E198" s="52">
        <f>E199</f>
        <v>0</v>
      </c>
      <c r="F198" s="52">
        <f>F199</f>
        <v>0</v>
      </c>
      <c r="G198" s="240"/>
    </row>
    <row r="199" spans="1:7" s="13" customFormat="1" ht="31.5" hidden="1" customHeight="1">
      <c r="A199" s="74" t="s">
        <v>574</v>
      </c>
      <c r="B199" s="47" t="s">
        <v>111</v>
      </c>
      <c r="C199" s="43" t="s">
        <v>575</v>
      </c>
      <c r="D199" s="348"/>
      <c r="E199" s="38"/>
      <c r="F199" s="38"/>
      <c r="G199" s="253"/>
    </row>
    <row r="200" spans="1:7" s="13" customFormat="1" ht="12" hidden="1" customHeight="1">
      <c r="A200" s="74"/>
      <c r="B200" s="47"/>
      <c r="C200" s="43"/>
      <c r="D200" s="348"/>
      <c r="E200" s="38"/>
      <c r="F200" s="38"/>
      <c r="G200" s="253"/>
    </row>
    <row r="201" spans="1:7" s="200" customFormat="1" ht="52.5" hidden="1" customHeight="1">
      <c r="A201" s="78" t="s">
        <v>535</v>
      </c>
      <c r="B201" s="209" t="s">
        <v>111</v>
      </c>
      <c r="C201" s="150" t="s">
        <v>534</v>
      </c>
      <c r="D201" s="54">
        <f>D202+D203</f>
        <v>0</v>
      </c>
      <c r="E201" s="45">
        <f>E202+E203</f>
        <v>0</v>
      </c>
      <c r="F201" s="45">
        <f>F202+F203</f>
        <v>0</v>
      </c>
      <c r="G201" s="284"/>
    </row>
    <row r="202" spans="1:7" s="13" customFormat="1" ht="63.75" hidden="1" customHeight="1">
      <c r="A202" s="74" t="s">
        <v>465</v>
      </c>
      <c r="B202" s="47" t="s">
        <v>111</v>
      </c>
      <c r="C202" s="43" t="s">
        <v>505</v>
      </c>
      <c r="D202" s="348"/>
      <c r="E202" s="38"/>
      <c r="F202" s="38"/>
      <c r="G202" s="253"/>
    </row>
    <row r="203" spans="1:7" s="13" customFormat="1" ht="66.75" hidden="1" customHeight="1">
      <c r="A203" s="74" t="s">
        <v>506</v>
      </c>
      <c r="B203" s="47" t="s">
        <v>111</v>
      </c>
      <c r="C203" s="43" t="s">
        <v>508</v>
      </c>
      <c r="D203" s="348"/>
      <c r="E203" s="38"/>
      <c r="F203" s="38"/>
      <c r="G203" s="253"/>
    </row>
    <row r="204" spans="1:7" s="13" customFormat="1" ht="50.25" customHeight="1">
      <c r="A204" s="244" t="s">
        <v>513</v>
      </c>
      <c r="B204" s="245" t="s">
        <v>198</v>
      </c>
      <c r="C204" s="245" t="s">
        <v>226</v>
      </c>
      <c r="D204" s="246">
        <f>D207+D208+D205+D206</f>
        <v>200</v>
      </c>
      <c r="E204" s="246">
        <f t="shared" ref="E204:F204" si="52">E207+E208+E205+E206</f>
        <v>200</v>
      </c>
      <c r="F204" s="246">
        <f t="shared" si="52"/>
        <v>200</v>
      </c>
      <c r="G204" s="247"/>
    </row>
    <row r="205" spans="1:7" s="13" customFormat="1" ht="45.6" hidden="1" customHeight="1">
      <c r="A205" s="74"/>
      <c r="B205" s="286"/>
      <c r="C205" s="58"/>
      <c r="D205" s="4"/>
      <c r="E205" s="4"/>
      <c r="F205" s="4"/>
      <c r="G205" s="277"/>
    </row>
    <row r="206" spans="1:7" s="13" customFormat="1" ht="45.6" hidden="1" customHeight="1">
      <c r="A206" s="74"/>
      <c r="B206" s="286"/>
      <c r="C206" s="58"/>
      <c r="D206" s="4"/>
      <c r="E206" s="4"/>
      <c r="F206" s="4"/>
      <c r="G206" s="277"/>
    </row>
    <row r="207" spans="1:7" s="13" customFormat="1" ht="39" customHeight="1">
      <c r="A207" s="74" t="s">
        <v>354</v>
      </c>
      <c r="B207" s="47" t="s">
        <v>111</v>
      </c>
      <c r="C207" s="43" t="s">
        <v>227</v>
      </c>
      <c r="D207" s="348">
        <v>197</v>
      </c>
      <c r="E207" s="348">
        <v>197</v>
      </c>
      <c r="F207" s="348">
        <v>197</v>
      </c>
      <c r="G207" s="186"/>
    </row>
    <row r="208" spans="1:7" s="13" customFormat="1" ht="42" customHeight="1">
      <c r="A208" s="77" t="s">
        <v>551</v>
      </c>
      <c r="B208" s="58" t="s">
        <v>111</v>
      </c>
      <c r="C208" s="43" t="s">
        <v>227</v>
      </c>
      <c r="D208" s="348">
        <v>3</v>
      </c>
      <c r="E208" s="348">
        <v>3</v>
      </c>
      <c r="F208" s="348">
        <v>3</v>
      </c>
      <c r="G208" s="186"/>
    </row>
    <row r="209" spans="1:7" s="13" customFormat="1" ht="70.5" customHeight="1">
      <c r="A209" s="244" t="s">
        <v>536</v>
      </c>
      <c r="B209" s="245" t="s">
        <v>198</v>
      </c>
      <c r="C209" s="245" t="s">
        <v>228</v>
      </c>
      <c r="D209" s="246">
        <f>SUM(D210:D217)</f>
        <v>32250.397700000001</v>
      </c>
      <c r="E209" s="246">
        <f t="shared" ref="E209:F209" si="53">SUM(E210:E217)</f>
        <v>24647</v>
      </c>
      <c r="F209" s="246">
        <f t="shared" si="53"/>
        <v>33140</v>
      </c>
      <c r="G209" s="247"/>
    </row>
    <row r="210" spans="1:7" s="13" customFormat="1" ht="48.75" hidden="1" customHeight="1">
      <c r="A210" s="74" t="s">
        <v>419</v>
      </c>
      <c r="B210" s="47" t="s">
        <v>111</v>
      </c>
      <c r="C210" s="43" t="s">
        <v>233</v>
      </c>
      <c r="D210" s="348"/>
      <c r="E210" s="38"/>
      <c r="F210" s="38"/>
      <c r="G210" s="253"/>
    </row>
    <row r="211" spans="1:7" s="13" customFormat="1" ht="21.75" customHeight="1">
      <c r="A211" s="74" t="s">
        <v>186</v>
      </c>
      <c r="B211" s="47" t="s">
        <v>111</v>
      </c>
      <c r="C211" s="43" t="s">
        <v>235</v>
      </c>
      <c r="D211" s="348">
        <f>23547-D212+8703.3977-11000</f>
        <v>4733.8756999999987</v>
      </c>
      <c r="E211" s="38">
        <f>24647-E212</f>
        <v>7358.9079999999994</v>
      </c>
      <c r="F211" s="38">
        <f>33140-F212</f>
        <v>9894.6810000000005</v>
      </c>
      <c r="G211" s="253"/>
    </row>
    <row r="212" spans="1:7" s="13" customFormat="1" ht="19.5" customHeight="1">
      <c r="A212" s="74" t="s">
        <v>166</v>
      </c>
      <c r="B212" s="47" t="s">
        <v>111</v>
      </c>
      <c r="C212" s="43" t="s">
        <v>234</v>
      </c>
      <c r="D212" s="348">
        <v>16516.522000000001</v>
      </c>
      <c r="E212" s="38">
        <v>17288.092000000001</v>
      </c>
      <c r="F212" s="38">
        <v>23245.319</v>
      </c>
      <c r="G212" s="253"/>
    </row>
    <row r="213" spans="1:7" s="13" customFormat="1" ht="45.75" hidden="1" customHeight="1">
      <c r="A213" s="74" t="s">
        <v>247</v>
      </c>
      <c r="B213" s="47" t="s">
        <v>111</v>
      </c>
      <c r="C213" s="43" t="s">
        <v>248</v>
      </c>
      <c r="D213" s="348"/>
      <c r="E213" s="38"/>
      <c r="F213" s="38"/>
      <c r="G213" s="253"/>
    </row>
    <row r="214" spans="1:7" s="13" customFormat="1" ht="60" hidden="1" customHeight="1">
      <c r="A214" s="74" t="s">
        <v>251</v>
      </c>
      <c r="B214" s="47" t="s">
        <v>392</v>
      </c>
      <c r="C214" s="43" t="s">
        <v>252</v>
      </c>
      <c r="D214" s="348"/>
      <c r="E214" s="38"/>
      <c r="F214" s="38"/>
      <c r="G214" s="253"/>
    </row>
    <row r="215" spans="1:7" s="13" customFormat="1" ht="52.5" hidden="1" customHeight="1">
      <c r="A215" s="74" t="s">
        <v>363</v>
      </c>
      <c r="B215" s="47" t="s">
        <v>111</v>
      </c>
      <c r="C215" s="43" t="s">
        <v>355</v>
      </c>
      <c r="D215" s="348"/>
      <c r="E215" s="38"/>
      <c r="F215" s="38"/>
      <c r="G215" s="253"/>
    </row>
    <row r="216" spans="1:7" s="13" customFormat="1" ht="66.75" hidden="1" customHeight="1">
      <c r="A216" s="74" t="s">
        <v>364</v>
      </c>
      <c r="B216" s="47" t="s">
        <v>111</v>
      </c>
      <c r="C216" s="43" t="s">
        <v>362</v>
      </c>
      <c r="D216" s="348"/>
      <c r="E216" s="38"/>
      <c r="F216" s="38"/>
      <c r="G216" s="253"/>
    </row>
    <row r="217" spans="1:7" s="13" customFormat="1" ht="19.5" customHeight="1">
      <c r="A217" s="74" t="s">
        <v>1137</v>
      </c>
      <c r="B217" s="47" t="s">
        <v>111</v>
      </c>
      <c r="C217" s="43" t="s">
        <v>1138</v>
      </c>
      <c r="D217" s="348">
        <v>11000</v>
      </c>
      <c r="E217" s="38">
        <v>0</v>
      </c>
      <c r="F217" s="38">
        <v>0</v>
      </c>
      <c r="G217" s="253"/>
    </row>
    <row r="218" spans="1:7" s="13" customFormat="1" ht="51" customHeight="1">
      <c r="A218" s="244" t="s">
        <v>444</v>
      </c>
      <c r="B218" s="245" t="s">
        <v>198</v>
      </c>
      <c r="C218" s="245" t="s">
        <v>259</v>
      </c>
      <c r="D218" s="246">
        <f>SUM(D219:D223)</f>
        <v>590</v>
      </c>
      <c r="E218" s="246">
        <f t="shared" ref="E218:F218" si="54">SUM(E219:E223)</f>
        <v>590</v>
      </c>
      <c r="F218" s="246">
        <f t="shared" si="54"/>
        <v>0</v>
      </c>
      <c r="G218" s="247"/>
    </row>
    <row r="219" spans="1:7" s="13" customFormat="1" ht="25.5" customHeight="1">
      <c r="A219" s="74" t="s">
        <v>407</v>
      </c>
      <c r="B219" s="47" t="s">
        <v>201</v>
      </c>
      <c r="C219" s="43" t="s">
        <v>260</v>
      </c>
      <c r="D219" s="348">
        <v>550</v>
      </c>
      <c r="E219" s="348">
        <v>550</v>
      </c>
      <c r="F219" s="348">
        <v>0</v>
      </c>
      <c r="G219" s="186"/>
    </row>
    <row r="220" spans="1:7" s="13" customFormat="1" ht="32.25" customHeight="1">
      <c r="A220" s="74" t="s">
        <v>406</v>
      </c>
      <c r="B220" s="47" t="s">
        <v>111</v>
      </c>
      <c r="C220" s="43" t="s">
        <v>336</v>
      </c>
      <c r="D220" s="348">
        <v>20</v>
      </c>
      <c r="E220" s="348">
        <v>20</v>
      </c>
      <c r="F220" s="348">
        <v>0</v>
      </c>
      <c r="G220" s="186"/>
    </row>
    <row r="221" spans="1:7" s="13" customFormat="1" ht="22.5" customHeight="1">
      <c r="A221" s="74" t="s">
        <v>408</v>
      </c>
      <c r="B221" s="47" t="s">
        <v>111</v>
      </c>
      <c r="C221" s="43" t="s">
        <v>405</v>
      </c>
      <c r="D221" s="348">
        <v>20</v>
      </c>
      <c r="E221" s="348">
        <v>20</v>
      </c>
      <c r="F221" s="348">
        <v>0</v>
      </c>
      <c r="G221" s="186"/>
    </row>
    <row r="222" spans="1:7" s="13" customFormat="1" ht="32.25" hidden="1" customHeight="1">
      <c r="A222" s="74" t="s">
        <v>415</v>
      </c>
      <c r="B222" s="47" t="s">
        <v>201</v>
      </c>
      <c r="C222" s="43" t="s">
        <v>416</v>
      </c>
      <c r="D222" s="348">
        <v>0</v>
      </c>
      <c r="E222" s="348">
        <v>0</v>
      </c>
      <c r="F222" s="348">
        <v>0</v>
      </c>
      <c r="G222" s="186"/>
    </row>
    <row r="223" spans="1:7" s="13" customFormat="1" ht="29.45" hidden="1" customHeight="1">
      <c r="A223" s="77" t="s">
        <v>569</v>
      </c>
      <c r="B223" s="58" t="s">
        <v>111</v>
      </c>
      <c r="C223" s="43" t="s">
        <v>568</v>
      </c>
      <c r="D223" s="348">
        <v>0</v>
      </c>
      <c r="E223" s="348">
        <v>0</v>
      </c>
      <c r="F223" s="348">
        <v>0</v>
      </c>
      <c r="G223" s="186"/>
    </row>
    <row r="224" spans="1:7" s="13" customFormat="1" ht="50.25" customHeight="1">
      <c r="A224" s="244" t="s">
        <v>998</v>
      </c>
      <c r="B224" s="245" t="s">
        <v>198</v>
      </c>
      <c r="C224" s="245" t="s">
        <v>261</v>
      </c>
      <c r="D224" s="246">
        <f>SUM(D225:D231)</f>
        <v>19929.803999999996</v>
      </c>
      <c r="E224" s="246">
        <f t="shared" ref="E224:F224" si="55">SUM(E225:E231)</f>
        <v>11550.454</v>
      </c>
      <c r="F224" s="246">
        <f t="shared" si="55"/>
        <v>11450.454</v>
      </c>
      <c r="G224" s="247"/>
    </row>
    <row r="225" spans="1:7" s="13" customFormat="1" ht="33" hidden="1" customHeight="1">
      <c r="A225" s="74" t="s">
        <v>264</v>
      </c>
      <c r="B225" s="47" t="s">
        <v>393</v>
      </c>
      <c r="C225" s="43" t="s">
        <v>258</v>
      </c>
      <c r="D225" s="348">
        <v>0</v>
      </c>
      <c r="E225" s="38">
        <v>0</v>
      </c>
      <c r="F225" s="38">
        <v>0</v>
      </c>
      <c r="G225" s="253"/>
    </row>
    <row r="226" spans="1:7" s="13" customFormat="1" ht="22.5" customHeight="1">
      <c r="A226" s="77" t="s">
        <v>123</v>
      </c>
      <c r="B226" s="58" t="s">
        <v>111</v>
      </c>
      <c r="C226" s="43" t="s">
        <v>257</v>
      </c>
      <c r="D226" s="348">
        <v>10</v>
      </c>
      <c r="E226" s="348">
        <v>10</v>
      </c>
      <c r="F226" s="348">
        <v>10</v>
      </c>
      <c r="G226" s="186"/>
    </row>
    <row r="227" spans="1:7" s="13" customFormat="1" ht="82.5" customHeight="1">
      <c r="A227" s="77" t="s">
        <v>265</v>
      </c>
      <c r="B227" s="58" t="s">
        <v>202</v>
      </c>
      <c r="C227" s="43" t="s">
        <v>254</v>
      </c>
      <c r="D227" s="348">
        <f>'2  '!D81</f>
        <v>10840.454</v>
      </c>
      <c r="E227" s="348">
        <f>'2  '!E81</f>
        <v>10840.454</v>
      </c>
      <c r="F227" s="348">
        <f>'2  '!F81</f>
        <v>10840.454</v>
      </c>
      <c r="G227" s="186"/>
    </row>
    <row r="228" spans="1:7" s="13" customFormat="1" ht="36.75" customHeight="1">
      <c r="A228" s="77" t="s">
        <v>168</v>
      </c>
      <c r="B228" s="58" t="s">
        <v>202</v>
      </c>
      <c r="C228" s="43" t="s">
        <v>255</v>
      </c>
      <c r="D228" s="348">
        <v>7899</v>
      </c>
      <c r="E228" s="348">
        <v>650</v>
      </c>
      <c r="F228" s="348">
        <v>600</v>
      </c>
      <c r="G228" s="186"/>
    </row>
    <row r="229" spans="1:7" s="13" customFormat="1" ht="29.65" hidden="1" customHeight="1">
      <c r="A229" s="77" t="s">
        <v>552</v>
      </c>
      <c r="B229" s="58" t="s">
        <v>202</v>
      </c>
      <c r="C229" s="43" t="s">
        <v>256</v>
      </c>
      <c r="D229" s="348">
        <v>0</v>
      </c>
      <c r="E229" s="348">
        <v>0</v>
      </c>
      <c r="F229" s="348">
        <v>0</v>
      </c>
      <c r="G229" s="186"/>
    </row>
    <row r="230" spans="1:7" s="13" customFormat="1" ht="43.15" hidden="1" customHeight="1">
      <c r="A230" s="77" t="s">
        <v>552</v>
      </c>
      <c r="B230" s="58" t="s">
        <v>202</v>
      </c>
      <c r="C230" s="43" t="s">
        <v>256</v>
      </c>
      <c r="D230" s="348"/>
      <c r="E230" s="348"/>
      <c r="F230" s="348"/>
      <c r="G230" s="186"/>
    </row>
    <row r="231" spans="1:7" s="13" customFormat="1" ht="40.5" customHeight="1">
      <c r="A231" s="77" t="s">
        <v>553</v>
      </c>
      <c r="B231" s="58" t="s">
        <v>202</v>
      </c>
      <c r="C231" s="43" t="s">
        <v>256</v>
      </c>
      <c r="D231" s="348">
        <f>1093.9+86.45</f>
        <v>1180.3500000000001</v>
      </c>
      <c r="E231" s="348">
        <v>50</v>
      </c>
      <c r="F231" s="348">
        <v>0</v>
      </c>
      <c r="G231" s="186"/>
    </row>
    <row r="232" spans="1:7" s="13" customFormat="1" ht="51.75" customHeight="1">
      <c r="A232" s="244" t="s">
        <v>528</v>
      </c>
      <c r="B232" s="245" t="s">
        <v>198</v>
      </c>
      <c r="C232" s="285" t="s">
        <v>282</v>
      </c>
      <c r="D232" s="246">
        <f>D233</f>
        <v>20</v>
      </c>
      <c r="E232" s="246">
        <f t="shared" ref="E232:F232" si="56">E233</f>
        <v>0</v>
      </c>
      <c r="F232" s="246">
        <f t="shared" si="56"/>
        <v>0</v>
      </c>
      <c r="G232" s="247"/>
    </row>
    <row r="233" spans="1:7" s="13" customFormat="1" ht="38.25" customHeight="1">
      <c r="A233" s="74" t="s">
        <v>283</v>
      </c>
      <c r="B233" s="47" t="s">
        <v>111</v>
      </c>
      <c r="C233" s="43" t="s">
        <v>284</v>
      </c>
      <c r="D233" s="348">
        <f t="shared" ref="D233:F233" si="57">D234</f>
        <v>20</v>
      </c>
      <c r="E233" s="38">
        <f t="shared" si="57"/>
        <v>0</v>
      </c>
      <c r="F233" s="38">
        <f t="shared" si="57"/>
        <v>0</v>
      </c>
      <c r="G233" s="253"/>
    </row>
    <row r="234" spans="1:7" s="13" customFormat="1" ht="27.75" customHeight="1">
      <c r="A234" s="74" t="s">
        <v>310</v>
      </c>
      <c r="B234" s="47" t="s">
        <v>111</v>
      </c>
      <c r="C234" s="43" t="s">
        <v>285</v>
      </c>
      <c r="D234" s="348">
        <v>20</v>
      </c>
      <c r="E234" s="348">
        <v>0</v>
      </c>
      <c r="F234" s="348">
        <v>0</v>
      </c>
      <c r="G234" s="186"/>
    </row>
    <row r="235" spans="1:7" s="13" customFormat="1" ht="63.75" customHeight="1">
      <c r="A235" s="244" t="s">
        <v>983</v>
      </c>
      <c r="B235" s="245" t="s">
        <v>198</v>
      </c>
      <c r="C235" s="245" t="s">
        <v>290</v>
      </c>
      <c r="D235" s="246">
        <f>D236+D237</f>
        <v>1471.52585</v>
      </c>
      <c r="E235" s="246">
        <f t="shared" ref="E235:F235" si="58">E236+E237</f>
        <v>0</v>
      </c>
      <c r="F235" s="246">
        <f t="shared" si="58"/>
        <v>0</v>
      </c>
      <c r="G235" s="247"/>
    </row>
    <row r="236" spans="1:7" s="13" customFormat="1" ht="57.75" customHeight="1">
      <c r="A236" s="77" t="s">
        <v>318</v>
      </c>
      <c r="B236" s="58" t="s">
        <v>111</v>
      </c>
      <c r="C236" s="43" t="s">
        <v>291</v>
      </c>
      <c r="D236" s="348">
        <f>'2  '!D69</f>
        <v>1456.81059</v>
      </c>
      <c r="E236" s="348">
        <f>'2  '!E69</f>
        <v>0</v>
      </c>
      <c r="F236" s="348">
        <f>'2  '!F69</f>
        <v>0</v>
      </c>
      <c r="G236" s="186"/>
    </row>
    <row r="237" spans="1:7" s="13" customFormat="1" ht="57" customHeight="1">
      <c r="A237" s="77" t="s">
        <v>319</v>
      </c>
      <c r="B237" s="58" t="s">
        <v>111</v>
      </c>
      <c r="C237" s="43" t="s">
        <v>516</v>
      </c>
      <c r="D237" s="348">
        <v>14.715260000000001</v>
      </c>
      <c r="E237" s="348">
        <f>E236/99</f>
        <v>0</v>
      </c>
      <c r="F237" s="348">
        <f>F236/99</f>
        <v>0</v>
      </c>
      <c r="G237" s="186"/>
    </row>
    <row r="238" spans="1:7" s="13" customFormat="1" ht="99.75" customHeight="1">
      <c r="A238" s="244" t="s">
        <v>402</v>
      </c>
      <c r="B238" s="245" t="s">
        <v>198</v>
      </c>
      <c r="C238" s="245" t="s">
        <v>381</v>
      </c>
      <c r="D238" s="246">
        <f>SUM(D239:D243)</f>
        <v>39658.429229999994</v>
      </c>
      <c r="E238" s="246">
        <f t="shared" ref="E238:F238" si="59">SUM(E239:E243)</f>
        <v>0</v>
      </c>
      <c r="F238" s="246">
        <f t="shared" si="59"/>
        <v>0</v>
      </c>
      <c r="G238" s="247"/>
    </row>
    <row r="239" spans="1:7" s="13" customFormat="1" ht="52.5" customHeight="1">
      <c r="A239" s="77" t="s">
        <v>383</v>
      </c>
      <c r="B239" s="58" t="s">
        <v>111</v>
      </c>
      <c r="C239" s="43" t="s">
        <v>385</v>
      </c>
      <c r="D239" s="348">
        <f>'2  '!D85</f>
        <v>22636.36923</v>
      </c>
      <c r="E239" s="348">
        <v>0</v>
      </c>
      <c r="F239" s="348">
        <v>0</v>
      </c>
      <c r="G239" s="186"/>
    </row>
    <row r="240" spans="1:7" s="13" customFormat="1" ht="33" hidden="1" customHeight="1">
      <c r="A240" s="77" t="s">
        <v>384</v>
      </c>
      <c r="B240" s="58" t="s">
        <v>111</v>
      </c>
      <c r="C240" s="43" t="s">
        <v>386</v>
      </c>
      <c r="D240" s="348"/>
      <c r="E240" s="348"/>
      <c r="F240" s="348"/>
      <c r="G240" s="186"/>
    </row>
    <row r="241" spans="1:9" s="13" customFormat="1" ht="69" customHeight="1">
      <c r="A241" s="77" t="s">
        <v>1149</v>
      </c>
      <c r="B241" s="58" t="s">
        <v>111</v>
      </c>
      <c r="C241" s="43" t="s">
        <v>927</v>
      </c>
      <c r="D241" s="348">
        <f>'2  '!D84-D328</f>
        <v>17022.059999999994</v>
      </c>
      <c r="E241" s="348">
        <v>0</v>
      </c>
      <c r="F241" s="348">
        <v>0</v>
      </c>
      <c r="G241" s="186"/>
    </row>
    <row r="242" spans="1:9" s="13" customFormat="1" ht="44.65" hidden="1" customHeight="1">
      <c r="A242" s="74" t="s">
        <v>924</v>
      </c>
      <c r="B242" s="47" t="s">
        <v>111</v>
      </c>
      <c r="C242" s="43" t="s">
        <v>927</v>
      </c>
      <c r="D242" s="348"/>
      <c r="E242" s="348"/>
      <c r="F242" s="348"/>
      <c r="G242" s="186"/>
    </row>
    <row r="243" spans="1:9" s="13" customFormat="1" ht="44.65" hidden="1" customHeight="1">
      <c r="A243" s="74" t="s">
        <v>382</v>
      </c>
      <c r="B243" s="47" t="s">
        <v>111</v>
      </c>
      <c r="C243" s="43" t="s">
        <v>442</v>
      </c>
      <c r="D243" s="348">
        <f>'2  '!D88</f>
        <v>0</v>
      </c>
      <c r="E243" s="348">
        <f>'2  '!E88</f>
        <v>0</v>
      </c>
      <c r="F243" s="348">
        <f>'2  '!F88</f>
        <v>0</v>
      </c>
      <c r="G243" s="186"/>
    </row>
    <row r="244" spans="1:9" s="13" customFormat="1" ht="33" hidden="1" customHeight="1">
      <c r="A244" s="244" t="s">
        <v>481</v>
      </c>
      <c r="B244" s="245" t="s">
        <v>198</v>
      </c>
      <c r="C244" s="287">
        <v>1600000000</v>
      </c>
      <c r="D244" s="246">
        <f>D245</f>
        <v>0</v>
      </c>
      <c r="E244" s="246">
        <f>E245</f>
        <v>0</v>
      </c>
      <c r="F244" s="246">
        <f>F245</f>
        <v>0</v>
      </c>
      <c r="G244" s="247"/>
    </row>
    <row r="245" spans="1:9" s="13" customFormat="1" ht="16.149999999999999" hidden="1" customHeight="1">
      <c r="A245" s="74" t="s">
        <v>437</v>
      </c>
      <c r="B245" s="47" t="s">
        <v>111</v>
      </c>
      <c r="C245" s="43" t="s">
        <v>451</v>
      </c>
      <c r="D245" s="348"/>
      <c r="E245" s="348"/>
      <c r="F245" s="348"/>
      <c r="G245" s="186"/>
    </row>
    <row r="246" spans="1:9" s="13" customFormat="1" ht="44.65" hidden="1" customHeight="1">
      <c r="A246" s="74"/>
      <c r="B246" s="47"/>
      <c r="C246" s="43"/>
      <c r="D246" s="348"/>
      <c r="E246" s="38"/>
      <c r="F246" s="38"/>
      <c r="G246" s="253"/>
    </row>
    <row r="247" spans="1:9" s="13" customFormat="1" ht="44.65" customHeight="1">
      <c r="A247" s="244" t="s">
        <v>1054</v>
      </c>
      <c r="B247" s="245" t="s">
        <v>198</v>
      </c>
      <c r="C247" s="287">
        <v>1700000000</v>
      </c>
      <c r="D247" s="246">
        <f>D248</f>
        <v>20</v>
      </c>
      <c r="E247" s="246">
        <f>E248</f>
        <v>0</v>
      </c>
      <c r="F247" s="246">
        <f>F248</f>
        <v>0</v>
      </c>
      <c r="G247" s="247"/>
    </row>
    <row r="248" spans="1:9" s="13" customFormat="1" ht="39" customHeight="1">
      <c r="A248" s="77" t="s">
        <v>540</v>
      </c>
      <c r="B248" s="58" t="s">
        <v>111</v>
      </c>
      <c r="C248" s="43" t="s">
        <v>541</v>
      </c>
      <c r="D248" s="348">
        <v>20</v>
      </c>
      <c r="E248" s="348">
        <v>0</v>
      </c>
      <c r="F248" s="348">
        <v>0</v>
      </c>
      <c r="G248" s="186"/>
    </row>
    <row r="249" spans="1:9" s="13" customFormat="1" ht="34.5" customHeight="1">
      <c r="A249" s="244" t="s">
        <v>571</v>
      </c>
      <c r="B249" s="245" t="s">
        <v>111</v>
      </c>
      <c r="C249" s="285" t="s">
        <v>572</v>
      </c>
      <c r="D249" s="246">
        <f t="shared" ref="D249:F249" si="60">D251+D250</f>
        <v>2039.3089499999999</v>
      </c>
      <c r="E249" s="246">
        <f t="shared" si="60"/>
        <v>1652.9814337095372</v>
      </c>
      <c r="F249" s="246">
        <f t="shared" si="60"/>
        <v>2206.234999379883</v>
      </c>
      <c r="G249" s="247"/>
    </row>
    <row r="250" spans="1:9" s="13" customFormat="1" ht="50.25" customHeight="1">
      <c r="A250" s="161" t="s">
        <v>890</v>
      </c>
      <c r="B250" s="58" t="s">
        <v>111</v>
      </c>
      <c r="C250" s="43" t="s">
        <v>573</v>
      </c>
      <c r="D250" s="348">
        <f>'2  '!D51</f>
        <v>1018.1385399999999</v>
      </c>
      <c r="E250" s="348">
        <f>'2  '!E51</f>
        <v>1332.7989299999999</v>
      </c>
      <c r="F250" s="348">
        <f>'2  '!F51</f>
        <v>1778.8872799999997</v>
      </c>
      <c r="G250" s="288"/>
      <c r="H250" s="289"/>
      <c r="I250" s="289"/>
    </row>
    <row r="251" spans="1:9" s="13" customFormat="1" ht="68.25" customHeight="1">
      <c r="A251" s="290" t="s">
        <v>898</v>
      </c>
      <c r="B251" s="58" t="s">
        <v>111</v>
      </c>
      <c r="C251" s="43" t="s">
        <v>573</v>
      </c>
      <c r="D251" s="4">
        <v>1021.1704099999999</v>
      </c>
      <c r="E251" s="4">
        <f>E250*19.37/80.63</f>
        <v>320.1825037095374</v>
      </c>
      <c r="F251" s="4">
        <f>F250*19.37/80.63</f>
        <v>427.34771937988342</v>
      </c>
      <c r="G251" s="186"/>
      <c r="H251" s="291"/>
      <c r="I251" s="289"/>
    </row>
    <row r="252" spans="1:9" s="13" customFormat="1" ht="83.25" customHeight="1">
      <c r="A252" s="244" t="s">
        <v>935</v>
      </c>
      <c r="B252" s="245" t="s">
        <v>111</v>
      </c>
      <c r="C252" s="285" t="s">
        <v>894</v>
      </c>
      <c r="D252" s="246">
        <f t="shared" ref="D252:F252" si="61">D254+D253+D255</f>
        <v>10508.46831</v>
      </c>
      <c r="E252" s="246">
        <f t="shared" si="61"/>
        <v>3.3870800000000001</v>
      </c>
      <c r="F252" s="246">
        <f t="shared" si="61"/>
        <v>0</v>
      </c>
      <c r="G252" s="247"/>
    </row>
    <row r="253" spans="1:9" s="13" customFormat="1" ht="55.5" customHeight="1">
      <c r="A253" s="77" t="s">
        <v>989</v>
      </c>
      <c r="B253" s="58" t="s">
        <v>111</v>
      </c>
      <c r="C253" s="58" t="s">
        <v>895</v>
      </c>
      <c r="D253" s="4">
        <f>'2  '!D64</f>
        <v>8404.0649799999992</v>
      </c>
      <c r="E253" s="4">
        <f>'2  '!E64</f>
        <v>0</v>
      </c>
      <c r="F253" s="4">
        <f>'2  '!F64</f>
        <v>0</v>
      </c>
      <c r="G253" s="277"/>
    </row>
    <row r="254" spans="1:9" s="13" customFormat="1" ht="69.75" customHeight="1">
      <c r="A254" s="77" t="s">
        <v>896</v>
      </c>
      <c r="B254" s="58" t="s">
        <v>111</v>
      </c>
      <c r="C254" s="58" t="s">
        <v>897</v>
      </c>
      <c r="D254" s="4">
        <v>2101.0162500000001</v>
      </c>
      <c r="E254" s="4">
        <f t="shared" ref="E254:F254" si="62">E253*20/100</f>
        <v>0</v>
      </c>
      <c r="F254" s="4">
        <f t="shared" si="62"/>
        <v>0</v>
      </c>
      <c r="G254" s="277"/>
    </row>
    <row r="255" spans="1:9" s="13" customFormat="1" ht="95.25" customHeight="1">
      <c r="A255" s="77" t="s">
        <v>693</v>
      </c>
      <c r="B255" s="58" t="s">
        <v>111</v>
      </c>
      <c r="C255" s="58" t="s">
        <v>899</v>
      </c>
      <c r="D255" s="4">
        <f>'2  '!D86</f>
        <v>3.3870800000000001</v>
      </c>
      <c r="E255" s="4">
        <f>'2  '!E86</f>
        <v>3.3870800000000001</v>
      </c>
      <c r="F255" s="4">
        <v>0</v>
      </c>
      <c r="G255" s="277"/>
    </row>
    <row r="256" spans="1:9" s="200" customFormat="1" ht="46.5" customHeight="1">
      <c r="A256" s="244" t="s">
        <v>902</v>
      </c>
      <c r="B256" s="292" t="s">
        <v>111</v>
      </c>
      <c r="C256" s="293" t="s">
        <v>903</v>
      </c>
      <c r="D256" s="294">
        <f>D259+D260+D257+D258+D261+D262</f>
        <v>1638.3173400000001</v>
      </c>
      <c r="E256" s="294">
        <f t="shared" ref="E256:F256" si="63">E259+E260+E257+E258+E261+E262</f>
        <v>0</v>
      </c>
      <c r="F256" s="294">
        <f t="shared" si="63"/>
        <v>0</v>
      </c>
      <c r="G256" s="295"/>
    </row>
    <row r="257" spans="1:8" s="200" customFormat="1" ht="95.25" hidden="1" customHeight="1">
      <c r="A257" s="77" t="s">
        <v>953</v>
      </c>
      <c r="B257" s="58" t="s">
        <v>111</v>
      </c>
      <c r="C257" s="43" t="s">
        <v>917</v>
      </c>
      <c r="D257" s="4">
        <f>'2  '!D59</f>
        <v>0</v>
      </c>
      <c r="E257" s="4">
        <f>'2  '!E50</f>
        <v>0</v>
      </c>
      <c r="F257" s="4">
        <f>'2  '!F50</f>
        <v>0</v>
      </c>
      <c r="G257" s="277"/>
    </row>
    <row r="258" spans="1:8" s="200" customFormat="1" ht="104.25" hidden="1" customHeight="1">
      <c r="A258" s="77" t="s">
        <v>954</v>
      </c>
      <c r="B258" s="58" t="s">
        <v>111</v>
      </c>
      <c r="C258" s="43" t="s">
        <v>917</v>
      </c>
      <c r="D258" s="4"/>
      <c r="E258" s="4"/>
      <c r="F258" s="4"/>
      <c r="G258" s="277"/>
    </row>
    <row r="259" spans="1:8" s="13" customFormat="1" ht="43.5" hidden="1" customHeight="1">
      <c r="A259" s="77" t="s">
        <v>945</v>
      </c>
      <c r="B259" s="371">
        <v>951</v>
      </c>
      <c r="C259" s="58" t="s">
        <v>901</v>
      </c>
      <c r="D259" s="4">
        <f>'2  '!D63</f>
        <v>0</v>
      </c>
      <c r="E259" s="4">
        <f>'2  '!E118</f>
        <v>0</v>
      </c>
      <c r="F259" s="4">
        <f>'2  '!F118</f>
        <v>0</v>
      </c>
      <c r="G259" s="277"/>
    </row>
    <row r="260" spans="1:8" s="13" customFormat="1" ht="78.75" hidden="1" customHeight="1">
      <c r="A260" s="77" t="s">
        <v>949</v>
      </c>
      <c r="B260" s="371">
        <v>951</v>
      </c>
      <c r="C260" s="58" t="s">
        <v>906</v>
      </c>
      <c r="D260" s="4"/>
      <c r="E260" s="4"/>
      <c r="F260" s="4"/>
      <c r="G260" s="277"/>
    </row>
    <row r="261" spans="1:8" s="13" customFormat="1" ht="40.5" customHeight="1">
      <c r="A261" s="77" t="s">
        <v>1145</v>
      </c>
      <c r="B261" s="371">
        <v>951</v>
      </c>
      <c r="C261" s="58" t="s">
        <v>1132</v>
      </c>
      <c r="D261" s="4">
        <f>1923+15+145-612.06266</f>
        <v>1470.9373399999999</v>
      </c>
      <c r="E261" s="4">
        <v>0</v>
      </c>
      <c r="F261" s="4">
        <v>0</v>
      </c>
      <c r="G261" s="277"/>
      <c r="H261" s="90"/>
    </row>
    <row r="262" spans="1:8" s="13" customFormat="1" ht="43.5" customHeight="1">
      <c r="A262" s="77" t="s">
        <v>1146</v>
      </c>
      <c r="B262" s="371">
        <v>951</v>
      </c>
      <c r="C262" s="58" t="s">
        <v>1133</v>
      </c>
      <c r="D262" s="4">
        <v>167.38</v>
      </c>
      <c r="E262" s="4">
        <v>0</v>
      </c>
      <c r="F262" s="4">
        <v>0</v>
      </c>
      <c r="G262" s="277"/>
      <c r="H262" s="90"/>
    </row>
    <row r="263" spans="1:8" s="13" customFormat="1" ht="63.75" customHeight="1">
      <c r="A263" s="349" t="s">
        <v>984</v>
      </c>
      <c r="B263" s="296">
        <v>951</v>
      </c>
      <c r="C263" s="297" t="s">
        <v>969</v>
      </c>
      <c r="D263" s="298">
        <f>D264</f>
        <v>7418.9593300000006</v>
      </c>
      <c r="E263" s="298">
        <f t="shared" ref="E263:F263" si="64">E264</f>
        <v>0</v>
      </c>
      <c r="F263" s="298">
        <f t="shared" si="64"/>
        <v>0</v>
      </c>
      <c r="G263" s="299"/>
    </row>
    <row r="264" spans="1:8" s="13" customFormat="1" ht="38.25" customHeight="1">
      <c r="A264" s="77" t="s">
        <v>967</v>
      </c>
      <c r="B264" s="58" t="s">
        <v>111</v>
      </c>
      <c r="C264" s="58" t="s">
        <v>991</v>
      </c>
      <c r="D264" s="4">
        <f>'2  '!D57</f>
        <v>7418.9593300000006</v>
      </c>
      <c r="E264" s="4">
        <f>'2  '!E57</f>
        <v>0</v>
      </c>
      <c r="F264" s="4">
        <v>0</v>
      </c>
      <c r="G264" s="277"/>
    </row>
    <row r="265" spans="1:8" s="206" customFormat="1" ht="18" customHeight="1">
      <c r="A265" s="221" t="s">
        <v>75</v>
      </c>
      <c r="B265" s="300"/>
      <c r="C265" s="301"/>
      <c r="D265" s="224">
        <f>D153+D151+D129+D122+D119+D112+D12+D204+D209+D218+D224+D232+D235+D238+D244+D247+D249+D252+D256+D263</f>
        <v>949165.68944515137</v>
      </c>
      <c r="E265" s="224">
        <f>E153+E151+E129+E122+E119+E112+E12+E204+E209+E218+E224+E232+E235+E238+E244+E247+E249+E252+E256+E263</f>
        <v>780898.33144401282</v>
      </c>
      <c r="F265" s="224">
        <f>F153+F151+F129+F122+F119+F112+F12+F204+F209+F218+F224+F232+F235+F238+F244+F247+F249+F252+F256+F263</f>
        <v>832856.04759124864</v>
      </c>
      <c r="G265" s="302"/>
    </row>
    <row r="266" spans="1:8" ht="18" customHeight="1">
      <c r="A266" s="402" t="s">
        <v>184</v>
      </c>
      <c r="B266" s="403"/>
      <c r="C266" s="403"/>
      <c r="D266" s="403"/>
      <c r="E266" s="404"/>
      <c r="F266" s="404"/>
      <c r="G266" s="303"/>
    </row>
    <row r="267" spans="1:8" ht="30" hidden="1" customHeight="1">
      <c r="A267" s="74" t="s">
        <v>104</v>
      </c>
      <c r="B267" s="304"/>
      <c r="C267" s="305" t="s">
        <v>1</v>
      </c>
      <c r="D267" s="306"/>
      <c r="E267" s="307"/>
      <c r="F267" s="307"/>
      <c r="G267" s="308"/>
    </row>
    <row r="268" spans="1:8" hidden="1">
      <c r="A268" s="74" t="s">
        <v>76</v>
      </c>
      <c r="B268" s="304"/>
      <c r="C268" s="305" t="s">
        <v>2</v>
      </c>
      <c r="D268" s="306"/>
      <c r="E268" s="307"/>
      <c r="F268" s="307"/>
      <c r="G268" s="308"/>
    </row>
    <row r="269" spans="1:8" ht="21.75" customHeight="1">
      <c r="A269" s="74" t="s">
        <v>203</v>
      </c>
      <c r="B269" s="47" t="s">
        <v>111</v>
      </c>
      <c r="C269" s="58" t="s">
        <v>3</v>
      </c>
      <c r="D269" s="4">
        <v>3270.7910000000002</v>
      </c>
      <c r="E269" s="4">
        <v>3433.2802999999999</v>
      </c>
      <c r="F269" s="4">
        <v>3603.8943800000002</v>
      </c>
      <c r="G269" s="277"/>
    </row>
    <row r="270" spans="1:8" ht="21.75" customHeight="1">
      <c r="A270" s="74" t="s">
        <v>90</v>
      </c>
      <c r="B270" s="47" t="s">
        <v>199</v>
      </c>
      <c r="C270" s="58" t="s">
        <v>4</v>
      </c>
      <c r="D270" s="4">
        <f>3125.5+15</f>
        <v>3140.5</v>
      </c>
      <c r="E270" s="4">
        <v>3250.5</v>
      </c>
      <c r="F270" s="4">
        <f>3380</f>
        <v>3380</v>
      </c>
      <c r="G270" s="277"/>
    </row>
    <row r="271" spans="1:8" ht="34.5" customHeight="1">
      <c r="A271" s="74" t="s">
        <v>106</v>
      </c>
      <c r="B271" s="47"/>
      <c r="C271" s="58" t="s">
        <v>5</v>
      </c>
      <c r="D271" s="4">
        <f>70474.313+120+813.6+381</f>
        <v>71788.913</v>
      </c>
      <c r="E271" s="4">
        <f>72158.046+0.00264</f>
        <v>72158.048640000008</v>
      </c>
      <c r="F271" s="4">
        <f>68374.07913-316.068-248.29927</f>
        <v>67809.711859999996</v>
      </c>
      <c r="G271" s="277"/>
      <c r="H271" s="309"/>
    </row>
    <row r="272" spans="1:8" ht="37.5" customHeight="1">
      <c r="A272" s="310" t="s">
        <v>907</v>
      </c>
      <c r="B272" s="311"/>
      <c r="C272" s="311" t="s">
        <v>904</v>
      </c>
      <c r="D272" s="312">
        <f>33+50+2</f>
        <v>85</v>
      </c>
      <c r="E272" s="312">
        <f t="shared" ref="E272:F272" si="65">33+50</f>
        <v>83</v>
      </c>
      <c r="F272" s="312">
        <f t="shared" si="65"/>
        <v>83</v>
      </c>
      <c r="G272" s="313"/>
    </row>
    <row r="273" spans="1:8" ht="22.5" customHeight="1">
      <c r="A273" s="74" t="s">
        <v>91</v>
      </c>
      <c r="B273" s="47" t="s">
        <v>200</v>
      </c>
      <c r="C273" s="58" t="s">
        <v>6</v>
      </c>
      <c r="D273" s="4">
        <v>2787.7</v>
      </c>
      <c r="E273" s="4">
        <v>2847.2080000000001</v>
      </c>
      <c r="F273" s="4">
        <v>2961.096</v>
      </c>
      <c r="G273" s="277"/>
      <c r="H273" s="42"/>
    </row>
    <row r="274" spans="1:8" ht="15" hidden="1" customHeight="1">
      <c r="A274" s="74" t="s">
        <v>92</v>
      </c>
      <c r="B274" s="47"/>
      <c r="C274" s="58" t="s">
        <v>8</v>
      </c>
      <c r="D274" s="4"/>
      <c r="E274" s="18"/>
      <c r="F274" s="18"/>
      <c r="G274" s="314"/>
    </row>
    <row r="275" spans="1:8" ht="15" hidden="1" customHeight="1">
      <c r="A275" s="77" t="s">
        <v>570</v>
      </c>
      <c r="B275" s="58" t="s">
        <v>202</v>
      </c>
      <c r="C275" s="58" t="s">
        <v>576</v>
      </c>
      <c r="D275" s="4"/>
      <c r="E275" s="4"/>
      <c r="F275" s="4"/>
      <c r="G275" s="277"/>
    </row>
    <row r="276" spans="1:8" ht="21.75" customHeight="1">
      <c r="A276" s="74" t="s">
        <v>93</v>
      </c>
      <c r="B276" s="47" t="s">
        <v>111</v>
      </c>
      <c r="C276" s="58" t="s">
        <v>9</v>
      </c>
      <c r="D276" s="4">
        <f>100+400</f>
        <v>500</v>
      </c>
      <c r="E276" s="4">
        <v>50</v>
      </c>
      <c r="F276" s="4">
        <v>50</v>
      </c>
      <c r="G276" s="277"/>
    </row>
    <row r="277" spans="1:8" ht="35.25" customHeight="1">
      <c r="A277" s="74" t="s">
        <v>185</v>
      </c>
      <c r="B277" s="47" t="s">
        <v>111</v>
      </c>
      <c r="C277" s="58" t="s">
        <v>10</v>
      </c>
      <c r="D277" s="4">
        <v>200</v>
      </c>
      <c r="E277" s="4">
        <v>50</v>
      </c>
      <c r="F277" s="4">
        <v>50</v>
      </c>
      <c r="G277" s="277"/>
      <c r="H277" s="42"/>
    </row>
    <row r="278" spans="1:8" ht="33.75" customHeight="1">
      <c r="A278" s="74" t="s">
        <v>1143</v>
      </c>
      <c r="B278" s="47" t="s">
        <v>111</v>
      </c>
      <c r="C278" s="58" t="s">
        <v>1135</v>
      </c>
      <c r="D278" s="4">
        <v>8314.35</v>
      </c>
      <c r="E278" s="4">
        <v>0</v>
      </c>
      <c r="F278" s="4">
        <v>0</v>
      </c>
      <c r="G278" s="277"/>
    </row>
    <row r="279" spans="1:8" ht="28.15" hidden="1" customHeight="1">
      <c r="A279" s="74"/>
      <c r="B279" s="47"/>
      <c r="C279" s="58"/>
      <c r="D279" s="4"/>
      <c r="E279" s="4"/>
      <c r="F279" s="4"/>
      <c r="G279" s="277"/>
    </row>
    <row r="280" spans="1:8" ht="36" hidden="1" customHeight="1">
      <c r="A280" s="77" t="s">
        <v>26</v>
      </c>
      <c r="B280" s="371">
        <v>951</v>
      </c>
      <c r="C280" s="58" t="s">
        <v>11</v>
      </c>
      <c r="D280" s="4"/>
      <c r="E280" s="4"/>
      <c r="F280" s="4"/>
      <c r="G280" s="277"/>
    </row>
    <row r="281" spans="1:8" ht="17.25" hidden="1" customHeight="1">
      <c r="A281" s="74" t="s">
        <v>186</v>
      </c>
      <c r="B281" s="286"/>
      <c r="C281" s="58" t="s">
        <v>12</v>
      </c>
      <c r="D281" s="4"/>
      <c r="E281" s="18"/>
      <c r="F281" s="18"/>
      <c r="G281" s="314"/>
    </row>
    <row r="282" spans="1:8" ht="16.149999999999999" hidden="1" customHeight="1">
      <c r="A282" s="74" t="s">
        <v>289</v>
      </c>
      <c r="B282" s="47" t="s">
        <v>111</v>
      </c>
      <c r="C282" s="58" t="s">
        <v>13</v>
      </c>
      <c r="D282" s="4"/>
      <c r="E282" s="18"/>
      <c r="F282" s="18"/>
      <c r="G282" s="314"/>
    </row>
    <row r="283" spans="1:8" ht="19.5" customHeight="1">
      <c r="A283" s="74" t="s">
        <v>188</v>
      </c>
      <c r="B283" s="47" t="s">
        <v>111</v>
      </c>
      <c r="C283" s="58" t="s">
        <v>14</v>
      </c>
      <c r="D283" s="4">
        <f>90+612.06266</f>
        <v>702.06266000000005</v>
      </c>
      <c r="E283" s="18">
        <v>50</v>
      </c>
      <c r="F283" s="18">
        <v>50</v>
      </c>
      <c r="G283" s="314"/>
    </row>
    <row r="284" spans="1:8" ht="59.25" hidden="1" customHeight="1">
      <c r="A284" s="74" t="s">
        <v>585</v>
      </c>
      <c r="B284" s="47" t="s">
        <v>111</v>
      </c>
      <c r="C284" s="58" t="s">
        <v>595</v>
      </c>
      <c r="D284" s="4"/>
      <c r="E284" s="18"/>
      <c r="F284" s="18"/>
      <c r="G284" s="314"/>
    </row>
    <row r="285" spans="1:8" ht="8.25" hidden="1" customHeight="1">
      <c r="A285" s="74" t="s">
        <v>981</v>
      </c>
      <c r="B285" s="47" t="s">
        <v>111</v>
      </c>
      <c r="C285" s="58" t="s">
        <v>596</v>
      </c>
      <c r="D285" s="4"/>
      <c r="E285" s="18"/>
      <c r="F285" s="18"/>
      <c r="G285" s="314"/>
    </row>
    <row r="286" spans="1:8" ht="20.25" customHeight="1">
      <c r="A286" s="74" t="s">
        <v>189</v>
      </c>
      <c r="B286" s="47" t="s">
        <v>111</v>
      </c>
      <c r="C286" s="58" t="s">
        <v>15</v>
      </c>
      <c r="D286" s="4">
        <v>350</v>
      </c>
      <c r="E286" s="4">
        <v>50</v>
      </c>
      <c r="F286" s="4">
        <v>50</v>
      </c>
      <c r="G286" s="277"/>
    </row>
    <row r="287" spans="1:8" ht="21.75" customHeight="1">
      <c r="A287" s="74" t="s">
        <v>231</v>
      </c>
      <c r="B287" s="47" t="s">
        <v>111</v>
      </c>
      <c r="C287" s="58" t="s">
        <v>63</v>
      </c>
      <c r="D287" s="4">
        <f>1200+972</f>
        <v>2172</v>
      </c>
      <c r="E287" s="4">
        <f>1200+897.79735</f>
        <v>2097.7973499999998</v>
      </c>
      <c r="F287" s="4">
        <f>1200+220.81121</f>
        <v>1420.8112100000001</v>
      </c>
      <c r="G287" s="277"/>
    </row>
    <row r="288" spans="1:8" ht="15.75" hidden="1" customHeight="1">
      <c r="A288" s="74" t="s">
        <v>116</v>
      </c>
      <c r="B288" s="47" t="s">
        <v>111</v>
      </c>
      <c r="C288" s="58" t="s">
        <v>69</v>
      </c>
      <c r="D288" s="4"/>
      <c r="E288" s="18"/>
      <c r="F288" s="18"/>
      <c r="G288" s="314"/>
    </row>
    <row r="289" spans="1:7" ht="19.5" customHeight="1">
      <c r="A289" s="77" t="s">
        <v>232</v>
      </c>
      <c r="B289" s="58" t="s">
        <v>111</v>
      </c>
      <c r="C289" s="58" t="s">
        <v>70</v>
      </c>
      <c r="D289" s="4">
        <v>1285</v>
      </c>
      <c r="E289" s="4">
        <v>85</v>
      </c>
      <c r="F289" s="4">
        <v>85</v>
      </c>
      <c r="G289" s="277"/>
    </row>
    <row r="290" spans="1:7" ht="30" hidden="1" customHeight="1">
      <c r="A290" s="77" t="s">
        <v>168</v>
      </c>
      <c r="B290" s="58" t="s">
        <v>111</v>
      </c>
      <c r="C290" s="58" t="s">
        <v>71</v>
      </c>
      <c r="D290" s="4"/>
      <c r="E290" s="4"/>
      <c r="F290" s="4"/>
      <c r="G290" s="277"/>
    </row>
    <row r="291" spans="1:7" ht="17.25" hidden="1" customHeight="1">
      <c r="A291" s="77" t="s">
        <v>222</v>
      </c>
      <c r="B291" s="58" t="s">
        <v>111</v>
      </c>
      <c r="C291" s="58" t="s">
        <v>72</v>
      </c>
      <c r="D291" s="4"/>
      <c r="E291" s="4"/>
      <c r="F291" s="4"/>
      <c r="G291" s="277"/>
    </row>
    <row r="292" spans="1:7" ht="79.5" hidden="1" customHeight="1">
      <c r="A292" s="77" t="s">
        <v>246</v>
      </c>
      <c r="B292" s="58" t="s">
        <v>111</v>
      </c>
      <c r="C292" s="58" t="s">
        <v>245</v>
      </c>
      <c r="D292" s="4"/>
      <c r="E292" s="4"/>
      <c r="F292" s="4"/>
      <c r="G292" s="277"/>
    </row>
    <row r="293" spans="1:7" ht="36" customHeight="1">
      <c r="A293" s="77" t="s">
        <v>241</v>
      </c>
      <c r="B293" s="58" t="s">
        <v>111</v>
      </c>
      <c r="C293" s="58" t="s">
        <v>242</v>
      </c>
      <c r="D293" s="4">
        <v>3721.68</v>
      </c>
      <c r="E293" s="4">
        <v>0</v>
      </c>
      <c r="F293" s="4">
        <v>0</v>
      </c>
      <c r="G293" s="277"/>
    </row>
    <row r="294" spans="1:7" ht="17.25" customHeight="1">
      <c r="A294" s="77" t="s">
        <v>249</v>
      </c>
      <c r="B294" s="58" t="s">
        <v>111</v>
      </c>
      <c r="C294" s="58" t="s">
        <v>250</v>
      </c>
      <c r="D294" s="4">
        <f>2260-167.38</f>
        <v>2092.62</v>
      </c>
      <c r="E294" s="4">
        <v>60</v>
      </c>
      <c r="F294" s="4">
        <v>60</v>
      </c>
      <c r="G294" s="277"/>
    </row>
    <row r="295" spans="1:7" ht="23.25" hidden="1" customHeight="1">
      <c r="A295" s="77" t="s">
        <v>175</v>
      </c>
      <c r="B295" s="58" t="s">
        <v>111</v>
      </c>
      <c r="C295" s="58" t="s">
        <v>237</v>
      </c>
      <c r="D295" s="4"/>
      <c r="E295" s="4"/>
      <c r="F295" s="4"/>
      <c r="G295" s="277"/>
    </row>
    <row r="296" spans="1:7" ht="23.25" hidden="1" customHeight="1">
      <c r="A296" s="77" t="s">
        <v>273</v>
      </c>
      <c r="B296" s="58" t="s">
        <v>111</v>
      </c>
      <c r="C296" s="58" t="s">
        <v>274</v>
      </c>
      <c r="D296" s="4"/>
      <c r="E296" s="4"/>
      <c r="F296" s="4"/>
      <c r="G296" s="277"/>
    </row>
    <row r="297" spans="1:7" ht="1.5" hidden="1" customHeight="1">
      <c r="A297" s="77" t="s">
        <v>320</v>
      </c>
      <c r="B297" s="58" t="s">
        <v>111</v>
      </c>
      <c r="C297" s="58" t="s">
        <v>294</v>
      </c>
      <c r="D297" s="4"/>
      <c r="E297" s="4"/>
      <c r="F297" s="4"/>
      <c r="G297" s="277"/>
    </row>
    <row r="298" spans="1:7" ht="21" customHeight="1">
      <c r="A298" s="77" t="s">
        <v>280</v>
      </c>
      <c r="B298" s="58" t="s">
        <v>111</v>
      </c>
      <c r="C298" s="58" t="s">
        <v>281</v>
      </c>
      <c r="D298" s="4">
        <f>3000+7000-61.516-140-70-4.5-3-22-140-70-10.92</f>
        <v>9478.0640000000003</v>
      </c>
      <c r="E298" s="4">
        <v>3000</v>
      </c>
      <c r="F298" s="4">
        <v>3000</v>
      </c>
      <c r="G298" s="277"/>
    </row>
    <row r="299" spans="1:7" ht="38.25" hidden="1" customHeight="1">
      <c r="A299" s="77" t="s">
        <v>367</v>
      </c>
      <c r="B299" s="58" t="s">
        <v>111</v>
      </c>
      <c r="C299" s="58" t="s">
        <v>368</v>
      </c>
      <c r="D299" s="4"/>
      <c r="E299" s="4"/>
      <c r="F299" s="4"/>
      <c r="G299" s="277"/>
    </row>
    <row r="300" spans="1:7" ht="69" hidden="1" customHeight="1">
      <c r="A300" s="77" t="s">
        <v>563</v>
      </c>
      <c r="B300" s="58" t="s">
        <v>111</v>
      </c>
      <c r="C300" s="58" t="s">
        <v>559</v>
      </c>
      <c r="D300" s="4"/>
      <c r="E300" s="4"/>
      <c r="F300" s="4"/>
      <c r="G300" s="277"/>
    </row>
    <row r="301" spans="1:7" ht="54.75" customHeight="1">
      <c r="A301" s="77" t="s">
        <v>548</v>
      </c>
      <c r="B301" s="58" t="s">
        <v>111</v>
      </c>
      <c r="C301" s="58" t="s">
        <v>547</v>
      </c>
      <c r="D301" s="4">
        <f>70+140+140+70</f>
        <v>420</v>
      </c>
      <c r="E301" s="4">
        <v>0</v>
      </c>
      <c r="F301" s="4">
        <v>0</v>
      </c>
      <c r="G301" s="277"/>
    </row>
    <row r="302" spans="1:7" ht="50.25" hidden="1" customHeight="1">
      <c r="A302" s="77" t="s">
        <v>486</v>
      </c>
      <c r="B302" s="58" t="s">
        <v>111</v>
      </c>
      <c r="C302" s="58" t="s">
        <v>487</v>
      </c>
      <c r="D302" s="4"/>
      <c r="E302" s="4"/>
      <c r="F302" s="4"/>
      <c r="G302" s="277"/>
    </row>
    <row r="303" spans="1:7" ht="53.25" customHeight="1">
      <c r="A303" s="77" t="s">
        <v>482</v>
      </c>
      <c r="B303" s="58" t="s">
        <v>111</v>
      </c>
      <c r="C303" s="58" t="s">
        <v>483</v>
      </c>
      <c r="D303" s="4">
        <f>61.516+4.5+3+22</f>
        <v>91.015999999999991</v>
      </c>
      <c r="E303" s="4">
        <v>0</v>
      </c>
      <c r="F303" s="4">
        <v>0</v>
      </c>
      <c r="G303" s="277"/>
    </row>
    <row r="304" spans="1:7" ht="53.25" customHeight="1">
      <c r="A304" s="77" t="s">
        <v>1126</v>
      </c>
      <c r="B304" s="58" t="s">
        <v>111</v>
      </c>
      <c r="C304" s="58" t="s">
        <v>1125</v>
      </c>
      <c r="D304" s="4">
        <v>10.92</v>
      </c>
      <c r="E304" s="4">
        <v>0</v>
      </c>
      <c r="F304" s="4">
        <v>0</v>
      </c>
      <c r="G304" s="277"/>
    </row>
    <row r="305" spans="1:7" ht="20.25" customHeight="1">
      <c r="A305" s="77" t="s">
        <v>287</v>
      </c>
      <c r="B305" s="58" t="s">
        <v>111</v>
      </c>
      <c r="C305" s="58" t="s">
        <v>288</v>
      </c>
      <c r="D305" s="4">
        <v>144.62</v>
      </c>
      <c r="E305" s="4">
        <v>80.319999999999993</v>
      </c>
      <c r="F305" s="4">
        <v>80.319999999999993</v>
      </c>
      <c r="G305" s="277"/>
    </row>
    <row r="306" spans="1:7" ht="69.75" customHeight="1">
      <c r="A306" s="77" t="s">
        <v>292</v>
      </c>
      <c r="B306" s="58" t="s">
        <v>111</v>
      </c>
      <c r="C306" s="58" t="s">
        <v>293</v>
      </c>
      <c r="D306" s="4">
        <v>120</v>
      </c>
      <c r="E306" s="4">
        <v>20</v>
      </c>
      <c r="F306" s="4">
        <v>20</v>
      </c>
      <c r="G306" s="277"/>
    </row>
    <row r="307" spans="1:7" s="315" customFormat="1" ht="16.899999999999999" hidden="1" customHeight="1">
      <c r="A307" s="77" t="s">
        <v>413</v>
      </c>
      <c r="B307" s="58" t="s">
        <v>201</v>
      </c>
      <c r="C307" s="58" t="s">
        <v>414</v>
      </c>
      <c r="D307" s="4"/>
      <c r="E307" s="4"/>
      <c r="F307" s="4"/>
      <c r="G307" s="277"/>
    </row>
    <row r="308" spans="1:7" ht="16.899999999999999" hidden="1" customHeight="1">
      <c r="A308" s="77" t="s">
        <v>434</v>
      </c>
      <c r="B308" s="58" t="s">
        <v>111</v>
      </c>
      <c r="C308" s="58" t="s">
        <v>435</v>
      </c>
      <c r="D308" s="4"/>
      <c r="E308" s="4"/>
      <c r="F308" s="4"/>
      <c r="G308" s="277"/>
    </row>
    <row r="309" spans="1:7" ht="39.75" customHeight="1">
      <c r="A309" s="77" t="s">
        <v>484</v>
      </c>
      <c r="B309" s="58" t="s">
        <v>111</v>
      </c>
      <c r="C309" s="58" t="s">
        <v>485</v>
      </c>
      <c r="D309" s="4">
        <f>580</f>
        <v>580</v>
      </c>
      <c r="E309" s="4">
        <v>80</v>
      </c>
      <c r="F309" s="4">
        <v>80</v>
      </c>
      <c r="G309" s="277"/>
    </row>
    <row r="310" spans="1:7" ht="49.5" customHeight="1">
      <c r="A310" s="77" t="s">
        <v>1124</v>
      </c>
      <c r="B310" s="58" t="s">
        <v>111</v>
      </c>
      <c r="C310" s="58" t="s">
        <v>1123</v>
      </c>
      <c r="D310" s="4">
        <v>4610</v>
      </c>
      <c r="E310" s="4">
        <v>0</v>
      </c>
      <c r="F310" s="4">
        <v>0</v>
      </c>
      <c r="G310" s="277"/>
    </row>
    <row r="311" spans="1:7" ht="30.6" hidden="1" customHeight="1">
      <c r="A311" s="77" t="s">
        <v>550</v>
      </c>
      <c r="B311" s="58" t="s">
        <v>111</v>
      </c>
      <c r="C311" s="58" t="s">
        <v>549</v>
      </c>
      <c r="D311" s="4"/>
      <c r="E311" s="4"/>
      <c r="F311" s="4"/>
      <c r="G311" s="277"/>
    </row>
    <row r="312" spans="1:7" s="316" customFormat="1" ht="21" hidden="1" customHeight="1">
      <c r="A312" s="77" t="s">
        <v>717</v>
      </c>
      <c r="B312" s="58" t="s">
        <v>111</v>
      </c>
      <c r="C312" s="58" t="s">
        <v>539</v>
      </c>
      <c r="D312" s="4">
        <f>'2  '!D30</f>
        <v>830</v>
      </c>
      <c r="E312" s="4">
        <f>'2  '!E30</f>
        <v>830</v>
      </c>
      <c r="F312" s="4">
        <f>'2  '!F30</f>
        <v>830</v>
      </c>
      <c r="G312" s="277"/>
    </row>
    <row r="313" spans="1:7" ht="74.25" customHeight="1">
      <c r="A313" s="77" t="s">
        <v>77</v>
      </c>
      <c r="B313" s="58" t="s">
        <v>111</v>
      </c>
      <c r="C313" s="317">
        <v>9999959300</v>
      </c>
      <c r="D313" s="4">
        <f>'2  '!D91</f>
        <v>2693.587</v>
      </c>
      <c r="E313" s="4">
        <f>'2  '!E91</f>
        <v>2693.587</v>
      </c>
      <c r="F313" s="4">
        <f>'2  '!F91</f>
        <v>2693.587</v>
      </c>
      <c r="G313" s="277"/>
    </row>
    <row r="314" spans="1:7" ht="33" hidden="1" customHeight="1">
      <c r="A314" s="77" t="s">
        <v>378</v>
      </c>
      <c r="B314" s="58" t="s">
        <v>111</v>
      </c>
      <c r="C314" s="317" t="s">
        <v>379</v>
      </c>
      <c r="D314" s="4"/>
      <c r="E314" s="4"/>
      <c r="F314" s="4"/>
      <c r="G314" s="277"/>
    </row>
    <row r="315" spans="1:7" ht="51" customHeight="1">
      <c r="A315" s="77" t="s">
        <v>982</v>
      </c>
      <c r="B315" s="58" t="s">
        <v>111</v>
      </c>
      <c r="C315" s="317">
        <v>9999993180</v>
      </c>
      <c r="D315" s="4">
        <f>'2  '!D96</f>
        <v>461.44499999999999</v>
      </c>
      <c r="E315" s="4">
        <f>'2  '!E96</f>
        <v>481.61</v>
      </c>
      <c r="F315" s="4">
        <f>'2  '!F96</f>
        <v>500.87399999999997</v>
      </c>
      <c r="G315" s="277"/>
    </row>
    <row r="316" spans="1:7" ht="20.25" customHeight="1">
      <c r="A316" s="81" t="s">
        <v>395</v>
      </c>
      <c r="B316" s="58" t="s">
        <v>111</v>
      </c>
      <c r="C316" s="60" t="s">
        <v>397</v>
      </c>
      <c r="D316" s="8">
        <f>'2  '!D92</f>
        <v>2899.625</v>
      </c>
      <c r="E316" s="8">
        <f>'2  '!E92</f>
        <v>3025.78</v>
      </c>
      <c r="F316" s="8">
        <f>'2  '!F92</f>
        <v>3146.8129999999996</v>
      </c>
      <c r="G316" s="318"/>
    </row>
    <row r="317" spans="1:7" ht="38.25" customHeight="1">
      <c r="A317" s="77" t="s">
        <v>78</v>
      </c>
      <c r="B317" s="58" t="s">
        <v>111</v>
      </c>
      <c r="C317" s="58" t="s">
        <v>397</v>
      </c>
      <c r="D317" s="4">
        <f>'2  '!D94</f>
        <v>1702.3340000000001</v>
      </c>
      <c r="E317" s="4">
        <f>'2  '!E94</f>
        <v>1769.2260000000001</v>
      </c>
      <c r="F317" s="4">
        <f>'2  '!F94</f>
        <v>1830.0200000000002</v>
      </c>
      <c r="G317" s="277"/>
    </row>
    <row r="318" spans="1:7" ht="24" customHeight="1">
      <c r="A318" s="77" t="s">
        <v>79</v>
      </c>
      <c r="B318" s="58" t="s">
        <v>111</v>
      </c>
      <c r="C318" s="58" t="s">
        <v>397</v>
      </c>
      <c r="D318" s="4">
        <f>'2  '!D93</f>
        <v>1197.2910000000002</v>
      </c>
      <c r="E318" s="4">
        <f>'2  '!E93</f>
        <v>1256.5540000000001</v>
      </c>
      <c r="F318" s="4">
        <f>'2  '!F93</f>
        <v>1316.7930000000001</v>
      </c>
      <c r="G318" s="277"/>
    </row>
    <row r="319" spans="1:7" ht="53.25" customHeight="1">
      <c r="A319" s="77" t="s">
        <v>359</v>
      </c>
      <c r="B319" s="58" t="s">
        <v>111</v>
      </c>
      <c r="C319" s="58" t="s">
        <v>25</v>
      </c>
      <c r="D319" s="4">
        <f>'2  '!D83</f>
        <v>1485.3911900000001</v>
      </c>
      <c r="E319" s="4">
        <f>'2  '!E83</f>
        <v>1485.3911900000001</v>
      </c>
      <c r="F319" s="4">
        <f>'2  '!F83</f>
        <v>1485.3911900000001</v>
      </c>
      <c r="G319" s="277"/>
    </row>
    <row r="320" spans="1:7" ht="24" customHeight="1">
      <c r="A320" s="77" t="s">
        <v>80</v>
      </c>
      <c r="B320" s="58" t="s">
        <v>111</v>
      </c>
      <c r="C320" s="58" t="s">
        <v>7</v>
      </c>
      <c r="D320" s="4">
        <f>'2  '!D78</f>
        <v>1112.9279999999999</v>
      </c>
      <c r="E320" s="4">
        <f>'2  '!E78</f>
        <v>1158.722</v>
      </c>
      <c r="F320" s="4">
        <f>'2  '!F78</f>
        <v>1202.471</v>
      </c>
      <c r="G320" s="277"/>
    </row>
    <row r="321" spans="1:7" ht="36" customHeight="1">
      <c r="A321" s="77" t="s">
        <v>343</v>
      </c>
      <c r="B321" s="58" t="s">
        <v>111</v>
      </c>
      <c r="C321" s="58" t="s">
        <v>350</v>
      </c>
      <c r="D321" s="4">
        <f>'2  '!D79</f>
        <v>2610.29</v>
      </c>
      <c r="E321" s="4">
        <f>'2  '!E79</f>
        <v>2717.473</v>
      </c>
      <c r="F321" s="4">
        <f>'2  '!F79</f>
        <v>2819.8679999999999</v>
      </c>
      <c r="G321" s="277"/>
    </row>
    <row r="322" spans="1:7" ht="56.25" customHeight="1">
      <c r="A322" s="77" t="s">
        <v>383</v>
      </c>
      <c r="B322" s="58" t="s">
        <v>111</v>
      </c>
      <c r="C322" s="58" t="s">
        <v>351</v>
      </c>
      <c r="D322" s="4">
        <v>0</v>
      </c>
      <c r="E322" s="4">
        <f>'2  '!E85</f>
        <v>25656.022649999999</v>
      </c>
      <c r="F322" s="4">
        <f>'2  '!F85</f>
        <v>28460.76485</v>
      </c>
      <c r="G322" s="277"/>
    </row>
    <row r="323" spans="1:7" ht="58.5" customHeight="1">
      <c r="A323" s="77" t="s">
        <v>443</v>
      </c>
      <c r="B323" s="58" t="s">
        <v>111</v>
      </c>
      <c r="C323" s="43" t="s">
        <v>928</v>
      </c>
      <c r="D323" s="4">
        <v>0</v>
      </c>
      <c r="E323" s="4">
        <f>'2  '!E84</f>
        <v>20890.3344</v>
      </c>
      <c r="F323" s="4">
        <f>'2  '!F84</f>
        <v>20890.3344</v>
      </c>
      <c r="G323" s="277"/>
    </row>
    <row r="324" spans="1:7" ht="55.5" customHeight="1">
      <c r="A324" s="77" t="s">
        <v>81</v>
      </c>
      <c r="B324" s="58" t="s">
        <v>111</v>
      </c>
      <c r="C324" s="58" t="s">
        <v>16</v>
      </c>
      <c r="D324" s="4">
        <f>'2  '!D82</f>
        <v>2.4188999999999998</v>
      </c>
      <c r="E324" s="4">
        <f>'2  '!E82</f>
        <v>2.5156499999999999</v>
      </c>
      <c r="F324" s="4">
        <f>'2  '!F82</f>
        <v>2.6162699999999997</v>
      </c>
      <c r="G324" s="277"/>
    </row>
    <row r="325" spans="1:7" ht="36.75" customHeight="1">
      <c r="A325" s="77" t="s">
        <v>360</v>
      </c>
      <c r="B325" s="58" t="s">
        <v>111</v>
      </c>
      <c r="C325" s="58" t="s">
        <v>223</v>
      </c>
      <c r="D325" s="4">
        <f>'2  '!D89</f>
        <v>13.552</v>
      </c>
      <c r="E325" s="4">
        <f>'2  '!E89</f>
        <v>109.01200000000001</v>
      </c>
      <c r="F325" s="4">
        <f>'2  '!F89</f>
        <v>17.384</v>
      </c>
      <c r="G325" s="277"/>
    </row>
    <row r="326" spans="1:7" ht="32.450000000000003" hidden="1" customHeight="1">
      <c r="A326" s="77" t="s">
        <v>967</v>
      </c>
      <c r="B326" s="58" t="s">
        <v>111</v>
      </c>
      <c r="C326" s="58" t="s">
        <v>1032</v>
      </c>
      <c r="D326" s="4">
        <f>'2  '!D118</f>
        <v>0</v>
      </c>
      <c r="E326" s="4">
        <f>'2  '!E118</f>
        <v>0</v>
      </c>
      <c r="F326" s="4">
        <f>'2  '!F57</f>
        <v>0</v>
      </c>
      <c r="G326" s="277"/>
    </row>
    <row r="327" spans="1:7" ht="69" customHeight="1">
      <c r="A327" s="77" t="s">
        <v>321</v>
      </c>
      <c r="B327" s="58" t="s">
        <v>111</v>
      </c>
      <c r="C327" s="58" t="s">
        <v>286</v>
      </c>
      <c r="D327" s="4">
        <v>0</v>
      </c>
      <c r="E327" s="4">
        <v>0</v>
      </c>
      <c r="F327" s="4">
        <f>'2  '!F86</f>
        <v>3.3870800000000001</v>
      </c>
      <c r="G327" s="277"/>
    </row>
    <row r="328" spans="1:7" ht="57" customHeight="1">
      <c r="A328" s="77" t="s">
        <v>480</v>
      </c>
      <c r="B328" s="58" t="s">
        <v>111</v>
      </c>
      <c r="C328" s="58" t="s">
        <v>928</v>
      </c>
      <c r="D328" s="4">
        <v>1101.204</v>
      </c>
      <c r="E328" s="4">
        <v>0</v>
      </c>
      <c r="F328" s="4">
        <v>0</v>
      </c>
      <c r="G328" s="277"/>
    </row>
    <row r="329" spans="1:7" ht="46.5" hidden="1" customHeight="1">
      <c r="A329" s="74" t="s">
        <v>479</v>
      </c>
      <c r="B329" s="47" t="s">
        <v>111</v>
      </c>
      <c r="C329" s="58" t="s">
        <v>461</v>
      </c>
      <c r="D329" s="4"/>
      <c r="E329" s="4"/>
      <c r="F329" s="4"/>
      <c r="G329" s="277"/>
    </row>
    <row r="330" spans="1:7" ht="87.6" hidden="1" customHeight="1">
      <c r="A330" s="74" t="s">
        <v>436</v>
      </c>
      <c r="B330" s="47" t="s">
        <v>111</v>
      </c>
      <c r="C330" s="58" t="s">
        <v>430</v>
      </c>
      <c r="D330" s="4"/>
      <c r="E330" s="18"/>
      <c r="F330" s="18"/>
      <c r="G330" s="314"/>
    </row>
    <row r="331" spans="1:7" ht="43.5" hidden="1" customHeight="1">
      <c r="A331" s="74" t="s">
        <v>396</v>
      </c>
      <c r="B331" s="286"/>
      <c r="C331" s="58" t="s">
        <v>398</v>
      </c>
      <c r="D331" s="4"/>
      <c r="E331" s="18"/>
      <c r="F331" s="18"/>
      <c r="G331" s="314"/>
    </row>
    <row r="332" spans="1:7" ht="43.5" hidden="1" customHeight="1">
      <c r="A332" s="74" t="s">
        <v>371</v>
      </c>
      <c r="B332" s="286"/>
      <c r="C332" s="58" t="s">
        <v>372</v>
      </c>
      <c r="D332" s="4"/>
      <c r="E332" s="18"/>
      <c r="F332" s="18"/>
      <c r="G332" s="314"/>
    </row>
    <row r="333" spans="1:7" ht="43.5" hidden="1" customHeight="1">
      <c r="A333" s="74" t="s">
        <v>594</v>
      </c>
      <c r="B333" s="286"/>
      <c r="C333" s="58"/>
      <c r="D333" s="4"/>
      <c r="E333" s="18"/>
      <c r="F333" s="18"/>
      <c r="G333" s="314"/>
    </row>
    <row r="334" spans="1:7" ht="24" hidden="1" customHeight="1">
      <c r="A334" s="74"/>
      <c r="B334" s="286"/>
      <c r="C334" s="58"/>
      <c r="D334" s="4"/>
      <c r="E334" s="18"/>
      <c r="F334" s="18"/>
      <c r="G334" s="314"/>
    </row>
    <row r="335" spans="1:7" ht="15.75" hidden="1" customHeight="1">
      <c r="A335" s="74" t="s">
        <v>123</v>
      </c>
      <c r="B335" s="286">
        <v>951</v>
      </c>
      <c r="C335" s="43" t="s">
        <v>517</v>
      </c>
      <c r="D335" s="4"/>
      <c r="E335" s="18"/>
      <c r="F335" s="38"/>
      <c r="G335" s="253"/>
    </row>
    <row r="336" spans="1:7" ht="65.25" hidden="1" customHeight="1">
      <c r="A336" s="74" t="s">
        <v>265</v>
      </c>
      <c r="B336" s="47" t="s">
        <v>202</v>
      </c>
      <c r="C336" s="43" t="s">
        <v>237</v>
      </c>
      <c r="D336" s="4"/>
      <c r="E336" s="18"/>
      <c r="F336" s="18"/>
      <c r="G336" s="314"/>
    </row>
    <row r="337" spans="1:8" ht="28.15" hidden="1" customHeight="1">
      <c r="A337" s="74" t="s">
        <v>168</v>
      </c>
      <c r="B337" s="47" t="s">
        <v>202</v>
      </c>
      <c r="C337" s="43" t="s">
        <v>518</v>
      </c>
      <c r="D337" s="4"/>
      <c r="E337" s="18"/>
      <c r="F337" s="38"/>
      <c r="G337" s="253"/>
    </row>
    <row r="338" spans="1:8" ht="6.75" hidden="1" customHeight="1">
      <c r="A338" s="74" t="s">
        <v>332</v>
      </c>
      <c r="B338" s="47" t="s">
        <v>202</v>
      </c>
      <c r="C338" s="43" t="s">
        <v>519</v>
      </c>
      <c r="D338" s="4"/>
      <c r="E338" s="18"/>
      <c r="F338" s="38"/>
      <c r="G338" s="253"/>
    </row>
    <row r="339" spans="1:8" ht="15.75" customHeight="1">
      <c r="A339" s="244" t="s">
        <v>514</v>
      </c>
      <c r="B339" s="319"/>
      <c r="C339" s="320"/>
      <c r="D339" s="321">
        <v>0</v>
      </c>
      <c r="E339" s="337">
        <f>('2  '!E103-'2  '!E41+'2  '!E43)*2.5%</f>
        <v>10733.266275000002</v>
      </c>
      <c r="F339" s="338">
        <f>('2  '!F103-'2  '!F41+'2  '!F43)*5%</f>
        <v>22757.532550000004</v>
      </c>
      <c r="G339" s="322"/>
    </row>
    <row r="340" spans="1:8" ht="15.75" customHeight="1">
      <c r="A340" s="323" t="s">
        <v>95</v>
      </c>
      <c r="B340" s="324"/>
      <c r="C340" s="325"/>
      <c r="D340" s="326">
        <f>SUM(D269:D316)+SUM(D319:D338)</f>
        <v>129075.67774999999</v>
      </c>
      <c r="E340" s="326">
        <f>SUM(E269:E316)+SUM(E319:E339)</f>
        <v>157178.86845500002</v>
      </c>
      <c r="F340" s="326">
        <f>SUM(F269:F316)+SUM(F319:F339)</f>
        <v>167594.85678999999</v>
      </c>
      <c r="G340" s="327"/>
      <c r="H340" s="42"/>
    </row>
    <row r="341" spans="1:8" s="49" customFormat="1" ht="18.75" customHeight="1">
      <c r="A341" s="221" t="s">
        <v>82</v>
      </c>
      <c r="B341" s="300"/>
      <c r="C341" s="301"/>
      <c r="D341" s="328">
        <f>D340+D265</f>
        <v>1078241.3671951513</v>
      </c>
      <c r="E341" s="328">
        <f>E340+E265</f>
        <v>938077.1998990128</v>
      </c>
      <c r="F341" s="328">
        <f>F340+F265</f>
        <v>1000450.9043812486</v>
      </c>
      <c r="G341" s="329"/>
      <c r="H341" s="42"/>
    </row>
    <row r="342" spans="1:8">
      <c r="C342" s="330"/>
      <c r="D342" s="89"/>
      <c r="E342" s="89"/>
      <c r="F342" s="89"/>
      <c r="G342" s="89"/>
    </row>
    <row r="343" spans="1:8">
      <c r="C343" s="330"/>
      <c r="D343" s="89"/>
      <c r="E343" s="235"/>
      <c r="F343" s="235"/>
      <c r="G343" s="331"/>
    </row>
    <row r="344" spans="1:8">
      <c r="B344" s="42"/>
      <c r="C344" s="330"/>
    </row>
    <row r="345" spans="1:8">
      <c r="C345" s="330"/>
    </row>
    <row r="346" spans="1:8">
      <c r="C346" s="332"/>
      <c r="D346" s="5"/>
      <c r="E346" s="5"/>
      <c r="F346" s="5"/>
      <c r="G346" s="333"/>
    </row>
    <row r="347" spans="1:8">
      <c r="E347" s="235"/>
      <c r="F347" s="235"/>
    </row>
    <row r="348" spans="1:8">
      <c r="D348" s="232"/>
    </row>
    <row r="349" spans="1:8">
      <c r="E349" s="235"/>
      <c r="F349" s="235"/>
    </row>
  </sheetData>
  <autoFilter ref="A9:F108"/>
  <mergeCells count="7">
    <mergeCell ref="A266:F266"/>
    <mergeCell ref="A1:F1"/>
    <mergeCell ref="A2:F2"/>
    <mergeCell ref="A3:F3"/>
    <mergeCell ref="A4:F4"/>
    <mergeCell ref="A6:F6"/>
    <mergeCell ref="A11:D11"/>
  </mergeCells>
  <pageMargins left="0.25" right="0.25" top="0.75" bottom="0.75" header="0.3" footer="0.3"/>
  <pageSetup paperSize="9" scale="63" fitToHeight="0" orientation="portrait" r:id="rId1"/>
  <rowBreaks count="3" manualBreakCount="3">
    <brk id="89" max="5" man="1"/>
    <brk id="142" max="5" man="1"/>
    <brk id="19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9"/>
  <sheetViews>
    <sheetView tabSelected="1" view="pageBreakPreview" zoomScale="110" zoomScaleNormal="100" zoomScaleSheetLayoutView="110" workbookViewId="0">
      <selection activeCell="E23" sqref="E23"/>
    </sheetView>
  </sheetViews>
  <sheetFormatPr defaultRowHeight="12.75"/>
  <cols>
    <col min="1" max="1" width="33.85546875" customWidth="1"/>
    <col min="2" max="2" width="25.42578125" customWidth="1"/>
    <col min="3" max="3" width="24.7109375" customWidth="1"/>
    <col min="4" max="4" width="14.140625" customWidth="1"/>
    <col min="5" max="5" width="13.28515625" customWidth="1"/>
    <col min="6" max="6" width="12.7109375" customWidth="1"/>
  </cols>
  <sheetData>
    <row r="1" spans="1:7" ht="15.75">
      <c r="A1" s="110"/>
      <c r="B1" s="350"/>
      <c r="C1" s="350"/>
      <c r="D1" s="350"/>
      <c r="E1" s="110"/>
      <c r="F1" s="350" t="s">
        <v>1122</v>
      </c>
    </row>
    <row r="2" spans="1:7" ht="15.75">
      <c r="A2" s="110"/>
      <c r="B2" s="350"/>
      <c r="C2" s="350"/>
      <c r="D2" s="350"/>
      <c r="E2" s="110"/>
      <c r="F2" s="350" t="s">
        <v>1107</v>
      </c>
    </row>
    <row r="3" spans="1:7" ht="15.75">
      <c r="A3" s="110"/>
      <c r="B3" s="350"/>
      <c r="C3" s="350"/>
      <c r="D3" s="350"/>
      <c r="E3" s="110"/>
      <c r="F3" s="350" t="s">
        <v>1108</v>
      </c>
    </row>
    <row r="4" spans="1:7" ht="15.75">
      <c r="A4" s="407" t="s">
        <v>1151</v>
      </c>
      <c r="B4" s="407"/>
      <c r="C4" s="407"/>
      <c r="D4" s="407"/>
      <c r="E4" s="408"/>
      <c r="F4" s="408"/>
      <c r="G4" s="351"/>
    </row>
    <row r="6" spans="1:7" ht="57" customHeight="1">
      <c r="A6" s="409" t="s">
        <v>1109</v>
      </c>
      <c r="B6" s="409"/>
      <c r="C6" s="409"/>
      <c r="D6" s="409"/>
      <c r="E6" s="409"/>
      <c r="F6" s="409"/>
    </row>
    <row r="7" spans="1:7" ht="15" customHeight="1">
      <c r="A7" s="352"/>
      <c r="B7" s="352"/>
      <c r="C7" s="352"/>
      <c r="D7" s="352"/>
    </row>
    <row r="8" spans="1:7" ht="15" customHeight="1">
      <c r="A8" s="352"/>
      <c r="B8" s="353"/>
      <c r="C8" s="353"/>
      <c r="D8" s="353"/>
      <c r="E8" s="353"/>
      <c r="F8" s="353" t="s">
        <v>1110</v>
      </c>
    </row>
    <row r="9" spans="1:7">
      <c r="A9" s="410" t="s">
        <v>1111</v>
      </c>
      <c r="B9" s="410" t="s">
        <v>1112</v>
      </c>
      <c r="C9" s="411" t="s">
        <v>1113</v>
      </c>
      <c r="D9" s="411" t="s">
        <v>1114</v>
      </c>
      <c r="E9" s="410" t="s">
        <v>1115</v>
      </c>
      <c r="F9" s="410" t="s">
        <v>1116</v>
      </c>
    </row>
    <row r="10" spans="1:7" ht="15.75" customHeight="1">
      <c r="A10" s="410"/>
      <c r="B10" s="410"/>
      <c r="C10" s="412"/>
      <c r="D10" s="412"/>
      <c r="E10" s="410"/>
      <c r="F10" s="410"/>
    </row>
    <row r="11" spans="1:7" ht="15.75">
      <c r="A11" s="354" t="s">
        <v>1117</v>
      </c>
      <c r="B11" s="355">
        <v>0</v>
      </c>
      <c r="C11" s="355">
        <v>126</v>
      </c>
      <c r="D11" s="355">
        <f>B11+C11</f>
        <v>126</v>
      </c>
      <c r="E11" s="355">
        <v>0</v>
      </c>
      <c r="F11" s="355">
        <v>0</v>
      </c>
    </row>
    <row r="12" spans="1:7" ht="15.75">
      <c r="A12" s="354" t="s">
        <v>1118</v>
      </c>
      <c r="B12" s="356">
        <v>500</v>
      </c>
      <c r="C12" s="356">
        <v>0</v>
      </c>
      <c r="D12" s="355">
        <f t="shared" ref="D12:D14" si="0">B12+C12</f>
        <v>500</v>
      </c>
      <c r="E12" s="355">
        <v>0</v>
      </c>
      <c r="F12" s="355">
        <v>0</v>
      </c>
    </row>
    <row r="13" spans="1:7" ht="15.75" customHeight="1">
      <c r="A13" s="354" t="s">
        <v>1119</v>
      </c>
      <c r="B13" s="355">
        <v>0</v>
      </c>
      <c r="C13" s="355">
        <v>117.9</v>
      </c>
      <c r="D13" s="355">
        <f t="shared" si="0"/>
        <v>117.9</v>
      </c>
      <c r="E13" s="355">
        <v>0</v>
      </c>
      <c r="F13" s="355">
        <v>0</v>
      </c>
    </row>
    <row r="14" spans="1:7" ht="15.75" customHeight="1">
      <c r="A14" s="354" t="s">
        <v>1120</v>
      </c>
      <c r="B14" s="355">
        <v>350</v>
      </c>
      <c r="C14" s="355">
        <v>86.45</v>
      </c>
      <c r="D14" s="355">
        <f t="shared" si="0"/>
        <v>436.45</v>
      </c>
      <c r="E14" s="355">
        <v>50</v>
      </c>
      <c r="F14" s="355">
        <v>0</v>
      </c>
    </row>
    <row r="15" spans="1:7" ht="15.75" customHeight="1">
      <c r="A15" s="357" t="s">
        <v>1121</v>
      </c>
      <c r="B15" s="358">
        <f>B12+B14+B13+B11</f>
        <v>850</v>
      </c>
      <c r="C15" s="358">
        <f t="shared" ref="C15:D15" si="1">C12+C14+C13+C11</f>
        <v>330.35</v>
      </c>
      <c r="D15" s="358">
        <f t="shared" si="1"/>
        <v>1180.3500000000001</v>
      </c>
      <c r="E15" s="358">
        <f>E12+E13+E14</f>
        <v>50</v>
      </c>
      <c r="F15" s="358">
        <f>F12+F13+F14</f>
        <v>0</v>
      </c>
    </row>
    <row r="22" ht="12.75" hidden="1" customHeight="1"/>
    <row r="24" ht="12.75" hidden="1" customHeight="1"/>
    <row r="26" ht="12.75" hidden="1" customHeight="1"/>
    <row r="27" ht="12.75" hidden="1" customHeight="1"/>
    <row r="29" ht="12.75" hidden="1" customHeight="1"/>
  </sheetData>
  <mergeCells count="8">
    <mergeCell ref="A4:F4"/>
    <mergeCell ref="A6:F6"/>
    <mergeCell ref="A9:A10"/>
    <mergeCell ref="B9:B10"/>
    <mergeCell ref="C9:C10"/>
    <mergeCell ref="D9:D10"/>
    <mergeCell ref="E9:E10"/>
    <mergeCell ref="F9:F10"/>
  </mergeCell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1</vt:lpstr>
      <vt:lpstr>2  </vt:lpstr>
      <vt:lpstr>3</vt:lpstr>
      <vt:lpstr>4</vt:lpstr>
      <vt:lpstr>5</vt:lpstr>
      <vt:lpstr>6</vt:lpstr>
      <vt:lpstr>'2  '!Область_печати</vt:lpstr>
      <vt:lpstr>'3'!Область_печати</vt:lpstr>
      <vt:lpstr>'4'!Область_печати</vt:lpstr>
      <vt:lpstr>'5'!Область_печати</vt:lpstr>
      <vt:lpstr>'6'!Область_печати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lastPrinted>2025-03-02T22:42:42Z</cp:lastPrinted>
  <dcterms:created xsi:type="dcterms:W3CDTF">2008-10-27T01:25:53Z</dcterms:created>
  <dcterms:modified xsi:type="dcterms:W3CDTF">2025-03-02T22:42:46Z</dcterms:modified>
</cp:coreProperties>
</file>