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416" windowWidth="8388" windowHeight="5088" tabRatio="950" activeTab="6"/>
  </bookViews>
  <sheets>
    <sheet name="1" sheetId="1" r:id="rId1"/>
    <sheet name="7" sheetId="2" r:id="rId2"/>
    <sheet name="8" sheetId="3" r:id="rId3"/>
    <sheet name="9" sheetId="4" r:id="rId4"/>
    <sheet name="10" sheetId="5" r:id="rId5"/>
    <sheet name="14" sheetId="6" r:id="rId6"/>
    <sheet name="22" sheetId="7" r:id="rId7"/>
  </sheets>
  <definedNames>
    <definedName name="_xlnm._FilterDatabase" localSheetId="3" hidden="1">'9'!$E$1:$E$618</definedName>
    <definedName name="_xlnm.Print_Titles" localSheetId="1">'7'!$8:$9</definedName>
    <definedName name="_xlnm.Print_Area" localSheetId="0">'1'!$A$1:$C$21</definedName>
    <definedName name="_xlnm.Print_Area" localSheetId="4">'10'!$A$1:$D$209</definedName>
    <definedName name="_xlnm.Print_Area" localSheetId="5">'14'!$A$1:$I$19</definedName>
    <definedName name="_xlnm.Print_Area" localSheetId="1">'7'!$A$1:$F$90</definedName>
    <definedName name="_xlnm.Print_Area" localSheetId="2">'8'!$A$1:$H$594</definedName>
    <definedName name="_xlnm.Print_Area" localSheetId="3">'9'!$A$1:$I$615</definedName>
  </definedNames>
  <calcPr fullCalcOnLoad="1"/>
</workbook>
</file>

<file path=xl/sharedStrings.xml><?xml version="1.0" encoding="utf-8"?>
<sst xmlns="http://schemas.openxmlformats.org/spreadsheetml/2006/main" count="7046" uniqueCount="852">
  <si>
    <t>01 05 0201 05 0000 510</t>
  </si>
  <si>
    <t>Увеличение прочих остатков денежных средств районного бюджета</t>
  </si>
  <si>
    <t>01 05 0201 05 0000 610</t>
  </si>
  <si>
    <t>Уменьшение прочих остатков денежных средств районного бюджета</t>
  </si>
  <si>
    <t>Наименование поселений</t>
  </si>
  <si>
    <t>Кировское городское поселение</t>
  </si>
  <si>
    <t>Руновское сельское поселение</t>
  </si>
  <si>
    <t>Всего</t>
  </si>
  <si>
    <t xml:space="preserve">                        к решению Думы Кировского</t>
  </si>
  <si>
    <t xml:space="preserve">                          муниципального района</t>
  </si>
  <si>
    <t>1 11 05013 05 0000 120</t>
  </si>
  <si>
    <t>Другие вопросы в области культуры, кинематографии</t>
  </si>
  <si>
    <t>1 11 05013 10 0000 120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</si>
  <si>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</si>
  <si>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7952200</t>
  </si>
  <si>
    <t>Муниципальная программа "Создание многофункционального центра предоставления государственных и муниципальных услуг Кировского муниципального района на 2014-2015 годы"</t>
  </si>
  <si>
    <t>9900000000</t>
  </si>
  <si>
    <t>9990000000</t>
  </si>
  <si>
    <t>9990010010</t>
  </si>
  <si>
    <t>9990010020</t>
  </si>
  <si>
    <t>9990010030</t>
  </si>
  <si>
    <t>9990010040</t>
  </si>
  <si>
    <t>9990093100</t>
  </si>
  <si>
    <t>9990093010</t>
  </si>
  <si>
    <t>9990093030</t>
  </si>
  <si>
    <t>Осуществление переданных органам государственной власти субъектов РФ в соответствии с п.1 ст.4 ФЗ от 15.11.1997 г. № 143-ФЗ "Об актах гражданского состояния" полномочий РФ по государственной регистрации актов гражданского состояния</t>
  </si>
  <si>
    <t>9990010050</t>
  </si>
  <si>
    <t>9990010060</t>
  </si>
  <si>
    <t>9990010070</t>
  </si>
  <si>
    <t>9990010080</t>
  </si>
  <si>
    <t>9990010090</t>
  </si>
  <si>
    <t>9990010100</t>
  </si>
  <si>
    <t>9990010101</t>
  </si>
  <si>
    <t>9990010102</t>
  </si>
  <si>
    <t>9990010103</t>
  </si>
  <si>
    <t>9990093120</t>
  </si>
  <si>
    <t>0800000000</t>
  </si>
  <si>
    <t>0100000000</t>
  </si>
  <si>
    <t>0180000000</t>
  </si>
  <si>
    <t>Подпрограмма № 8 «Молодежь Кировского района"</t>
  </si>
  <si>
    <t>0180020040</t>
  </si>
  <si>
    <t>0180020041</t>
  </si>
  <si>
    <t>Подпрограмма № 9 "Предупреждение развития наркомании в районе"</t>
  </si>
  <si>
    <t>0190000000</t>
  </si>
  <si>
    <t>0300000000</t>
  </si>
  <si>
    <t>0300030360</t>
  </si>
  <si>
    <t>0300030362</t>
  </si>
  <si>
    <t>0700000000</t>
  </si>
  <si>
    <t>9990093040</t>
  </si>
  <si>
    <t>Возмещение затрат или недополученных доходов от предоставления транспортных услуг населению в границах Кировского  муниципального района</t>
  </si>
  <si>
    <t>0120000000</t>
  </si>
  <si>
    <t>0120020041</t>
  </si>
  <si>
    <t>0120020040</t>
  </si>
  <si>
    <t>0120020042</t>
  </si>
  <si>
    <t>0120093070</t>
  </si>
  <si>
    <t>0110000000</t>
  </si>
  <si>
    <t>0110020040</t>
  </si>
  <si>
    <t>0110020041</t>
  </si>
  <si>
    <t>0110020042</t>
  </si>
  <si>
    <t>0130000000</t>
  </si>
  <si>
    <t>0130020040</t>
  </si>
  <si>
    <t>0130020041</t>
  </si>
  <si>
    <t>0130020042</t>
  </si>
  <si>
    <t>0140000000</t>
  </si>
  <si>
    <t>0140020040</t>
  </si>
  <si>
    <t>0140020041</t>
  </si>
  <si>
    <t>0140020042</t>
  </si>
  <si>
    <t>0140020043</t>
  </si>
  <si>
    <t>0140020044</t>
  </si>
  <si>
    <t>0110093060</t>
  </si>
  <si>
    <t>0150000000</t>
  </si>
  <si>
    <t>0150020040</t>
  </si>
  <si>
    <t>0160000000</t>
  </si>
  <si>
    <t>0160093080</t>
  </si>
  <si>
    <t>0170000000</t>
  </si>
  <si>
    <t>0170020040</t>
  </si>
  <si>
    <t>Расходы на обеспечение деятельности (оказание услуг, выполнение работ) централизованных бухгалтерий</t>
  </si>
  <si>
    <t>0200000000</t>
  </si>
  <si>
    <t>0200020260</t>
  </si>
  <si>
    <t>0200020261</t>
  </si>
  <si>
    <t>0200020262</t>
  </si>
  <si>
    <t>0300030361</t>
  </si>
  <si>
    <t>0600000000</t>
  </si>
  <si>
    <t>0610000000</t>
  </si>
  <si>
    <t>0610020140</t>
  </si>
  <si>
    <t>0610020141</t>
  </si>
  <si>
    <t>0620020140</t>
  </si>
  <si>
    <t>0630020140</t>
  </si>
  <si>
    <t>0640020140</t>
  </si>
  <si>
    <t>Подпрограмма   № 8 "Молодежь Кировского района"</t>
  </si>
  <si>
    <t>0180020042</t>
  </si>
  <si>
    <t>0200020263</t>
  </si>
  <si>
    <t>9990010104</t>
  </si>
  <si>
    <t>0500000000</t>
  </si>
  <si>
    <t>0500050560</t>
  </si>
  <si>
    <t>Подпрограмма   № 2 "Развитие дошкольных образовательных учреждений"</t>
  </si>
  <si>
    <t>0120093090</t>
  </si>
  <si>
    <t>0400000000</t>
  </si>
  <si>
    <t>0400040460</t>
  </si>
  <si>
    <t>9990010105</t>
  </si>
  <si>
    <t>9990010106</t>
  </si>
  <si>
    <t>9990010107</t>
  </si>
  <si>
    <t>9990010108</t>
  </si>
  <si>
    <t>0610020142</t>
  </si>
  <si>
    <t>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(организация досуга и обеспечения услугами культуры)</t>
  </si>
  <si>
    <t>0800020140</t>
  </si>
  <si>
    <t>060000000</t>
  </si>
  <si>
    <t>Всего программные мероприятия</t>
  </si>
  <si>
    <t>Непрограммные мероприятия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</si>
  <si>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</si>
  <si>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Обеспечение деятельности комиссий по делам несовершеннолетних и защите их прав</t>
  </si>
  <si>
    <t>Создание административных комиссий</t>
  </si>
  <si>
    <t>Государственноее управление охраной труда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</si>
  <si>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</si>
  <si>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первичного воинского учета на территориях, где отсутствуют военные комиссариаты</t>
  </si>
  <si>
    <t>Всего программные и непрограммные мероприятия</t>
  </si>
  <si>
    <t>Расходы на исполнение госполномочий по реализации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</si>
  <si>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</si>
  <si>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</si>
  <si>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краевого бюджета</t>
  </si>
  <si>
    <t>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районного бюджета</t>
  </si>
  <si>
    <t>Мероприятия в сфере образования (МКУ ЦОМОУ)</t>
  </si>
  <si>
    <t>Мероприятия в сфере образования (МКУ "ЦОМОУ")</t>
  </si>
  <si>
    <t>иные межбюджетные трансферты (переданные полномочия поселений по культуре МБУ "КДЦ")</t>
  </si>
  <si>
    <t>мероприятия по администрации  Кировского муниципального района</t>
  </si>
  <si>
    <t>Председатель Думы муниципального образования</t>
  </si>
  <si>
    <t>Председатель КСК</t>
  </si>
  <si>
    <t>Исполнительные листы</t>
  </si>
  <si>
    <t>Оценка недвижимости</t>
  </si>
  <si>
    <t>Иные межбюджетные трансферты (переданные полномочия поселений по дорогам)</t>
  </si>
  <si>
    <t xml:space="preserve">Программные направления деятельности органов местного самоуправления </t>
  </si>
  <si>
    <t>Всего  непрограммные мероприятия</t>
  </si>
  <si>
    <t>620</t>
  </si>
  <si>
    <t>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</si>
  <si>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Субсидии бюджетным учреждениям (МБУ ДОД "ДЮЦ")</t>
  </si>
  <si>
    <t>Субсидии бюджетным учреждениям (МБУ ВПЦ "Патриот")</t>
  </si>
  <si>
    <t>022933040</t>
  </si>
  <si>
    <t>Муниципальная программа "Развитие малого и среднего предпринимательства в Кировском муниципальном районе на 2014-2017 годы"</t>
  </si>
  <si>
    <t>Муниципальная программа «Устойчивое развитие сельских территорий на 2014-2017 гг. и на период до 2020 года»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</si>
  <si>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</si>
  <si>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Субсидии бюджетным учреждениям образования</t>
  </si>
  <si>
    <t>за счет средств местного бюджета</t>
  </si>
  <si>
    <t>подразделам, целевым статьям и видам расходов в соответствии с классификацией расходов</t>
  </si>
  <si>
    <t>Перечень внутренних заимствований</t>
  </si>
  <si>
    <t>1.Кредиты, полученные Кировским муниципальным районом от кредитных организаций:</t>
  </si>
  <si>
    <t>(тыс. руб.)</t>
  </si>
  <si>
    <t>Муниципальная программа "Создание многофункционального центра предоставления государственных и муниципальныхь услуг Кировского муниципального района на 2015-2016 годы"</t>
  </si>
  <si>
    <t>-привлечение кредитов</t>
  </si>
  <si>
    <t>-погашение основной суммы долга</t>
  </si>
  <si>
    <t>2.Бюджетные кредиты, привлеченные в районный бюджет от других бюджетов бюджетной системы Российской Федерации:</t>
  </si>
  <si>
    <t>ИТОГО муниципальных внутренних заимствований:</t>
  </si>
  <si>
    <t xml:space="preserve">Привлечение заимствования </t>
  </si>
  <si>
    <t>Код бюджетной классификации Российской Федерации</t>
  </si>
  <si>
    <t>Учреждение: Контрольно-счетная комиссия Кировского муниципального района</t>
  </si>
  <si>
    <t>Итого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</si>
  <si>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</si>
  <si>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</si>
  <si>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Раз-дел</t>
  </si>
  <si>
    <t>Под-раз-дел</t>
  </si>
  <si>
    <t>Вид рас-хо-дов</t>
  </si>
  <si>
    <t>ОБЩЕГОСУДАРСТВЕННЫЕ ВОПРОСЫ</t>
  </si>
  <si>
    <t>01</t>
  </si>
  <si>
    <t>00</t>
  </si>
  <si>
    <t>02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</si>
  <si>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</si>
  <si>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</si>
  <si>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</si>
  <si>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</si>
  <si>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</si>
  <si>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</si>
  <si>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200</t>
  </si>
  <si>
    <t>300</t>
  </si>
  <si>
    <t>04</t>
  </si>
  <si>
    <t>110</t>
  </si>
  <si>
    <t>06</t>
  </si>
  <si>
    <t>Непрограммные направления деятельности органов местного самоуправления ( КСК)</t>
  </si>
  <si>
    <t>Руководство и управление в сфере установленных функций органов местного самоуправления (КСК)</t>
  </si>
  <si>
    <t>Председатель контрольно-счетной комиссии</t>
  </si>
  <si>
    <t>Резервные фонды</t>
  </si>
  <si>
    <t>11</t>
  </si>
  <si>
    <t>Резервный фонд Администрации Кировского муниципального района</t>
  </si>
  <si>
    <t>13</t>
  </si>
  <si>
    <t>Субвенции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</si>
  <si>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</si>
  <si>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реализацию отдельных государственных полномочий по созданию административных комиссий</t>
  </si>
  <si>
    <t xml:space="preserve">Общее образование </t>
  </si>
  <si>
    <t>1 11 05035 05 0000 120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</si>
  <si>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</si>
  <si>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</si>
  <si>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>Дотации бюджетам муниципальных районов на выравнивание бюджетной обеспеченности</t>
  </si>
  <si>
    <t>Иные межбюджетные трансферты за счет средств федерального бюджета на финансирование мероприятий по организации временного социально- бытового обустройства лиц, вынужденно покинувших территорию Украины и находящихся в пунктах временного размещения</t>
  </si>
  <si>
    <t xml:space="preserve">Субсидии бюджетным учреждениям </t>
  </si>
  <si>
    <t>951</t>
  </si>
  <si>
    <t>Приложение № 1</t>
  </si>
  <si>
    <t>Расходы на обеспечение деятельности  (оказание услуг, выполнение работ) муниципальных учреждений ( прочие учреждения)</t>
  </si>
  <si>
    <t>Председатель Думы Кировского муниципального района</t>
  </si>
  <si>
    <t>Субвенции на выплату ежемесячного денежного вознаграждения за классное руководство за счет краевого бюджета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</si>
  <si>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</si>
  <si>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</si>
  <si>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</si>
  <si>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</si>
  <si>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</si>
  <si>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</si>
  <si>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</si>
  <si>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</si>
  <si>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</si>
  <si>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</si>
  <si>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Иные бюджетные ассигнования</t>
  </si>
  <si>
    <t>800</t>
  </si>
  <si>
    <t>Резервные средства</t>
  </si>
  <si>
    <t>870</t>
  </si>
  <si>
    <t>Исполнение судебных актов</t>
  </si>
  <si>
    <t>830</t>
  </si>
  <si>
    <t>Межбюджетные трансферты</t>
  </si>
  <si>
    <t>500</t>
  </si>
  <si>
    <t>Расходы на выплаты персоналу казенных учреждений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</si>
  <si>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</si>
  <si>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</si>
  <si>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</si>
  <si>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</si>
  <si>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</si>
  <si>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Обслуживание государственного (муниципального) долга</t>
  </si>
  <si>
    <t>700</t>
  </si>
  <si>
    <t>Дотации</t>
  </si>
  <si>
    <t>510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</si>
  <si>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</si>
  <si>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</si>
  <si>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</si>
  <si>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Субсидии бюджетным учреждениям-МБУ  ДОД  "КДШИ"</t>
  </si>
  <si>
    <t>Субсидии бюджетным учреждениям-МБУ  ДОД  "ГДШИ"</t>
  </si>
  <si>
    <t>7952100</t>
  </si>
  <si>
    <t>7952110</t>
  </si>
  <si>
    <t>Подпрограмма № 1 "Развитие и поддержка клубов"</t>
  </si>
  <si>
    <t>Мероприятия по развитию и поддержке клубов</t>
  </si>
  <si>
    <t>7952111</t>
  </si>
  <si>
    <t>7952112</t>
  </si>
  <si>
    <t>Мероприятия по развитию и поддержке библиотек</t>
  </si>
  <si>
    <t>7952121</t>
  </si>
  <si>
    <t>Подпрограмма № 3 "Развитие и поддержка  музеев"</t>
  </si>
  <si>
    <t>7952130</t>
  </si>
  <si>
    <t>Мероприятия по развитию и поддержке музеев</t>
  </si>
  <si>
    <t>7952131</t>
  </si>
  <si>
    <t>7952132</t>
  </si>
  <si>
    <t>СОЦИАЛЬНАЯ ПОЛИТИКА</t>
  </si>
  <si>
    <t>10</t>
  </si>
  <si>
    <t>1 11 05013 13 0000 120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</si>
  <si>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</si>
  <si>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ФИЗИЧЕСКАЯ КУЛЬТУРА И СПОРТ</t>
  </si>
  <si>
    <t xml:space="preserve">Мероприятия по развитию физической культуры и спорта </t>
  </si>
  <si>
    <t>ОБСЛУЖИВАНИЕ ГОСУДАРСТВЕННОГО И МУНИЦИПАЛЬНОГО ДОЛГА</t>
  </si>
  <si>
    <t>Процентные платежи помуниципальному долгу</t>
  </si>
  <si>
    <t>Обслуживание 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</si>
  <si>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</si>
  <si>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</si>
  <si>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</si>
  <si>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районного фонда финансовой поддержки</t>
  </si>
  <si>
    <t>Горноключевское городское поселение</t>
  </si>
  <si>
    <t>Сельское хозяйство и рыболовство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</si>
  <si>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</si>
  <si>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</si>
  <si>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Всего расходов</t>
  </si>
  <si>
    <t>за счет средств краевого  бюджета</t>
  </si>
  <si>
    <t>01 03 01 00 05 0000 710</t>
  </si>
  <si>
    <t>01 03 01 00 05 0000 810</t>
  </si>
  <si>
    <t>Субсидии бюджетным учреждениям (МБУ ДОД «КДШИ»)</t>
  </si>
  <si>
    <t>Субсидии бюджетным учреждениям  (МБУ ДОД «ГДШИ")</t>
  </si>
  <si>
    <t>Субвенции бюджетам муниципальных районов на выполнение передаваемых полномочий субъектов Российской Федерации</t>
  </si>
  <si>
    <t>1 00 00000 00 0000 000</t>
  </si>
  <si>
    <t>НАЛОГОВЫЕ И НЕНАЛОГОВЫЕ ДОХОДЫ</t>
  </si>
  <si>
    <t>1 01 00000 00 0000 000</t>
  </si>
  <si>
    <t>Мероприятия по развитию и поддержке образовательных учреждений</t>
  </si>
  <si>
    <t>Расходы на обеспечение деятельности (оказание услуг, выполнение работ) муниципальных учреждений - школы</t>
  </si>
  <si>
    <t>Противопожарная безопасность образовательных учреждений</t>
  </si>
  <si>
    <t>Мероприятия по переподготовке и повышению квалификации</t>
  </si>
  <si>
    <t>Расходы на обеспечение деятельности (оказание услуг, выполнение работ) муниципальных  учреждений - прочие учреждения</t>
  </si>
  <si>
    <t>Подпрограмма  № 2 "Развитие дошкольного образования в Кировском муниципальном районе"</t>
  </si>
  <si>
    <t>Подпрограмма  № 3 "Безопасность образовательных учреждений"</t>
  </si>
  <si>
    <t>Санитарно-эпидемиологическая безопасность образовательных учреждений</t>
  </si>
  <si>
    <t>Подпрограмма № 1 "Развитие и поддержка муниципальных образовательных учреждений" образования"</t>
  </si>
  <si>
    <t>Подпрограмма  № 7 "Другие вопросы в области образования"</t>
  </si>
  <si>
    <t>НАЛОГИ НА ПРИБЫЛЬ, ДОХОДЫ</t>
  </si>
  <si>
    <t>Налог на доходы физических лиц</t>
  </si>
  <si>
    <t>1 05 00000 00 0000 000</t>
  </si>
  <si>
    <t>Субсидии бюджетам бюджетной системы Российской Федерации (межбюджетные субсидии)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</si>
  <si>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</si>
  <si>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</si>
  <si>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</si>
  <si>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</si>
  <si>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</si>
  <si>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</si>
  <si>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</si>
  <si>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</si>
  <si>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</si>
  <si>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 xml:space="preserve">1 13 00000 00 0000 000 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</si>
  <si>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</si>
  <si>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</si>
  <si>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</si>
  <si>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</si>
  <si>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</si>
  <si>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</si>
  <si>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2 02 00000 00 0000 000</t>
  </si>
  <si>
    <t>9900004</t>
  </si>
  <si>
    <t>Муниципальная программа "Доступная среда для инвалидов в Кировском муниципальном районе на 2016-2019 годы"</t>
  </si>
  <si>
    <t>Дотации от других бюджетов бюджетной системы Российской Федерации</t>
  </si>
  <si>
    <t>610</t>
  </si>
  <si>
    <t>краевой  бюджет</t>
  </si>
  <si>
    <t>Подпрограмма  № 4 "Развитие внешкольного образования"</t>
  </si>
  <si>
    <t>Подпрограмма № 5 "Переподготовка и повышение квалификации"</t>
  </si>
  <si>
    <t>Руководство и управление в сфере установленных функций  органов местного самоуправления  (ФУ)</t>
  </si>
  <si>
    <t>Ве-домст-во</t>
  </si>
  <si>
    <t>мероприятия по переподготовке и повышению кадров</t>
  </si>
  <si>
    <t>Мероприятия по развитию физкультуры и спорта</t>
  </si>
  <si>
    <t>Субсидии организациям, образующим инфракструктуру поддержки субьектов малого и среднего предпринимательства на возмещение затрат, связанных с проведением мероприятий по повышению эффективности и конкурентноспособности субъектов малого и среднего предпринимательства</t>
  </si>
  <si>
    <t>Подпрограмма  № 1 «Развитие и поддержка муниципальных образовательных учреждений»</t>
  </si>
  <si>
    <t>Подпрограмма № 2 «Развитие дошкольного образования в Кировском муниципальном районе»</t>
  </si>
  <si>
    <t>Мероприятия по развитию и поддержке дошкольных образовательных учреждений</t>
  </si>
  <si>
    <t>Подпрограмма № 3 «Безопасность образовательных учреждений»</t>
  </si>
  <si>
    <t>Подпрограмма № 4 «Развитие внешкольного образования»</t>
  </si>
  <si>
    <t>Подпрограмма № 5 «Переподготовка и повышение кадров»</t>
  </si>
  <si>
    <t>Подпрограмма № 7 «Другие вопросы в области образования»</t>
  </si>
  <si>
    <t>Иные межбюджетные трансферты</t>
  </si>
  <si>
    <t>ВСЕГО ДОХОДОВ:</t>
  </si>
  <si>
    <t>Наименование налога    (сбора)</t>
  </si>
  <si>
    <t>01 02 00 00 00 0000 000</t>
  </si>
  <si>
    <t>Кредиты   кредитных организаций в валюте Российской Федерации</t>
  </si>
  <si>
    <t>01 02 00 00 05 0000 710</t>
  </si>
  <si>
    <t>Получение кредитов от кредитных организаций районным бюджетом в валюте Российской Федерации</t>
  </si>
  <si>
    <t>01 02 00 00 05 0000 810</t>
  </si>
  <si>
    <t>Погашение районным бюджетом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</si>
  <si>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</si>
  <si>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</si>
  <si>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Дотации на выравнивание бюджетной обеспеченности поселений из бюджета муниципального района</t>
  </si>
  <si>
    <t>Субвенции бюджетам муниципальных образований Приморского края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</si>
  <si>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 xml:space="preserve">Субвенции бюджетам муниципальных районов Приморского края на осуществление отдельных полномочий по расчету и предоставлению дотаций на выравнивание бюджетной обеспеченности бюджетам поселений , входящих в их состав </t>
  </si>
  <si>
    <t>Ед.изм.</t>
  </si>
  <si>
    <t>Получение бюджетных кредитов от других бюджетов бюджетной системы Российской Федерации районным бюджетом в валюте Российской Федерации</t>
  </si>
  <si>
    <t>Погашение районным бюджетом бюджетных кредитов от других бюджетов бюджетной системы Российской Федерации в валюте Российской Федерации</t>
  </si>
  <si>
    <t>ИТОГО ИСТОЧНИКОВ</t>
  </si>
  <si>
    <t>0000000000</t>
  </si>
  <si>
    <t>9999959300</t>
  </si>
  <si>
    <t>9999000070</t>
  </si>
  <si>
    <t>7950122000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</si>
  <si>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</si>
  <si>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Администрация Кировского муниципального района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</si>
  <si>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</si>
  <si>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111 05025 05 0000 120</t>
  </si>
  <si>
    <t>1 11 07015 05 0000 120</t>
  </si>
  <si>
    <t>1 17 05000 00 0000 180</t>
  </si>
  <si>
    <t>ПРОЧИЕ НЕНАЛОГОВЫЕ ДОХОДЫ</t>
  </si>
  <si>
    <t>1 14 06013 05 0000 430</t>
  </si>
  <si>
    <t>Мероприятия по предупреждению развития наркомании в районе</t>
  </si>
  <si>
    <t>1 17 05050 05 0000 180</t>
  </si>
  <si>
    <t>730</t>
  </si>
  <si>
    <t>Прочие неналоговые доходы бюджетов муниципальных районов</t>
  </si>
  <si>
    <t>9999000040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</si>
  <si>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</si>
  <si>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Муниципальная программа «Устойчивое развитие сельских территорий на 2014-2017гг. и на период до 2020 года»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</si>
  <si>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 и органов местного самоуправления</t>
  </si>
  <si>
    <t>9995224</t>
  </si>
  <si>
    <t>Субсидии бюджетным учреждениям  (МБУ "КДЦ")</t>
  </si>
  <si>
    <t>Субсидии бюджетным учреждениям (МБУ "КДЦ")</t>
  </si>
  <si>
    <t>Иные межбюджетные трансферты на комплектование книжных фондов библиотек муниципальных образований</t>
  </si>
  <si>
    <t>Создание многофункционального центра</t>
  </si>
  <si>
    <t>Дотации бюджетам муниципальных районов на поддержку мер по обеспечению сбалансированности бюджетов</t>
  </si>
  <si>
    <t>7950106020</t>
  </si>
  <si>
    <t>тыс. руб.</t>
  </si>
  <si>
    <t>Массовый спорт</t>
  </si>
  <si>
    <t>Прочие межбюджетные трансферты общего характера</t>
  </si>
  <si>
    <t>Наименование</t>
  </si>
  <si>
    <t>Ведомство</t>
  </si>
  <si>
    <t>Целевая статья</t>
  </si>
  <si>
    <t>Вид расх</t>
  </si>
  <si>
    <t>в том числе:</t>
  </si>
  <si>
    <t>местный бюджет</t>
  </si>
  <si>
    <t>Учреждение: Администрация Кировского муниципального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</si>
  <si>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</si>
  <si>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</si>
  <si>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Процентные платежи по долговым обязательствам</t>
  </si>
  <si>
    <t>Другие общегосударственные вопросы</t>
  </si>
  <si>
    <t xml:space="preserve">Непрограммные направления деятельности органов местного самоуправления </t>
  </si>
  <si>
    <t>01 05 00 00 00 0000 000</t>
  </si>
  <si>
    <t>Изменение остатков средств на счетах по учету средств</t>
  </si>
  <si>
    <t>Другие вопросы в области национальной экономики</t>
  </si>
  <si>
    <t>Коммунальное хозяйство</t>
  </si>
  <si>
    <t>Поддержка коммунального хозяйства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</si>
  <si>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</si>
  <si>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Мобилизационная и вневойсковая подготовка</t>
  </si>
  <si>
    <t>Другие вопросы в области жилищно-коммунального хозяйства</t>
  </si>
  <si>
    <t>Образование</t>
  </si>
  <si>
    <t>Другие вопросы в области образования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</si>
  <si>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</si>
  <si>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</si>
  <si>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Расходы на обеспечение деятельности (оказание услуг, выполнение работ) муниципальных учреждений (школы)</t>
  </si>
  <si>
    <t>(тыс. руб. )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</si>
  <si>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</si>
  <si>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</si>
  <si>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</si>
  <si>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</si>
  <si>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</si>
  <si>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</si>
  <si>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черезвычайных ситуаций и стихийных бедствий</t>
  </si>
  <si>
    <t>НАЦИОНАЛЬНАЯ ЭКОНОМИКА</t>
  </si>
  <si>
    <t>08</t>
  </si>
  <si>
    <t>Дорожное хозяйство (дорожные фонды)</t>
  </si>
  <si>
    <t>Содержание автомобильных дорог на территории Кировского района</t>
  </si>
  <si>
    <t>12</t>
  </si>
  <si>
    <t>Подпрограмма  № 5 "Переподготовка и повышение квалификации"</t>
  </si>
  <si>
    <t>Субсидии организациям, образующим инфраструктуру поддержки субъектов малого и среднего предпринимательства, на возмещение затрат, связанных с проведением мероприятий по повышению эффективности и конкурентоспособности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</si>
  <si>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</si>
  <si>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</si>
  <si>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ЖИЛИЩНО-КОММУНАЛЬНОЕ ХОЗЯЙСТВО</t>
  </si>
  <si>
    <t>05</t>
  </si>
  <si>
    <t>Руководство и управление в сфере установленных функций органов государственной власти Приморского края</t>
  </si>
  <si>
    <t>ОБРАЗОВАНИЕ</t>
  </si>
  <si>
    <t>07</t>
  </si>
  <si>
    <t>Расходы на обеспечение деятельности (оказание услуг, выполнение работ) муниципальных учреждений дошкольного образования</t>
  </si>
  <si>
    <t>Благоустройство</t>
  </si>
  <si>
    <t>Захоронение</t>
  </si>
  <si>
    <t>Прочие мероприятия по благоустройству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</si>
  <si>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</si>
  <si>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Учреждение: Дума Кировского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</si>
  <si>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</si>
  <si>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Субвенции бюджетам субъектов Российской Федерации и муниципальных образований</t>
  </si>
  <si>
    <t>Дошкольное образование</t>
  </si>
  <si>
    <t>Мероприятия в сфере образования</t>
  </si>
  <si>
    <t>Охрана семьи и детства</t>
  </si>
  <si>
    <t>1 01 02000 01 0000 110</t>
  </si>
  <si>
    <t>1 12 01000 01 0000 120</t>
  </si>
  <si>
    <t>к решению Думы Кировского</t>
  </si>
  <si>
    <t>муниципального района</t>
  </si>
  <si>
    <t>РАСПРЕДЕЛЕНИЕ</t>
  </si>
  <si>
    <t>0000000</t>
  </si>
  <si>
    <t>000</t>
  </si>
  <si>
    <t>001</t>
  </si>
  <si>
    <t>006</t>
  </si>
  <si>
    <t>003</t>
  </si>
  <si>
    <t>002</t>
  </si>
  <si>
    <t>Глава муниципального образования</t>
  </si>
  <si>
    <t>Обслуживание государственного внутреннего и муниципального долга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</si>
  <si>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</si>
  <si>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</si>
  <si>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</si>
  <si>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Субвенции на создание и обеспечение деятельности комиссий по делам несовершеннолетних и защите их прав</t>
  </si>
  <si>
    <t>1 05 02000 02 0000 110</t>
  </si>
  <si>
    <t>1 05 03000 01 0000 110</t>
  </si>
  <si>
    <t>ДОХОДЫ ОТ ИСПОЛЬЗОВАНИЯ ИМУЩЕСТВА НАХОДЯЩЕГОСЯ В ГОСУДАРСТВЕННОЙ И МУНИЦИПАЛЬНОЙ СОБСТВЕННОСТИ</t>
  </si>
  <si>
    <t>Субсидии автономным учреждениям</t>
  </si>
  <si>
    <t>Субсидии из местного бюджета на содержание многофункциональных центров предоставления государственных и муниципальных услуг</t>
  </si>
  <si>
    <t>Доходы от сдачи в аренду 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автономных учреждений)</t>
  </si>
  <si>
    <t>Муниципальное казенное учреждение «Центр обслуживания муниципальных образовательных учреждений" Кировского муниципального района Приморского края</t>
  </si>
  <si>
    <t>Учреждение: Муниципальное казенное учреждение «Центр  обслуживания муниципальных образовательных учреждений» Кировского муниципального района Приморского края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</si>
  <si>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автономных учреждений, а так же имущества муниципальных унитарных предприятий, в том числе казенных)</t>
  </si>
  <si>
    <t>1 13 02995 05 0000 130</t>
  </si>
  <si>
    <t>Прочие доходы от компенсации затрат бюджетов муниципальных районов</t>
  </si>
  <si>
    <t>1 14 02050 05 0000 410</t>
  </si>
  <si>
    <t>Мунипальная программа "Развитие МФЦ предоставления государственных и муниципальных услуг населению Кировского муниципального района Приморского края на 2016-2018 годы"</t>
  </si>
  <si>
    <t>Муниципальная программа "Развитие МФЦ предоставления государственных и муниципальных услуг населению Кировского муниципального района на 2016-2018 годы"</t>
  </si>
  <si>
    <t>Муниципальная программа "Доступная среда для инвалидов в  Кировском муниципальном районе на 2016-2019 годы"</t>
  </si>
  <si>
    <t>Муниципальная программа " Доступная среда для инвалидов в Кировском муниципальном районе на 2016-2019 годы"</t>
  </si>
  <si>
    <t>Муниципальная программа " Доступная среда для инвалидов в Кировском Муниципальном районе на 2016-2019 годы"</t>
  </si>
  <si>
    <t>Субсидии бюджетным организациям</t>
  </si>
  <si>
    <t>Субвенции бюджетам муниципальных районов Приморского края  на реализацию  дошкольного, общего  и дополнительного образования в   муниципальных общеобразовательных учреждениях по основным общеобразовательным программам</t>
  </si>
  <si>
    <t xml:space="preserve">Субвенции бюджетам муниципальных районов Приморского края   на обеспечение государственных гарантий реализации прав  на получение общедоступного  и бесплатного дошкольного образования в муниципальных дошкольных образовательных  организациях  </t>
  </si>
  <si>
    <t>0595144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</si>
  <si>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</si>
  <si>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Субвенции бюджетам муниципальных районов Приморского края  на осуществление отдельных государственных  полномочий по государственному управлению  охраной труда </t>
  </si>
  <si>
    <t>Субвенции бюджетам муниципальных районов Приморского края на реализацию отдельных государственных полномочий по созданию административных  комиссий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</si>
  <si>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</t>
  </si>
  <si>
    <t>Общее образование</t>
  </si>
  <si>
    <t>Культура</t>
  </si>
  <si>
    <t xml:space="preserve">                                                                                        муниципального района</t>
  </si>
  <si>
    <t>1 03 02000 01 0000 110</t>
  </si>
  <si>
    <t>Акцизы по подакцизным товарам (продукции), производимым на территории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</si>
  <si>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</si>
  <si>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</si>
  <si>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</si>
  <si>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</si>
  <si>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1 08 03010 01 0000 110</t>
  </si>
  <si>
    <t>540</t>
  </si>
  <si>
    <t>Иные межбюджетные трансферты бюджетам бюджетной системы</t>
  </si>
  <si>
    <t>2 02 15001 05 0000 151</t>
  </si>
  <si>
    <t>811</t>
  </si>
  <si>
    <t>2 02 20000 00 0000 151</t>
  </si>
  <si>
    <t>Приложение № 2</t>
  </si>
  <si>
    <t>9990051200</t>
  </si>
  <si>
    <t>Подпрограмма № 6 «Организация отдыха  детей»</t>
  </si>
  <si>
    <t>Подпрограмма № 8 "Молодежь Кировского района"</t>
  </si>
  <si>
    <t>0800092070</t>
  </si>
  <si>
    <t>3  02 40014 05 0000 151</t>
  </si>
  <si>
    <t>4  02 40014 05 0000 151</t>
  </si>
  <si>
    <t>5  02 40014 05 0000 151</t>
  </si>
  <si>
    <t>Муниципальная программа "Развитие малого и среднего предпринимательства в Кировском муниципальном районе на 2018-2022 годы"</t>
  </si>
  <si>
    <t>0900000000</t>
  </si>
  <si>
    <t>0900090960</t>
  </si>
  <si>
    <t>1000000000</t>
  </si>
  <si>
    <t>1000020140</t>
  </si>
  <si>
    <t>Муниципальная программа "Развитие образования в Кировском муниципальном районе на 2018-2022 годы"</t>
  </si>
  <si>
    <t>Муниципальная программа "Развитие образования в Кировском муниципальном районе на 2018-2022  годы"</t>
  </si>
  <si>
    <t xml:space="preserve"> Муниципальная программа "Профилактика безнадзорности, беспризорности и правонарушений несовершеннолетних на 2018-2022 годы"</t>
  </si>
  <si>
    <t>Муниципальная программа "Профилактика терроризма и экстремизма в Кировском муниципальном районе на 2018-2022 годы"</t>
  </si>
  <si>
    <t>Подпрограмма № 1 "Развитие и поддержка муниципальных образовательных учреждений"</t>
  </si>
  <si>
    <t>Муниципальная программа "Сохранение и развитие культуры в Кировском муниципальном районе на 2018-2022  годы"</t>
  </si>
  <si>
    <t>Муниципальная программа "Развитие физической культуры и спорта в Кировском муниципальном районе на 2018-2022 годы"</t>
  </si>
  <si>
    <t>Подпрограмма № 9 «Предупреждение развития наркомании в районе»</t>
  </si>
  <si>
    <t>Муниципальная программа «Развитие малого и среднего предпринимательства в Кировском муниципальном районе на 2018-2022 годы»</t>
  </si>
  <si>
    <t>Доплата к  пенсии  муниципальным служащим</t>
  </si>
  <si>
    <t>Муниципальная программа «Развитие образования в Кировском муниципальном районе на 2018-2022 гг.»</t>
  </si>
  <si>
    <t>Муниципальная программа "Профилактика безнадзорности, беспризорности и правонарушений несовершеннолетних на 2018-2022 годы"</t>
  </si>
  <si>
    <t>Муниципальная программа "Профилактика экстремизма и терроризма на территории Кировского района на 2018-2022 годы"</t>
  </si>
  <si>
    <t>Муниципальная программа "Сохранение и развитие культуры в Кировском муниципальном районе на 2018-2022 годы"</t>
  </si>
  <si>
    <t>Муниципальная программа "Патриотическое воспитание граждан в Кировском муниципальном районе на 2018-2022 годы"</t>
  </si>
  <si>
    <t>Муниципальная программа "Профилактика экстремизма и терроризма на территории Кировского муниципального района на 2018-2022 годы"</t>
  </si>
  <si>
    <t>Муниципальная программа «Устойчивое развитие сельских территорий на 2014-2017г и на период до 2020 года»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</si>
  <si>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</si>
  <si>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Мероприятия в области коммунального хозяйства </t>
  </si>
  <si>
    <t>Муниципальная программа "Развитие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2018-2022 гг."</t>
  </si>
  <si>
    <t>1000010160</t>
  </si>
  <si>
    <t>1000010162</t>
  </si>
  <si>
    <t>1000010161</t>
  </si>
  <si>
    <t>Муниципальная программа «Развитие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2018-2022 гг.»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</si>
  <si>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 же средства от  продажи права на заключение договоров аренды указанных земельных участков</t>
  </si>
  <si>
    <t>9990093110</t>
  </si>
  <si>
    <t>0180020000</t>
  </si>
  <si>
    <t>0700020270</t>
  </si>
  <si>
    <t>07000L0270</t>
  </si>
  <si>
    <t>вместе с поселениями</t>
  </si>
  <si>
    <t>Дор.фонд района</t>
  </si>
  <si>
    <t>Подпрограмма № 10 «Другие вопросы в области культуры на осуществление части полномочий в соответствии с  заключенными соглашениями (организация досуга и обеспечение услугами культуры)»</t>
  </si>
  <si>
    <t>иные межбюджетные трансферты (переданные полномочия поселений по культуре МКУ "ЦОМОУ")</t>
  </si>
  <si>
    <t>0640020141</t>
  </si>
  <si>
    <t>Обеспечение проведения выборов и референдумов</t>
  </si>
  <si>
    <t>Непрограммные направления деятельности муниципальных органов</t>
  </si>
  <si>
    <t>Проведение выборов в представительные органы муниципального образования</t>
  </si>
  <si>
    <t>9990010109</t>
  </si>
  <si>
    <t>Мероприятия гос.программы РФ "Доступная среда "на 2011-2020 годы (МБУ "КДЦ")</t>
  </si>
  <si>
    <t>Мероприятия гос.программы РФ "Доступная среда "на 2011-2020 годы (МБУ "КДЦ"</t>
  </si>
  <si>
    <t>1 14 06013 13 0000 430</t>
  </si>
  <si>
    <t>9990091030</t>
  </si>
  <si>
    <t>Иные межбюджетные трансферты бюджетам бюджетной системы (по Указу Президента Российской Федерации от 7 мая 2012 года N 597 "О мероприятиях по реализации государственной социальной политики" в части мероприятий, направленных на повышение средней заработной платы работников муниципальных учреждений культуры)</t>
  </si>
  <si>
    <t>Иные межбюджетные трансферты бюджетам городских поселений Кировского муниципального района  из местного бюджета на ремонт автомобильных дорог общего пользования местного значения в границах населенных пунктов</t>
  </si>
  <si>
    <t>1000010163</t>
  </si>
  <si>
    <t>Плата за пользование имуществом</t>
  </si>
  <si>
    <t>9990010110</t>
  </si>
  <si>
    <t>Иные межбюджетные трансферты бюджетам сельских поселений Кировского муниципального района  из местного бюджета на содержание и ремонт автомобильных дорог общего пользования местного значения в границах населенных пунктов</t>
  </si>
  <si>
    <t>1000010164</t>
  </si>
  <si>
    <t>Сумма на 2020 год</t>
  </si>
  <si>
    <t xml:space="preserve">бюджетных ассигнований из районного бюджета на 2020  год  по разделам, </t>
  </si>
  <si>
    <t xml:space="preserve">бюджетных ассигнований из районного бюджета на 2020 год в ведомственной структуре расходов районного бюджета </t>
  </si>
  <si>
    <t>Общий объем на 2020 г.</t>
  </si>
  <si>
    <t>Сумма 
на 2020 год</t>
  </si>
  <si>
    <t>Объем средств на 2020 год</t>
  </si>
  <si>
    <t>Приложение  № 3</t>
  </si>
  <si>
    <t>1200093110</t>
  </si>
  <si>
    <t>1200012261</t>
  </si>
  <si>
    <t>1200012262</t>
  </si>
  <si>
    <t>1200012263</t>
  </si>
  <si>
    <t>1200051180</t>
  </si>
  <si>
    <t>1100000000</t>
  </si>
  <si>
    <t>1100011160</t>
  </si>
  <si>
    <t>Муниципальная программа "Энергосбережение и повышение энергетической эффективности в муниципальных учреждениях Кировского муниципального района" на 2019-2021 годы"</t>
  </si>
  <si>
    <t>1200000000</t>
  </si>
  <si>
    <t>0700020271</t>
  </si>
  <si>
    <t>0700020272</t>
  </si>
  <si>
    <t>мероприятия по МКУ ЦОМОУ</t>
  </si>
  <si>
    <t>Субвенции на осуществление первичного воинского учета на территориях, где отсутствуют военные комиссариаты (межбюджетные трансферты)</t>
  </si>
  <si>
    <t>Процентные платежи по муниципальному долгу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</si>
  <si>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 (межбюджетные трансферты)</t>
  </si>
  <si>
    <t>Финансовое обеспечение выполнения муниципального задания клубными учреждениями МБУ КДЦ Кировского муниципального района</t>
  </si>
  <si>
    <t>Финансовое обеспечение выполнения муниципального задания межпоселенческой центральной библиотекой МБУ КДЦ Кировского муниципального района</t>
  </si>
  <si>
    <t>Финансовое обеспечение выполнения муниципального задания районным музеем им. В.М. Малаева  и культурно-этнографическим музеем-комплексом "Крестьянская усадьба. Начало ХХ века." с. Подгорное МБУ КДЦ Кировского муниципального района</t>
  </si>
  <si>
    <t>Финансовое обеспечение (бухгалтерский учет) МБУ КДЦ Кировского муниципального района</t>
  </si>
  <si>
    <t>Финансовое обеспечение клубных учреждений сельских поселений (Крыловское сельское поселение, Руновское сельское поселение (оказание услуг, выполнение работ)</t>
  </si>
  <si>
    <t>Субсидии бюджетным учреждениям (КДЦ)</t>
  </si>
  <si>
    <t>Финансовое обеспечение (бухгалтерский учет) МБУ КДЦ Кировского муниципального района. Субсидии бюджетным учреждениям</t>
  </si>
  <si>
    <t>Финансовое обеспечение (бухгалтерский учет)</t>
  </si>
  <si>
    <t>Меропрятия по ликвидации МАУ "МФЦ"</t>
  </si>
  <si>
    <t>9990010120</t>
  </si>
  <si>
    <t>Муниципальная программа "Совершенствование межбюджетных отношений и управление муниципальным долгом в Кировском муниципальном районе на 2019-2021 годы"</t>
  </si>
  <si>
    <t>1 14 06025 05 0000 430</t>
  </si>
  <si>
    <t>2 02 35930 05 0000 150</t>
  </si>
  <si>
    <t>2 02 30000 00 0000 150</t>
  </si>
  <si>
    <t>2 02 15002 05 0000 150</t>
  </si>
  <si>
    <t>2 02 35120 05 0000 150</t>
  </si>
  <si>
    <t>2 02 30024 05 0000 150</t>
  </si>
  <si>
    <t xml:space="preserve">Объемы доходов районного бюджета на  2020 год 
</t>
  </si>
  <si>
    <t>Специальные расходы</t>
  </si>
  <si>
    <t>880</t>
  </si>
  <si>
    <t>Резервный фонд администрации Кировского муниципального района</t>
  </si>
  <si>
    <t>9990010140</t>
  </si>
  <si>
    <t>Руководство и управление в сфере установленных функций органов местного самоуправления  (УМСАиПЭ)</t>
  </si>
  <si>
    <t>Обеспечение детей 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</si>
  <si>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99900М0820</t>
  </si>
  <si>
    <t>Муниципальная программа "Противодействия коррупции в администрации Кировского муниципального района на 2019-2020 годы"</t>
  </si>
  <si>
    <t>1300000000</t>
  </si>
  <si>
    <t>Основное мероприятие "Совершенствование системы противодействия коррупции в Кировском районе"</t>
  </si>
  <si>
    <t>1300013000</t>
  </si>
  <si>
    <t xml:space="preserve">Мероприятия по противодействию коррупции </t>
  </si>
  <si>
    <t>1300013360</t>
  </si>
  <si>
    <t xml:space="preserve">Субвенции бюджетам муниципальных районов Приморского края  на реализацию 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</t>
  </si>
  <si>
    <t>9990093130</t>
  </si>
  <si>
    <t xml:space="preserve">Содержание дорожной техники </t>
  </si>
  <si>
    <t>9990010150</t>
  </si>
  <si>
    <t>Мероприятия в области коммунального хозяйства (содержание интерната)</t>
  </si>
  <si>
    <t>Муниципальная программа "Организация обеспечения  твердым топливом населения, проживающего на территории сельских поселений Кировского муниципального района" на 2019 – 2021 годы</t>
  </si>
  <si>
    <t>1400000000</t>
  </si>
  <si>
    <t>Возмещение затрат или недополученных доходов от обеспечения граждан твердым топливом в границах Кировского  муниципального района</t>
  </si>
  <si>
    <t>1400192620</t>
  </si>
  <si>
    <t>Содержание жилых помещений, приобретаемых в рамках выполнения полномочий по обеспечению детей сирот и детей, оставшихся без попечения родителей, лиц из числа детей -сирот и детей, оставшихся без попечения родителей, жилыми помещениями</t>
  </si>
  <si>
    <t>9990010160</t>
  </si>
  <si>
    <t xml:space="preserve">Непрограммные направления деятельности </t>
  </si>
  <si>
    <t>Погашение кредиторской задолженности прошлых лет (САДЫ)</t>
  </si>
  <si>
    <t>9990010130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</si>
  <si>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</t>
  </si>
  <si>
    <t>0110020000</t>
  </si>
  <si>
    <t>011E250970</t>
  </si>
  <si>
    <t>0110020043</t>
  </si>
  <si>
    <t>Субвенции  на обеспечение   бесплатным питанием детей, обучающихся муниципальных общеобразовательных учреждениях</t>
  </si>
  <si>
    <t>0110093150</t>
  </si>
  <si>
    <t>Дополнительное образование</t>
  </si>
  <si>
    <t xml:space="preserve">Погашение кредиторской задолженности прошлых лет </t>
  </si>
  <si>
    <t>Мероприятия по обеспечению развития и укрепления материально-технической базы домов культуры в населенных пунктах с числом жителей до 50 тыс. человек</t>
  </si>
  <si>
    <t xml:space="preserve">Субсидии бюджетам муниципальных образований на обеспечение развития и укрепления материально-технической базы домов культуры в населенных пунктах с числом жителей до 50 тыс. человек </t>
  </si>
  <si>
    <t>06100R4670</t>
  </si>
  <si>
    <t>06100S4670</t>
  </si>
  <si>
    <t>Мероприятия по комплектованию книжных фондов и обеспечению информационно- техническим оборудованием библиотек</t>
  </si>
  <si>
    <t>0620000000</t>
  </si>
  <si>
    <t>0620092540</t>
  </si>
  <si>
    <t>0620020141</t>
  </si>
  <si>
    <t>Доплата к пенсиям, дополнительное пенсионное обеспечение</t>
  </si>
  <si>
    <t>Социальное обеспечение населения</t>
  </si>
  <si>
    <t>Субвенции бюджетам муниципальных образований Приморского края на меры социальной поддержки педагогическим работникам краевых государственных и муниципальных образовательных организаций Приморского края</t>
  </si>
  <si>
    <t>Капитальные вложения в объекты государственной (муниципальной собственности)</t>
  </si>
  <si>
    <t>400</t>
  </si>
  <si>
    <t>Бюджетные инвестиции</t>
  </si>
  <si>
    <t>410</t>
  </si>
  <si>
    <t>Мероприятия по развитию спортивной инфраструктуры, находящейся в муниципальной собственности</t>
  </si>
  <si>
    <t>040P592190</t>
  </si>
  <si>
    <t xml:space="preserve">Предоставление субсидий бюджетным, автономным учреждениям и иным некоммерческим организациям </t>
  </si>
  <si>
    <t>040P592191</t>
  </si>
  <si>
    <t>Общий объем на 2020г</t>
  </si>
  <si>
    <t xml:space="preserve">Мероприятия по приобретению музыкальных инструментов и художественного инвентаря для учреждений дополнительного образования детей в сфере культуры </t>
  </si>
  <si>
    <r>
      <t xml:space="preserve">Расходы на 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</t>
    </r>
    <r>
      <rPr>
        <b/>
        <sz val="12"/>
        <rFont val="Times New Roman"/>
        <family val="1"/>
      </rPr>
      <t>местного бюджета</t>
    </r>
    <r>
      <rPr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</si>
  <si>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r>
      <t xml:space="preserve">Иные закупки товаров, работ и услуг для обеспечения государственных (муниципальных) нужд </t>
    </r>
    <r>
      <rPr>
        <b/>
        <sz val="12"/>
        <rFont val="Times New Roman"/>
        <family val="1"/>
      </rPr>
      <t>(отдел образования администрации КМР)</t>
    </r>
  </si>
  <si>
    <r>
      <t xml:space="preserve">Иные закупки товаров, работ и услуг для обеспечения государственных (муниципальных) нужд </t>
    </r>
    <r>
      <rPr>
        <b/>
        <sz val="12"/>
        <rFont val="Times New Roman"/>
        <family val="1"/>
      </rPr>
      <t>(МКУ "ЦОМОУ")</t>
    </r>
  </si>
  <si>
    <r>
      <t xml:space="preserve">Расходы на обеспечение развития и укрепления материально-технической базы домов культуры в населенных пунктах с числом жителей до 50 тыс. человек за счет средств </t>
    </r>
    <r>
      <rPr>
        <b/>
        <i/>
        <sz val="12"/>
        <rFont val="Times New Roman"/>
        <family val="1"/>
      </rPr>
      <t>местного бюджета</t>
    </r>
    <r>
      <rPr>
        <i/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</si>
  <si>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r>
      <t xml:space="preserve">Субсидии бюджетам муниципальных образований на комплектование книжных фондов и обеспечение информационно- техническим оборудованием библиотек </t>
    </r>
    <r>
      <rPr>
        <b/>
        <i/>
        <sz val="12"/>
        <rFont val="Times New Roman"/>
        <family val="1"/>
      </rPr>
      <t>(краевой бюджет)</t>
    </r>
  </si>
  <si>
    <r>
      <t xml:space="preserve">Расходы на комплектование книжных фондов и обеспечение информационно- техническим оборудованием библиотек за счет средств </t>
    </r>
    <r>
      <rPr>
        <b/>
        <i/>
        <sz val="12"/>
        <rFont val="Times New Roman"/>
        <family val="1"/>
      </rPr>
      <t>местного бюджета</t>
    </r>
    <r>
      <rPr>
        <i/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</si>
  <si>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r>
      <t xml:space="preserve">Субсидии бюджетам муниципальных образований Приморского края на развитие спортивной инфраструктуры, находящейся в муниципальной собственности </t>
    </r>
    <r>
      <rPr>
        <b/>
        <i/>
        <sz val="12"/>
        <rFont val="Times New Roman"/>
        <family val="1"/>
      </rPr>
      <t>(краевой бюджет)</t>
    </r>
  </si>
  <si>
    <r>
      <t xml:space="preserve">Иные закупки товаров, работ и услуг для обеспечения государственных (муниципальных) нужд </t>
    </r>
    <r>
      <rPr>
        <b/>
        <sz val="12"/>
        <rFont val="Times New Roman"/>
        <family val="1"/>
      </rPr>
      <t>(администрация КМР)</t>
    </r>
  </si>
  <si>
    <r>
      <t xml:space="preserve">Расходы на развитие спортивной инфраструктуры, находящейся в муниципальной собственности за счет средств </t>
    </r>
    <r>
      <rPr>
        <b/>
        <i/>
        <sz val="12"/>
        <rFont val="Times New Roman"/>
        <family val="1"/>
      </rPr>
      <t>местного бюджета</t>
    </r>
    <r>
      <rPr>
        <i/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</si>
  <si>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 xml:space="preserve"> Мероприятия по противодействию коррупции </t>
  </si>
  <si>
    <r>
      <t xml:space="preserve">Расходы на обеспечение развития и укрепления материально-технической базы домов культуры в населенных пунктах с числом жителей до 50 тыс. человек за счет средств </t>
    </r>
    <r>
      <rPr>
        <b/>
        <i/>
        <sz val="11"/>
        <rFont val="Times New Roman"/>
        <family val="1"/>
      </rPr>
      <t>местного бюджета</t>
    </r>
    <r>
      <rPr>
        <i/>
        <sz val="11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</si>
  <si>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>уточнить , убрать остаток</t>
  </si>
  <si>
    <r>
      <t xml:space="preserve">Субсидии бюджетам муниципальных образований на комплектование книжных фондов и обеспечение информационно- техническим оборудованием библиотек </t>
    </r>
    <r>
      <rPr>
        <b/>
        <i/>
        <sz val="11"/>
        <rFont val="Times New Roman"/>
        <family val="1"/>
      </rPr>
      <t>(краевой бюджет)</t>
    </r>
  </si>
  <si>
    <r>
      <t xml:space="preserve">Расходы на комплектование книжных фондов и обеспечение информационно- техническим оборудованием библиотек за счет средств </t>
    </r>
    <r>
      <rPr>
        <b/>
        <i/>
        <sz val="11"/>
        <rFont val="Times New Roman"/>
        <family val="1"/>
      </rPr>
      <t>местного бюджета</t>
    </r>
    <r>
      <rPr>
        <i/>
        <sz val="11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</si>
  <si>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>Обеспечение детей сирот и детей, оставшихся без попечения родителей, лиц из числа детей -сирот и детей, оставшихся без попечения родителей, жилыми помещениями</t>
  </si>
  <si>
    <r>
      <t xml:space="preserve">Субсидии бюджетам муниципальных образований Приморского края на развитие спортивной инфраструктуры, находящейся в муниципальной собственности </t>
    </r>
    <r>
      <rPr>
        <b/>
        <i/>
        <sz val="11"/>
        <rFont val="Times New Roman"/>
        <family val="1"/>
      </rPr>
      <t>(краевой бюджет)</t>
    </r>
  </si>
  <si>
    <r>
      <t xml:space="preserve">Расходы на развитие спортивной инфраструктуры, находящейся в муниципальной собственности за счет средств </t>
    </r>
    <r>
      <rPr>
        <b/>
        <i/>
        <sz val="11"/>
        <rFont val="Times New Roman"/>
        <family val="1"/>
      </rPr>
      <t>местного бюджета</t>
    </r>
    <r>
      <rPr>
        <i/>
        <sz val="11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</si>
  <si>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>Учреждение: финансовое  управление администрации Кировского муниципального района</t>
  </si>
  <si>
    <r>
      <t>Субсидии бюджетам муниципальных образований на  приобретение музыкальных инструментов и художественного инвентаря для учреждений дополнительного образования детей в сфере культуры (</t>
    </r>
    <r>
      <rPr>
        <b/>
        <sz val="12"/>
        <rFont val="Times New Roman"/>
        <family val="1"/>
      </rPr>
      <t>краевой бюджет)</t>
    </r>
  </si>
  <si>
    <t>Распределение бюджетных ассигнований из районного бюджета на 2020 год по муниципальным программам Кировского  муниципального района и непрограммным направлениям деятельности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</si>
  <si>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 (краевой бюджет)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</si>
  <si>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бюджета, в целях софинансирования которых из бюджета Приморского края предоставляются субсидии</t>
  </si>
  <si>
    <t xml:space="preserve">Субвенции  на обеспечение   бесплатным питанием детей, обучающихся муниципальных общеобразовательных учреждениях </t>
  </si>
  <si>
    <t>952</t>
  </si>
  <si>
    <t>953</t>
  </si>
  <si>
    <t>954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</si>
  <si>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 (краевой бюджет) (администрация КМР)</t>
  </si>
  <si>
    <t>0610060000</t>
  </si>
  <si>
    <t>Расходы на обеспечение развития и укрепления материально-технической базы домов культуры в населенных пунктах с числом жителей до 50 тыс. человек за счет средств местного бюджета, в целях софинансирования которых из бюджета Приморского края предоставляются субсидии</t>
  </si>
  <si>
    <t>Субсидии бюджетам муниципальных образований на комплектование книжных фондов и обеспечение информационно- техническим оборудованием библиотек (краевой бюджет)</t>
  </si>
  <si>
    <t>Расходы на комплектование книжных фондов и обеспечение информационно- техническим оборудованием библиотек за счет средств местного бюджета, в целях софинансирования которых из бюджета Приморского края предоставляются субсидии</t>
  </si>
  <si>
    <t>Муниципальная программа "Энергосбережение и повышение энергетической эффективности в муниципальных учреждениях Кировского муниципального района на 2019-2021 годы"</t>
  </si>
  <si>
    <t>Возмещение затрат или недополученных доходов от обеспечения граждан твердым топливом в границах Кировского  муниципального района (краевой бюджет)</t>
  </si>
  <si>
    <t>Возмещение затрат или недополученных доходов от обеспечения граждан твердым топливом в границах Кировского  муниципального района (местный бюджет)</t>
  </si>
  <si>
    <t>Погашение кредиторской задолженности бюджетных учреждений</t>
  </si>
  <si>
    <t xml:space="preserve"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</si>
  <si>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сельских  поселений а так же средства от продажи права на заключение договоров аренды указанных участков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</si>
  <si>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поселений а так же средства от продажи права на заключение договоров аренды указанных участков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</si>
  <si>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</si>
  <si>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</si>
  <si>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2 02 15000 00 0000 150</t>
  </si>
  <si>
    <t>2 02 29999 05 0000 150</t>
  </si>
  <si>
    <t>Субсидии                                                                                                             
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</t>
  </si>
  <si>
    <t>Субвенции  бюджетам муниципальных районов Приморского края на осуществление отдельных государственных полномочий по обеспечению   бесплатным питанием детей, обучающихся в муниципальных образовательных организациях Приморского края</t>
  </si>
  <si>
    <t>202 30024 05 0000 150</t>
  </si>
  <si>
    <t xml:space="preserve">Субвенции бюджетам муниципальных районов Приморского края  на осуществление отдельных государственных  полномочий по обеспечению мер социальной поддержки педагогическим работникам муниципальных образовательных организаций </t>
  </si>
  <si>
    <t>2 02 30029 05 0000 150</t>
  </si>
  <si>
    <t>2 02 40000 00 0000 150</t>
  </si>
  <si>
    <t>2  02 40014 05 0000 150</t>
  </si>
  <si>
    <r>
      <rPr>
        <i/>
        <sz val="11"/>
        <rFont val="Times New Roman"/>
        <family val="1"/>
      </rPr>
      <t>Субсидии</t>
    </r>
    <r>
      <rPr>
        <sz val="11"/>
        <rFont val="Times New Roman"/>
        <family val="1"/>
      </rPr>
      <t xml:space="preserve"> бюджетам муниципальных образований на  приобретение музыкальных инструментов и художественного инвентаря для учреждений дополнительного образования детей в сфере культуры (краевой бюджет)</t>
    </r>
  </si>
  <si>
    <r>
      <t xml:space="preserve">Расходы на 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</t>
    </r>
    <r>
      <rPr>
        <b/>
        <i/>
        <sz val="11"/>
        <rFont val="Times New Roman"/>
        <family val="1"/>
      </rPr>
      <t>местного бюджета,</t>
    </r>
    <r>
      <rPr>
        <sz val="11"/>
        <rFont val="Times New Roman"/>
        <family val="1"/>
      </rPr>
      <t xml:space="preserve"> в целях софинансирования которых из бюджета Приморского края предоставляются субсидии</t>
    </r>
  </si>
  <si>
    <t xml:space="preserve">Было </t>
  </si>
  <si>
    <t>было</t>
  </si>
  <si>
    <t xml:space="preserve">было </t>
  </si>
  <si>
    <t xml:space="preserve">ПРОГРАММА
муниципальных внутренних заимствований                                                                                              Кировского муниципального района
на 2020 год 
</t>
  </si>
  <si>
    <t xml:space="preserve">                       (тыс. руб.)</t>
  </si>
  <si>
    <t>Сумма на 2020 г.</t>
  </si>
  <si>
    <t xml:space="preserve">Источники внутреннего финансирования дефицита районного бюджета на 2020 год </t>
  </si>
  <si>
    <t>Субсидии бюджетам муниципальных образований на  приобретение музыкальных инструментов и художественного инвентаря для учреждений дополнительного образования детей в сфере культуры (краевой бюджет)</t>
  </si>
  <si>
    <t>Расходы на 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бюджета, в целях софинансирования которых из бюджета Приморского края предоставляются субсидии</t>
  </si>
  <si>
    <t>Прочие межбюджетные трансферты общего характера (дотация на сбалансированность)</t>
  </si>
  <si>
    <t>Разница</t>
  </si>
  <si>
    <t>Субвенции                                                                                                              бюджетам муниципальных районов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</si>
  <si>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Субсидии бюджетам муниципальных образований Приморского края на капитальный ремонт оздоровительных лагерей, находящихся в собственности муниципальных образований</t>
  </si>
  <si>
    <t>Субсидии бюджетам муниципальных образований Приморского края на комплектование книжных фондов и обеспечение информационно - техническим оборудованием библиотек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</si>
  <si>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</si>
  <si>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</si>
  <si>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</si>
  <si>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1100011161</t>
  </si>
  <si>
    <t>мероприятия в сфере повышения энергетической эффективности (администрация)</t>
  </si>
  <si>
    <t>Мероприятия по строительству, реконструкции и приобретению зданий муниципальных общеобразовательных организаций (строительство школы в с. Уссурка)</t>
  </si>
  <si>
    <t>Субсидии бюджетам муниципальных образований Приморского края на строительство, реконструкцию и приобретение зданий муниципальных общеобразовательных организаций (краевой бюджет)</t>
  </si>
  <si>
    <t>Расходы на строительство, реконструкцию и приобретение зданий муниципальных общеобразовательных организаций за счет средств местного бюджета, в целях софинансирования которых из бюджета Приморского края предоставляются субсидии</t>
  </si>
  <si>
    <t xml:space="preserve">Мероприятия по капитальному ремонту оздоровительных лагерей, находящихся в собственности муниципальных образований </t>
  </si>
  <si>
    <t>Субсидии бюджетам муниципальных образований на  капитальный ремонт оздоровительных лагерей, находящихся в собственности муниципальных образований (краевой бюджет)</t>
  </si>
  <si>
    <t>Расходы на  капитальный ремонт оздоровительных лагерей, находящихся в собственности муниципальных образований за счет средств местного бюджета, в целях софинансирования которых из бюджета Приморского края предоставляются субсидии</t>
  </si>
  <si>
    <t xml:space="preserve">Реализация государственных полномочий органов опеки и попечительства в отношении несовершеннолетних 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</si>
  <si>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</si>
  <si>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Реализация государственного полномочия по назначению и предоставлению выплаты единовременного пособия при передаче ребенка на воспитание в семью</t>
  </si>
  <si>
    <t xml:space="preserve">Сумма на 
2020 год </t>
  </si>
  <si>
    <t>Субвенции бюджетам муниципальных районов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</si>
  <si>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межбюджетные трансферты (транспортные услуги населению)</t>
  </si>
  <si>
    <t>1000010165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</si>
  <si>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</si>
  <si>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Субсидии бюджетам муниципальных образований Приморского края на строительство, реконструкцию и приобретение зданий муниципальных общеобразовательных организаций</t>
  </si>
  <si>
    <t>Мероприятия по строительству, реконструкции и приобретению зданий муниципальных общеобразовательных организаций</t>
  </si>
  <si>
    <r>
      <t>Субсидии бюджетам муниципальных образований на  капитальный ремонт оздоровительных лагерей, находящихся в собственности муниципальных образований (</t>
    </r>
    <r>
      <rPr>
        <b/>
        <sz val="12"/>
        <rFont val="Times New Roman"/>
        <family val="1"/>
      </rPr>
      <t>краевой бюджет)</t>
    </r>
  </si>
  <si>
    <r>
      <t xml:space="preserve">Расходы на  капитальный ремонт оздоровительных лагерей, находящихся в собственности муниципальных образований за счет средств </t>
    </r>
    <r>
      <rPr>
        <b/>
        <sz val="12"/>
        <rFont val="Times New Roman"/>
        <family val="1"/>
      </rPr>
      <t>местного бюджета</t>
    </r>
    <r>
      <rPr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</si>
  <si>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r>
      <t>Субсидии бюджетам муниципальных образований на  капитальный ремонт оздоровительных лагерей, находящихся в собственности муниципальных образований (</t>
    </r>
    <r>
      <rPr>
        <b/>
        <sz val="11"/>
        <rFont val="Times New Roman"/>
        <family val="1"/>
      </rPr>
      <t>краевой бюджет)</t>
    </r>
  </si>
  <si>
    <r>
      <t xml:space="preserve">Расходы на  капитальный ремонт оздоровительных лагерей, находящихся в собственности муниципальных образований за счет средств </t>
    </r>
    <r>
      <rPr>
        <b/>
        <sz val="11"/>
        <rFont val="Times New Roman"/>
        <family val="1"/>
      </rPr>
      <t>местного бюджета</t>
    </r>
    <r>
      <rPr>
        <sz val="11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</si>
  <si>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 xml:space="preserve">Субвенции бюджетам муниципальных районов Приморского края на реализацию государственных полномочий органов опеки и попечительства в отношении несовершеннолетних </t>
  </si>
  <si>
    <t>изм.</t>
  </si>
  <si>
    <t>0110092040</t>
  </si>
  <si>
    <t>0110020044</t>
  </si>
  <si>
    <t>011Е593140</t>
  </si>
  <si>
    <t>0190020041</t>
  </si>
  <si>
    <t>0140092030</t>
  </si>
  <si>
    <t>0300030363</t>
  </si>
  <si>
    <t>Иные межбюджетные трансферты общего характера (в целях компенсации расходов в связи с увеличением ставки налога на имущество организаций в отношении объектов социально-культурной сферы)</t>
  </si>
  <si>
    <t>9990093160</t>
  </si>
  <si>
    <t>9990093050</t>
  </si>
  <si>
    <t>9990052600</t>
  </si>
  <si>
    <t>Расходы на подготовку документации для выхода на аукцион на право проведения проектно-изыскательских работ по строительству здания муниципальной общеобразовательной организации (с. Уссурка)</t>
  </si>
  <si>
    <r>
      <t xml:space="preserve">Субсидии бюджетам муниципальных образований Приморского края на строительство, реконструкцию и приобретение зданий муниципальных общеобразовательных организаций </t>
    </r>
    <r>
      <rPr>
        <b/>
        <sz val="12"/>
        <rFont val="Times New Roman"/>
        <family val="1"/>
      </rPr>
      <t>(краевой бюджет)</t>
    </r>
  </si>
  <si>
    <r>
      <t xml:space="preserve">Расходы на строительство, реконструкцию и приобретение зданий муниципальных общеобразовательных организаций за счет средств </t>
    </r>
    <r>
      <rPr>
        <b/>
        <sz val="12"/>
        <rFont val="Times New Roman"/>
        <family val="1"/>
      </rPr>
      <t>местного бюджета</t>
    </r>
    <r>
      <rPr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</si>
  <si>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>Мероприятия по предупреждению терроризма (администрация)</t>
  </si>
  <si>
    <t>Молодежная политика</t>
  </si>
  <si>
    <t>Изменения</t>
  </si>
  <si>
    <t>Стало</t>
  </si>
  <si>
    <r>
      <t xml:space="preserve">Субсидии бюджетам муниципальных образований Приморского края на строительство, реконструкцию и приобретение зданий муниципальных общеобразовательных организаций </t>
    </r>
    <r>
      <rPr>
        <b/>
        <sz val="11"/>
        <rFont val="Times New Roman"/>
        <family val="1"/>
      </rPr>
      <t>(краевой бюджет)</t>
    </r>
  </si>
  <si>
    <r>
      <t xml:space="preserve">Расходы на строительство, реконструкцию и приобретение зданий муниципальных общеобразовательных организаций за счет средств </t>
    </r>
    <r>
      <rPr>
        <b/>
        <sz val="11"/>
        <rFont val="Times New Roman"/>
        <family val="1"/>
      </rPr>
      <t>местного бюджета</t>
    </r>
    <r>
      <rPr>
        <sz val="11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</si>
  <si>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>стало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</si>
  <si>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воспитания в семью</t>
  </si>
  <si>
    <t>202 35260 05 0000 150</t>
  </si>
  <si>
    <t>Субсидии юридическим лицам (кроме некоммерческих организаций), индивидуальным предпринимателям</t>
  </si>
  <si>
    <r>
      <t xml:space="preserve">Субсидии юридическим лицам (кроме некоммерческих организаций), индивидуальным предпринимателям </t>
    </r>
    <r>
      <rPr>
        <b/>
        <sz val="12"/>
        <rFont val="Times New Roman"/>
        <family val="1"/>
      </rPr>
      <t>(краевой бюджет)</t>
    </r>
  </si>
  <si>
    <r>
      <t xml:space="preserve">Субсидии юридическим лицам (кроме некоммерческих организаций), индивидуальным предпринимателям </t>
    </r>
    <r>
      <rPr>
        <b/>
        <sz val="12"/>
        <rFont val="Times New Roman"/>
        <family val="1"/>
      </rPr>
      <t>(местный бюджет)</t>
    </r>
  </si>
  <si>
    <r>
      <t xml:space="preserve">Субсидии юридическим лицам (кроме некоммерческих организаций), индивидуальным предпринимателям </t>
    </r>
    <r>
      <rPr>
        <b/>
        <sz val="11"/>
        <rFont val="Times New Roman"/>
        <family val="1"/>
      </rPr>
      <t>(краевой бюджет)</t>
    </r>
  </si>
  <si>
    <r>
      <t xml:space="preserve">Субсидии юридическим лицам (кроме некоммерческих организаций), индивидуальным предпринимателям </t>
    </r>
    <r>
      <rPr>
        <b/>
        <sz val="11"/>
        <rFont val="Times New Roman"/>
        <family val="1"/>
      </rPr>
      <t>(местный бюджет)</t>
    </r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</si>
  <si>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</si>
  <si>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Субсидии бюджетам муниципальных образований Приморского края на обеспечение граждан твердым топливом</t>
  </si>
  <si>
    <t>Приложение № 4</t>
  </si>
  <si>
    <t>1000092390</t>
  </si>
  <si>
    <t>Мероприятия по организации физкультурно-спортивной работы по месту жительства</t>
  </si>
  <si>
    <t xml:space="preserve">Мероприятия по развитию спортивной инфрастурктуры (краевой бюджет) </t>
  </si>
  <si>
    <t xml:space="preserve">Мероприятия по развитию спортивной инфрастурктуры  (местный бюджет) </t>
  </si>
  <si>
    <t>040Р592220</t>
  </si>
  <si>
    <t>041Р592220</t>
  </si>
  <si>
    <t>Капитальный ремонт и ремонт автомобильных дорог общего пользования населенных пунктов</t>
  </si>
  <si>
    <r>
      <t xml:space="preserve">Субсидии бюджетам муниципальных образований Приморского края на организацию физкультурно-спортивной работы по месту жительства </t>
    </r>
    <r>
      <rPr>
        <b/>
        <i/>
        <sz val="11"/>
        <rFont val="Times New Roman"/>
        <family val="1"/>
      </rPr>
      <t>(краевой бюджет)</t>
    </r>
  </si>
  <si>
    <r>
      <t xml:space="preserve">Расходы на организацию физкультурно-спортивной работы по месту жительства за счет средств </t>
    </r>
    <r>
      <rPr>
        <b/>
        <i/>
        <sz val="11"/>
        <rFont val="Times New Roman"/>
        <family val="1"/>
      </rPr>
      <t>местного бюджета</t>
    </r>
    <r>
      <rPr>
        <i/>
        <sz val="11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</si>
  <si>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r>
      <t xml:space="preserve">Субсидии бюджетам муниципальных образований Приморского края на организацию физкультурно-спортивной работы по месту жительства </t>
    </r>
    <r>
      <rPr>
        <b/>
        <i/>
        <sz val="12"/>
        <rFont val="Times New Roman"/>
        <family val="1"/>
      </rPr>
      <t>(краевой бюджет)</t>
    </r>
  </si>
  <si>
    <r>
      <t xml:space="preserve">Расходы на организацию физкультурно-спортивной работы по месту жительства за счет средств </t>
    </r>
    <r>
      <rPr>
        <b/>
        <i/>
        <sz val="12"/>
        <rFont val="Times New Roman"/>
        <family val="1"/>
      </rPr>
      <t>местного бюджета</t>
    </r>
    <r>
      <rPr>
        <i/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</si>
  <si>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>0640092480</t>
  </si>
  <si>
    <t>0640192480</t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</si>
  <si>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</si>
  <si>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t>1200012264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</si>
  <si>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</si>
  <si>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Субвенции бюджетам муниципальных   районов на осуществление полномочий Российской Федерации по государственной регистрации актов гражданского состояния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</si>
  <si>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</si>
  <si>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</si>
  <si>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Составление (изменение) списков кандидатов  в присяжные заседатели федеральных судов общей юрисдикции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</si>
  <si>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</si>
  <si>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</si>
  <si>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0110Б92040</t>
  </si>
  <si>
    <t>0140Б92030</t>
  </si>
  <si>
    <t>1400Б92620</t>
  </si>
  <si>
    <t>1000Б92390</t>
  </si>
  <si>
    <t>2  02 49999 05 0000 150</t>
  </si>
  <si>
    <t xml:space="preserve">Иные межбюджетные трансферты                                                                                                                бюджетам муниципальных образований Приморского края на оказание содействия в подготовке проведения общероссийского  голосования, а также в информировании граждан Российской Федерации о такой подготовке </t>
  </si>
  <si>
    <t xml:space="preserve">Содействие в подготовке проведения общероссийского  голосования, а также в информировании граждан Российской Федерации о такой подготовке </t>
  </si>
  <si>
    <t>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</si>
  <si>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и ремонт автомобильных дорог общего пользования населенных пунктов за счет дорожного фонда Кировского муниципального района в целях софинансирования субсидии из краевого бюджета</t>
  </si>
  <si>
    <t xml:space="preserve">Субсидии бюджетным учреждениям (краевой бюджет) </t>
  </si>
  <si>
    <t xml:space="preserve">Субсидии бюджетным учреждениям (местный бюджет) </t>
  </si>
  <si>
    <t>Содействие в подготовке проведения общероссийского  голосования (местный бюджет)</t>
  </si>
  <si>
    <t>999W994020</t>
  </si>
  <si>
    <t>999W910170</t>
  </si>
  <si>
    <t>Мероприятия, направленные на предупреждение распространения новой коронавирусной инфекции</t>
  </si>
  <si>
    <t>9990010141</t>
  </si>
  <si>
    <t>0400040470</t>
  </si>
  <si>
    <t>0400040461</t>
  </si>
  <si>
    <t>0400040462</t>
  </si>
  <si>
    <t>0400040463</t>
  </si>
  <si>
    <t>Расходы на подготовку сметной документации, прохождение экспертизы и иные расходы по спортивным объектам</t>
  </si>
  <si>
    <t>Мероприятия по приобретению и поставке спортивного инвентаря, спортивного оборудования и иного имущества для развития лыжного спорта</t>
  </si>
  <si>
    <t>040P592180</t>
  </si>
  <si>
    <r>
      <t>Субсидии бюджетам муниципальных образований Приморского края на приобретение и поставку спортивного инвентаря, спортивного оборудования и иного имущества для развития лыжного спорта</t>
    </r>
    <r>
      <rPr>
        <b/>
        <i/>
        <sz val="12"/>
        <rFont val="Times New Roman"/>
        <family val="1"/>
      </rPr>
      <t>(краевой бюджет)</t>
    </r>
  </si>
  <si>
    <t>Расходы на приобретение и поставку спортивного инвентаря, спортивного оборудования и иного имущества для развития лыжного спорта за счет средств местного бюджета, в целях софинансирования которых из бюджета Приморского края предоставляются субсидии</t>
  </si>
  <si>
    <t>040P592181</t>
  </si>
  <si>
    <t>Субсидии бюджетам муниципальных образований Приморского края на приобретение и поставку спортивного инвентаря, спортивного оборудования и иного имущества для развития лыжного спорта(краевой бюджет)</t>
  </si>
  <si>
    <r>
      <t>Субсидии бюджетам муниципальных образований Приморского края на приобретение и поставку спортивного инвентаря, спортивного оборудования и иного имущества для развития лыжного спорта</t>
    </r>
    <r>
      <rPr>
        <b/>
        <i/>
        <sz val="11"/>
        <rFont val="Times New Roman"/>
        <family val="1"/>
      </rPr>
      <t>(краевой бюджет)</t>
    </r>
  </si>
  <si>
    <t xml:space="preserve">Содействие в подготовке проведения общероссийского  голосования, а также в информировании граждан Российской Федерации о такой подготовке (иные межбюджетные трансферты за счет бюджета Приморского края) </t>
  </si>
  <si>
    <t xml:space="preserve">Содействие в подготовке проведения общероссийского  голосования, а также в информировании граждан Российской Федерации о такой подготовке (местный бюджет) 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</si>
  <si>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</si>
  <si>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999W958530</t>
  </si>
  <si>
    <t xml:space="preserve">Содействие в подготовке проведения общероссийского  голосования, а также в информировании граждан Российской Федерации о такой подготовке  (иные межбюджетные трансферты за счет бюджета Приморского края) </t>
  </si>
  <si>
    <t xml:space="preserve">Прочие субсидии бюджетам муниципальных районов
</t>
  </si>
  <si>
    <t>Субсидии бюджетам муниципальных образований Приморского края  на приобретение музыкальных инструментов и художественного инвентаря для учреждений дополнительного образования детей в сфере культуры</t>
  </si>
  <si>
    <t xml:space="preserve">Субсидии бюджетам муниципальных образований Приморского края на приобретение и поставку спортивного инвентаря, спортивного оборудования и иного имущества для развития лыжного спорта 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</si>
  <si>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</si>
  <si>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 xml:space="preserve">Субсидии бюджетам муниципальных образований Приморского края на организацию физкультурно-спортивной работы по месту жительства </t>
  </si>
  <si>
    <t>2 02 15853 05 0000 150</t>
  </si>
  <si>
    <t>Дотации 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</si>
  <si>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2  02 45303 05 0000 150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</si>
  <si>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</si>
  <si>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</si>
  <si>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</si>
  <si>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</si>
  <si>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Мероприятия, направленные на ликвидацию чрезвычайной ситуации в связи с появлением очагов африканской чумы свиней на территории Кировского муниципального района</t>
  </si>
  <si>
    <t>9990010142</t>
  </si>
  <si>
    <t>Субвенции на государственную регистрацию актов гражданского состояния за счет средств резервного фонда Правительства Российской Федерации</t>
  </si>
  <si>
    <t>999995930F</t>
  </si>
  <si>
    <t>Субвенции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</si>
  <si>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01100R3041</t>
  </si>
  <si>
    <t>0110053030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</si>
  <si>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 межселенных территорий муниципальных районов</t>
  </si>
  <si>
    <t xml:space="preserve">                                                                                             Приложение  № 5</t>
  </si>
  <si>
    <t xml:space="preserve">                               Приложение № 6</t>
  </si>
  <si>
    <t xml:space="preserve">                               Приложение № 7</t>
  </si>
  <si>
    <t xml:space="preserve">Иные межбюджетные трансферты  бюджетам поселений Кировского муниципального районана иных межбюджетных трансфертов бюджетам  поселений, входящих в состав Кировского муниципального района, в связи с дополнительными расходами бюджетов поселений в 2020 году, связанных с пандемией новой коронавирусной инфекции, а также в целях снижения объема долговых обязательств муниципальных образований </t>
  </si>
  <si>
    <t>В связи с дополнительными расходами бюджетов поселений в 2020 году, связанных с пандемией новой коронавирусной инфекции</t>
  </si>
  <si>
    <t>В целях снижения объема долговых обязательств муниципальных образований</t>
  </si>
  <si>
    <t>Итого по каждому поселению</t>
  </si>
  <si>
    <t>120012265</t>
  </si>
  <si>
    <t>1200012265</t>
  </si>
  <si>
    <t>Предельный срок погашения долговых обязательств</t>
  </si>
  <si>
    <t>май  2021</t>
  </si>
  <si>
    <t>декабрь  2023</t>
  </si>
  <si>
    <t xml:space="preserve">от 28.12.2020 г. № 15-НПА </t>
  </si>
  <si>
    <t xml:space="preserve">от 28.12.2020 г. № 15-НПА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</si>
</sst>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#,##0.0"/>
    <numFmt numFmtId="182" formatCode="0.000"/>
    <numFmt numFmtId="183" formatCode="0.00000"/>
    <numFmt numFmtId="184" formatCode="0.0000"/>
    <numFmt numFmtId="185" formatCode="_-* #,##0.00_р_._-;\-* #,##0.00_р_._-;_-* &quot;-&quot;?_р_._-;_-@_-"/>
    <numFmt numFmtId="186" formatCode="0.000000"/>
    <numFmt numFmtId="187" formatCode="_-* #,##0_р_._-;\-* #,##0_р_._-;_-* &quot;-&quot;?_р_._-;_-@_-"/>
    <numFmt numFmtId="188" formatCode="#,##0.000"/>
    <numFmt numFmtId="189" formatCode="#,##0.0000"/>
    <numFmt numFmtId="190" formatCode="#,##0.00000"/>
    <numFmt numFmtId="191" formatCode="#,##0.000000"/>
    <numFmt numFmtId="192" formatCode="0.000%"/>
    <numFmt numFmtId="193" formatCode="#,##0.0000000"/>
    <numFmt numFmtId="194" formatCode="0.0000000"/>
    <numFmt numFmtId="195" formatCode="#,##0.00000000"/>
    <numFmt numFmtId="196" formatCode="0.00000000"/>
    <numFmt numFmtId="197" formatCode="[$-FC19]d\ mmmm\ yyyy\ &quot;г.&quot;"/>
    <numFmt numFmtId="198" formatCode="[$-F800]dddd\,\ mmmm\ dd\,\ yyyy"/>
  </numFmts>
  <fonts count="10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Times New Roman CE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0"/>
      <name val="Arial Cyr"/>
      <family val="0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sz val="8"/>
      <name val="Arial Cyr"/>
      <family val="0"/>
    </font>
    <font>
      <i/>
      <sz val="10"/>
      <name val="Times New Roman"/>
      <family val="1"/>
    </font>
    <font>
      <sz val="10"/>
      <name val="Arial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30"/>
      <name val="Arial Cyr"/>
      <family val="0"/>
    </font>
    <font>
      <i/>
      <sz val="10"/>
      <color indexed="30"/>
      <name val="Arial Cyr"/>
      <family val="0"/>
    </font>
    <font>
      <b/>
      <sz val="10"/>
      <color indexed="30"/>
      <name val="Arial Cyr"/>
      <family val="0"/>
    </font>
    <font>
      <u val="single"/>
      <sz val="10"/>
      <color indexed="30"/>
      <name val="Arial Cyr"/>
      <family val="0"/>
    </font>
    <font>
      <i/>
      <sz val="12"/>
      <color indexed="30"/>
      <name val="Times New Roman"/>
      <family val="1"/>
    </font>
    <font>
      <b/>
      <i/>
      <sz val="10"/>
      <color indexed="30"/>
      <name val="Arial Cyr"/>
      <family val="0"/>
    </font>
    <font>
      <b/>
      <i/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0070C0"/>
      <name val="Arial Cyr"/>
      <family val="0"/>
    </font>
    <font>
      <sz val="10"/>
      <color rgb="FFFF0000"/>
      <name val="Arial Cyr"/>
      <family val="0"/>
    </font>
    <font>
      <i/>
      <sz val="10"/>
      <color rgb="FF0070C0"/>
      <name val="Arial Cyr"/>
      <family val="0"/>
    </font>
    <font>
      <u val="single"/>
      <sz val="10"/>
      <color rgb="FF0070C0"/>
      <name val="Arial Cyr"/>
      <family val="0"/>
    </font>
    <font>
      <b/>
      <i/>
      <sz val="10"/>
      <color rgb="FF0070C0"/>
      <name val="Arial Cyr"/>
      <family val="0"/>
    </font>
    <font>
      <b/>
      <sz val="10"/>
      <color rgb="FF0070C0"/>
      <name val="Arial Cyr"/>
      <family val="0"/>
    </font>
    <font>
      <b/>
      <i/>
      <sz val="11"/>
      <color rgb="FFFF0000"/>
      <name val="Times New Roman"/>
      <family val="1"/>
    </font>
    <font>
      <i/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justify"/>
    </xf>
    <xf numFmtId="0" fontId="5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18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49" fontId="30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 wrapText="1" shrinkToFi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vertical="top" wrapText="1"/>
    </xf>
    <xf numFmtId="0" fontId="25" fillId="0" borderId="0" xfId="0" applyFont="1" applyFill="1" applyAlignment="1">
      <alignment/>
    </xf>
    <xf numFmtId="0" fontId="34" fillId="0" borderId="0" xfId="0" applyFont="1" applyFill="1" applyAlignment="1">
      <alignment/>
    </xf>
    <xf numFmtId="49" fontId="35" fillId="0" borderId="12" xfId="0" applyNumberFormat="1" applyFont="1" applyFill="1" applyBorder="1" applyAlignment="1">
      <alignment horizontal="center" vertical="center" wrapText="1" shrinkToFit="1"/>
    </xf>
    <xf numFmtId="49" fontId="30" fillId="0" borderId="12" xfId="0" applyNumberFormat="1" applyFont="1" applyFill="1" applyBorder="1" applyAlignment="1">
      <alignment horizontal="center" vertical="center" wrapText="1" shrinkToFit="1"/>
    </xf>
    <xf numFmtId="0" fontId="35" fillId="0" borderId="10" xfId="0" applyFont="1" applyFill="1" applyBorder="1" applyAlignment="1">
      <alignment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 shrinkToFit="1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35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0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center" wrapText="1"/>
    </xf>
    <xf numFmtId="188" fontId="0" fillId="0" borderId="0" xfId="0" applyNumberForma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top" wrapText="1"/>
    </xf>
    <xf numFmtId="4" fontId="10" fillId="0" borderId="0" xfId="0" applyNumberFormat="1" applyFont="1" applyFill="1" applyAlignment="1">
      <alignment/>
    </xf>
    <xf numFmtId="0" fontId="27" fillId="0" borderId="10" xfId="0" applyFont="1" applyFill="1" applyBorder="1" applyAlignment="1">
      <alignment vertical="top" wrapText="1"/>
    </xf>
    <xf numFmtId="188" fontId="10" fillId="0" borderId="0" xfId="0" applyNumberFormat="1" applyFont="1" applyFill="1" applyAlignment="1">
      <alignment/>
    </xf>
    <xf numFmtId="188" fontId="25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vertical="top" wrapText="1"/>
    </xf>
    <xf numFmtId="0" fontId="95" fillId="0" borderId="10" xfId="0" applyFont="1" applyFill="1" applyBorder="1" applyAlignment="1">
      <alignment horizontal="center" vertical="top" wrapText="1"/>
    </xf>
    <xf numFmtId="49" fontId="9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88" fontId="28" fillId="0" borderId="0" xfId="0" applyNumberFormat="1" applyFont="1" applyFill="1" applyAlignment="1">
      <alignment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37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0" fontId="35" fillId="0" borderId="10" xfId="0" applyFont="1" applyFill="1" applyBorder="1" applyAlignment="1">
      <alignment horizontal="left" vertical="center" wrapText="1"/>
    </xf>
    <xf numFmtId="190" fontId="0" fillId="0" borderId="0" xfId="0" applyNumberFormat="1" applyFill="1" applyAlignment="1">
      <alignment/>
    </xf>
    <xf numFmtId="0" fontId="96" fillId="0" borderId="0" xfId="0" applyFont="1" applyFill="1" applyAlignment="1">
      <alignment/>
    </xf>
    <xf numFmtId="49" fontId="41" fillId="0" borderId="10" xfId="0" applyNumberFormat="1" applyFont="1" applyFill="1" applyBorder="1" applyAlignment="1">
      <alignment horizontal="center" vertical="center" wrapText="1" shrinkToFit="1"/>
    </xf>
    <xf numFmtId="183" fontId="96" fillId="0" borderId="0" xfId="0" applyNumberFormat="1" applyFont="1" applyFill="1" applyAlignment="1">
      <alignment/>
    </xf>
    <xf numFmtId="194" fontId="96" fillId="0" borderId="0" xfId="0" applyNumberFormat="1" applyFont="1" applyFill="1" applyAlignment="1">
      <alignment/>
    </xf>
    <xf numFmtId="0" fontId="97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9" fillId="0" borderId="0" xfId="0" applyFont="1" applyFill="1" applyAlignment="1">
      <alignment/>
    </xf>
    <xf numFmtId="188" fontId="98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190" fontId="3" fillId="0" borderId="10" xfId="0" applyNumberFormat="1" applyFont="1" applyFill="1" applyBorder="1" applyAlignment="1">
      <alignment horizontal="center" vertical="center" wrapText="1"/>
    </xf>
    <xf numFmtId="190" fontId="27" fillId="0" borderId="1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top" wrapText="1"/>
    </xf>
    <xf numFmtId="190" fontId="0" fillId="0" borderId="0" xfId="0" applyNumberFormat="1" applyFont="1" applyFill="1" applyAlignment="1">
      <alignment/>
    </xf>
    <xf numFmtId="0" fontId="25" fillId="0" borderId="0" xfId="0" applyFont="1" applyFill="1" applyAlignment="1">
      <alignment horizontal="left"/>
    </xf>
    <xf numFmtId="0" fontId="46" fillId="0" borderId="10" xfId="0" applyFont="1" applyFill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 shrinkToFit="1"/>
    </xf>
    <xf numFmtId="49" fontId="10" fillId="0" borderId="13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wrapText="1"/>
    </xf>
    <xf numFmtId="49" fontId="30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vertical="top" wrapText="1"/>
    </xf>
    <xf numFmtId="49" fontId="47" fillId="0" borderId="10" xfId="0" applyNumberFormat="1" applyFont="1" applyFill="1" applyBorder="1" applyAlignment="1">
      <alignment horizontal="center" vertical="center" wrapText="1" shrinkToFi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0" fontId="100" fillId="0" borderId="0" xfId="0" applyFont="1" applyFill="1" applyAlignment="1">
      <alignment/>
    </xf>
    <xf numFmtId="182" fontId="98" fillId="0" borderId="0" xfId="0" applyNumberFormat="1" applyFont="1" applyFill="1" applyAlignment="1">
      <alignment/>
    </xf>
    <xf numFmtId="188" fontId="100" fillId="0" borderId="0" xfId="0" applyNumberFormat="1" applyFont="1" applyFill="1" applyAlignment="1">
      <alignment/>
    </xf>
    <xf numFmtId="0" fontId="101" fillId="0" borderId="0" xfId="0" applyFont="1" applyFill="1" applyAlignment="1">
      <alignment/>
    </xf>
    <xf numFmtId="188" fontId="101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/>
    </xf>
    <xf numFmtId="190" fontId="25" fillId="0" borderId="0" xfId="0" applyNumberFormat="1" applyFont="1" applyFill="1" applyAlignment="1">
      <alignment/>
    </xf>
    <xf numFmtId="190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90" fontId="4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3" fontId="10" fillId="0" borderId="0" xfId="0" applyNumberFormat="1" applyFont="1" applyFill="1" applyAlignment="1">
      <alignment/>
    </xf>
    <xf numFmtId="190" fontId="10" fillId="0" borderId="0" xfId="0" applyNumberFormat="1" applyFont="1" applyFill="1" applyAlignment="1">
      <alignment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190" fontId="9" fillId="0" borderId="10" xfId="0" applyNumberFormat="1" applyFont="1" applyFill="1" applyBorder="1" applyAlignment="1">
      <alignment horizontal="center"/>
    </xf>
    <xf numFmtId="190" fontId="9" fillId="0" borderId="10" xfId="0" applyNumberFormat="1" applyFont="1" applyFill="1" applyBorder="1" applyAlignment="1">
      <alignment horizontal="center" vertical="center" wrapText="1"/>
    </xf>
    <xf numFmtId="19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90" fontId="9" fillId="0" borderId="10" xfId="62" applyNumberFormat="1" applyFont="1" applyFill="1" applyBorder="1" applyAlignment="1">
      <alignment horizontal="center" vertical="center" wrapText="1"/>
    </xf>
    <xf numFmtId="190" fontId="10" fillId="0" borderId="10" xfId="62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/>
    </xf>
    <xf numFmtId="190" fontId="40" fillId="0" borderId="0" xfId="0" applyNumberFormat="1" applyFont="1" applyFill="1" applyAlignment="1">
      <alignment/>
    </xf>
    <xf numFmtId="190" fontId="6" fillId="0" borderId="0" xfId="0" applyNumberFormat="1" applyFont="1" applyFill="1" applyAlignment="1">
      <alignment horizontal="center" vertical="center" wrapText="1"/>
    </xf>
    <xf numFmtId="190" fontId="10" fillId="0" borderId="10" xfId="0" applyNumberFormat="1" applyFont="1" applyFill="1" applyBorder="1" applyAlignment="1">
      <alignment horizontal="center" vertical="top"/>
    </xf>
    <xf numFmtId="190" fontId="10" fillId="0" borderId="10" xfId="0" applyNumberFormat="1" applyFont="1" applyFill="1" applyBorder="1" applyAlignment="1">
      <alignment horizontal="center" vertical="center" wrapText="1"/>
    </xf>
    <xf numFmtId="190" fontId="37" fillId="0" borderId="10" xfId="62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190" fontId="27" fillId="0" borderId="11" xfId="0" applyNumberFormat="1" applyFont="1" applyFill="1" applyBorder="1" applyAlignment="1">
      <alignment horizontal="center" vertical="center" wrapText="1"/>
    </xf>
    <xf numFmtId="190" fontId="3" fillId="0" borderId="11" xfId="0" applyNumberFormat="1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right"/>
    </xf>
    <xf numFmtId="190" fontId="41" fillId="0" borderId="11" xfId="0" applyNumberFormat="1" applyFont="1" applyFill="1" applyBorder="1" applyAlignment="1">
      <alignment horizontal="center" vertical="center" wrapText="1"/>
    </xf>
    <xf numFmtId="190" fontId="41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right"/>
    </xf>
    <xf numFmtId="190" fontId="4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190" fontId="27" fillId="0" borderId="12" xfId="0" applyNumberFormat="1" applyFont="1" applyFill="1" applyBorder="1" applyAlignment="1">
      <alignment horizontal="center" vertical="center" wrapText="1"/>
    </xf>
    <xf numFmtId="190" fontId="3" fillId="0" borderId="12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Alignment="1">
      <alignment/>
    </xf>
    <xf numFmtId="190" fontId="44" fillId="0" borderId="10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190" fontId="37" fillId="0" borderId="10" xfId="0" applyNumberFormat="1" applyFont="1" applyFill="1" applyBorder="1" applyAlignment="1">
      <alignment horizontal="center" vertical="center"/>
    </xf>
    <xf numFmtId="190" fontId="37" fillId="0" borderId="11" xfId="0" applyNumberFormat="1" applyFont="1" applyFill="1" applyBorder="1" applyAlignment="1">
      <alignment horizontal="center" vertical="center" wrapText="1"/>
    </xf>
    <xf numFmtId="190" fontId="10" fillId="0" borderId="11" xfId="0" applyNumberFormat="1" applyFont="1" applyFill="1" applyBorder="1" applyAlignment="1">
      <alignment horizontal="center" vertical="center" wrapText="1"/>
    </xf>
    <xf numFmtId="190" fontId="47" fillId="0" borderId="11" xfId="0" applyNumberFormat="1" applyFont="1" applyFill="1" applyBorder="1" applyAlignment="1">
      <alignment horizontal="center" vertical="center" wrapText="1"/>
    </xf>
    <xf numFmtId="190" fontId="9" fillId="0" borderId="11" xfId="0" applyNumberFormat="1" applyFont="1" applyFill="1" applyBorder="1" applyAlignment="1">
      <alignment horizontal="center" vertical="center" wrapText="1"/>
    </xf>
    <xf numFmtId="190" fontId="37" fillId="0" borderId="14" xfId="0" applyNumberFormat="1" applyFont="1" applyFill="1" applyBorder="1" applyAlignment="1">
      <alignment horizontal="center" vertical="center" wrapText="1"/>
    </xf>
    <xf numFmtId="190" fontId="10" fillId="0" borderId="14" xfId="0" applyNumberFormat="1" applyFont="1" applyFill="1" applyBorder="1" applyAlignment="1">
      <alignment horizontal="center" vertical="center" wrapText="1"/>
    </xf>
    <xf numFmtId="190" fontId="10" fillId="0" borderId="12" xfId="0" applyNumberFormat="1" applyFont="1" applyFill="1" applyBorder="1" applyAlignment="1">
      <alignment horizontal="center" vertical="center" wrapText="1"/>
    </xf>
    <xf numFmtId="190" fontId="10" fillId="0" borderId="11" xfId="0" applyNumberFormat="1" applyFont="1" applyFill="1" applyBorder="1" applyAlignment="1">
      <alignment horizontal="center" vertical="center" wrapText="1"/>
    </xf>
    <xf numFmtId="190" fontId="37" fillId="0" borderId="10" xfId="0" applyNumberFormat="1" applyFont="1" applyFill="1" applyBorder="1" applyAlignment="1">
      <alignment horizontal="center" vertical="center" wrapText="1"/>
    </xf>
    <xf numFmtId="190" fontId="9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Fill="1" applyBorder="1" applyAlignment="1">
      <alignment/>
    </xf>
    <xf numFmtId="182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0" fontId="10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49" fontId="10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182" fontId="2" fillId="0" borderId="0" xfId="0" applyNumberFormat="1" applyFont="1" applyFill="1" applyAlignment="1">
      <alignment horizontal="right" vertical="center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90" fontId="0" fillId="0" borderId="0" xfId="0" applyNumberFormat="1" applyFont="1" applyFill="1" applyAlignment="1">
      <alignment horizontal="center" vertical="center"/>
    </xf>
    <xf numFmtId="190" fontId="19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90" fontId="20" fillId="0" borderId="10" xfId="0" applyNumberFormat="1" applyFont="1" applyFill="1" applyBorder="1" applyAlignment="1">
      <alignment horizontal="center" vertical="center" wrapText="1"/>
    </xf>
    <xf numFmtId="4" fontId="98" fillId="0" borderId="0" xfId="0" applyNumberFormat="1" applyFont="1" applyFill="1" applyAlignment="1">
      <alignment/>
    </xf>
    <xf numFmtId="190" fontId="27" fillId="0" borderId="10" xfId="0" applyNumberFormat="1" applyFont="1" applyFill="1" applyBorder="1" applyAlignment="1">
      <alignment horizontal="center" vertical="center"/>
    </xf>
    <xf numFmtId="190" fontId="10" fillId="0" borderId="10" xfId="0" applyNumberFormat="1" applyFont="1" applyFill="1" applyBorder="1" applyAlignment="1">
      <alignment horizontal="right"/>
    </xf>
    <xf numFmtId="190" fontId="19" fillId="0" borderId="11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190" fontId="30" fillId="0" borderId="10" xfId="0" applyNumberFormat="1" applyFont="1" applyFill="1" applyBorder="1" applyAlignment="1">
      <alignment horizontal="center" vertical="center" wrapText="1"/>
    </xf>
    <xf numFmtId="190" fontId="30" fillId="0" borderId="10" xfId="0" applyNumberFormat="1" applyFont="1" applyFill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justify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justify" wrapText="1"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justify" wrapText="1"/>
    </xf>
    <xf numFmtId="0" fontId="0" fillId="0" borderId="0" xfId="0" applyFill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182" fontId="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4" fontId="3" fillId="0" borderId="0" xfId="43" applyFont="1" applyFill="1" applyAlignment="1">
      <alignment horizontal="right"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right" vertical="justify" wrapText="1"/>
    </xf>
    <xf numFmtId="0" fontId="15" fillId="0" borderId="0" xfId="0" applyFont="1" applyFill="1" applyBorder="1" applyAlignment="1">
      <alignment horizontal="left" vertical="justify" wrapText="1"/>
    </xf>
    <xf numFmtId="0" fontId="14" fillId="0" borderId="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90" fontId="3" fillId="0" borderId="15" xfId="0" applyNumberFormat="1" applyFont="1" applyFill="1" applyBorder="1" applyAlignment="1">
      <alignment horizontal="center" vertical="center" wrapText="1"/>
    </xf>
    <xf numFmtId="183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21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90" fontId="96" fillId="0" borderId="0" xfId="0" applyNumberFormat="1" applyFont="1" applyFill="1" applyAlignment="1">
      <alignment/>
    </xf>
    <xf numFmtId="188" fontId="96" fillId="0" borderId="0" xfId="0" applyNumberFormat="1" applyFont="1" applyFill="1" applyAlignment="1">
      <alignment/>
    </xf>
    <xf numFmtId="182" fontId="96" fillId="0" borderId="0" xfId="0" applyNumberFormat="1" applyFont="1" applyFill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wrapText="1"/>
    </xf>
    <xf numFmtId="49" fontId="103" fillId="0" borderId="0" xfId="0" applyNumberFormat="1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left" vertical="top" wrapText="1"/>
    </xf>
    <xf numFmtId="0" fontId="33" fillId="0" borderId="0" xfId="0" applyFont="1" applyFill="1" applyAlignment="1">
      <alignment/>
    </xf>
    <xf numFmtId="0" fontId="20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4" fontId="96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190" fontId="31" fillId="0" borderId="10" xfId="0" applyNumberFormat="1" applyFont="1" applyFill="1" applyBorder="1" applyAlignment="1">
      <alignment horizontal="center" vertical="center" wrapText="1"/>
    </xf>
    <xf numFmtId="190" fontId="31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9" fontId="30" fillId="0" borderId="0" xfId="0" applyNumberFormat="1" applyFont="1" applyFill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/>
    </xf>
    <xf numFmtId="49" fontId="3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191" fontId="0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188" fontId="3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188" fontId="95" fillId="0" borderId="0" xfId="0" applyNumberFormat="1" applyFont="1" applyFill="1" applyAlignment="1">
      <alignment/>
    </xf>
    <xf numFmtId="190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left" vertical="top" wrapText="1"/>
    </xf>
    <xf numFmtId="183" fontId="25" fillId="0" borderId="0" xfId="0" applyNumberFormat="1" applyFont="1" applyFill="1" applyAlignment="1">
      <alignment/>
    </xf>
    <xf numFmtId="183" fontId="1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90" fontId="3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4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17" fillId="0" borderId="18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3"/>
  <sheetViews>
    <sheetView view="pageBreakPreview" zoomScale="90" zoomScaleSheetLayoutView="90" zoomScalePageLayoutView="0" workbookViewId="0" topLeftCell="A1">
      <selection activeCell="B4" sqref="B4:C4"/>
    </sheetView>
  </sheetViews>
  <sheetFormatPr defaultColWidth="9.00390625" defaultRowHeight="12.75"/>
  <cols>
    <col min="1" max="1" width="24.50390625" style="1" customWidth="1"/>
    <col min="2" max="2" width="43.875" style="1" customWidth="1"/>
    <col min="3" max="3" width="19.375" style="1" customWidth="1"/>
    <col min="4" max="4" width="8.875" style="1" customWidth="1"/>
    <col min="5" max="5" width="22.625" style="1" customWidth="1"/>
    <col min="6" max="16384" width="8.875" style="1" customWidth="1"/>
  </cols>
  <sheetData>
    <row r="1" spans="1:3" ht="15">
      <c r="A1" s="281"/>
      <c r="B1" s="282"/>
      <c r="C1" s="3" t="s">
        <v>193</v>
      </c>
    </row>
    <row r="2" spans="1:3" ht="16.5" customHeight="1">
      <c r="A2" s="281"/>
      <c r="B2" s="282"/>
      <c r="C2" s="3" t="s">
        <v>428</v>
      </c>
    </row>
    <row r="3" spans="1:3" ht="16.5" customHeight="1">
      <c r="A3" s="281"/>
      <c r="B3" s="283" t="s">
        <v>429</v>
      </c>
      <c r="C3" s="283"/>
    </row>
    <row r="4" spans="1:3" s="66" customFormat="1" ht="16.5" customHeight="1">
      <c r="A4" s="281"/>
      <c r="B4" s="266" t="s">
        <v>850</v>
      </c>
      <c r="C4" s="266"/>
    </row>
    <row r="5" spans="1:3" ht="16.5" customHeight="1">
      <c r="A5" s="281"/>
      <c r="B5" s="3"/>
      <c r="C5" s="3"/>
    </row>
    <row r="6" spans="1:3" ht="38.25" customHeight="1">
      <c r="A6" s="284" t="s">
        <v>698</v>
      </c>
      <c r="B6" s="284"/>
      <c r="C6" s="284"/>
    </row>
    <row r="7" spans="1:3" ht="15.75" customHeight="1">
      <c r="A7" s="285"/>
      <c r="B7" s="285"/>
      <c r="C7" s="286" t="s">
        <v>365</v>
      </c>
    </row>
    <row r="8" spans="1:3" ht="3.75" customHeight="1" hidden="1">
      <c r="A8" s="287" t="s">
        <v>334</v>
      </c>
      <c r="B8" s="288"/>
      <c r="C8" s="288"/>
    </row>
    <row r="9" spans="1:3" ht="16.5" customHeight="1">
      <c r="A9" s="289" t="s">
        <v>152</v>
      </c>
      <c r="B9" s="289" t="s">
        <v>322</v>
      </c>
      <c r="C9" s="277" t="s">
        <v>697</v>
      </c>
    </row>
    <row r="10" spans="1:3" ht="16.5" customHeight="1">
      <c r="A10" s="289"/>
      <c r="B10" s="289"/>
      <c r="C10" s="277"/>
    </row>
    <row r="11" spans="1:3" ht="22.5" customHeight="1">
      <c r="A11" s="289"/>
      <c r="B11" s="289"/>
      <c r="C11" s="277"/>
    </row>
    <row r="12" spans="1:3" ht="34.5" customHeight="1">
      <c r="A12" s="8" t="s">
        <v>323</v>
      </c>
      <c r="B12" s="290" t="s">
        <v>324</v>
      </c>
      <c r="C12" s="187">
        <f>C13+C14</f>
        <v>-1632.8959600000017</v>
      </c>
    </row>
    <row r="13" spans="1:3" ht="52.5" customHeight="1">
      <c r="A13" s="34" t="s">
        <v>325</v>
      </c>
      <c r="B13" s="291" t="s">
        <v>326</v>
      </c>
      <c r="C13" s="119">
        <f>15660</f>
        <v>15660</v>
      </c>
    </row>
    <row r="14" spans="1:3" ht="50.25" customHeight="1">
      <c r="A14" s="63" t="s">
        <v>327</v>
      </c>
      <c r="B14" s="292" t="s">
        <v>328</v>
      </c>
      <c r="C14" s="119">
        <f>-11000+(-6292.89596)</f>
        <v>-17292.89596</v>
      </c>
    </row>
    <row r="15" spans="1:3" ht="51" customHeight="1">
      <c r="A15" s="8" t="s">
        <v>329</v>
      </c>
      <c r="B15" s="290" t="s">
        <v>330</v>
      </c>
      <c r="C15" s="187">
        <f>C16+C17</f>
        <v>5032.89596</v>
      </c>
    </row>
    <row r="16" spans="1:3" ht="63" customHeight="1">
      <c r="A16" s="63" t="s">
        <v>262</v>
      </c>
      <c r="B16" s="293" t="s">
        <v>335</v>
      </c>
      <c r="C16" s="294">
        <v>6292.89596</v>
      </c>
    </row>
    <row r="17" spans="1:3" ht="84.75" customHeight="1">
      <c r="A17" s="295" t="s">
        <v>263</v>
      </c>
      <c r="B17" s="296" t="s">
        <v>336</v>
      </c>
      <c r="C17" s="220">
        <v>-1260</v>
      </c>
    </row>
    <row r="18" spans="1:3" ht="36" customHeight="1">
      <c r="A18" s="8" t="s">
        <v>380</v>
      </c>
      <c r="B18" s="290" t="s">
        <v>381</v>
      </c>
      <c r="C18" s="187">
        <f>C19+C20</f>
        <v>26933.605280000018</v>
      </c>
    </row>
    <row r="19" spans="1:5" ht="36" customHeight="1">
      <c r="A19" s="34" t="s">
        <v>0</v>
      </c>
      <c r="B19" s="291" t="s">
        <v>1</v>
      </c>
      <c r="C19" s="297">
        <f>(-566064.22906)+1895.964+(-0.0003)+(-47813.25432)+(-3106.391)+(-60069.01)+(-4478.433)+11100+(-960)+(-1103)+(-9986.44089)+804+(-7614.3828)+(-55965.47568)+(-6292.89596)</f>
        <v>-749653.5490099998</v>
      </c>
      <c r="E19" s="298"/>
    </row>
    <row r="20" spans="1:5" ht="39" customHeight="1">
      <c r="A20" s="34" t="s">
        <v>2</v>
      </c>
      <c r="B20" s="291" t="s">
        <v>3</v>
      </c>
      <c r="C20" s="119">
        <f>566064.22906+25037.64128+0.0003+47813.25432+3106.391+60069.01+4478.433-11100+960+1103+9986.44089-804+7614.3828+55965.47568+6292.89596</f>
        <v>776587.1542899999</v>
      </c>
      <c r="E20" s="298"/>
    </row>
    <row r="21" spans="1:5" ht="19.5" customHeight="1">
      <c r="A21" s="8"/>
      <c r="B21" s="299" t="s">
        <v>337</v>
      </c>
      <c r="C21" s="225">
        <f>C12+C15+C18</f>
        <v>30333.605280000018</v>
      </c>
      <c r="E21" s="80"/>
    </row>
    <row r="22" spans="1:3" s="300" customFormat="1" ht="32.25" customHeight="1">
      <c r="A22" s="1"/>
      <c r="B22" s="1"/>
      <c r="C22" s="1"/>
    </row>
    <row r="23" spans="1:3" s="32" customFormat="1" ht="12.75">
      <c r="A23" s="1"/>
      <c r="B23" s="1"/>
      <c r="C23" s="1"/>
    </row>
  </sheetData>
  <sheetProtection/>
  <mergeCells count="6">
    <mergeCell ref="B3:C3"/>
    <mergeCell ref="B4:C4"/>
    <mergeCell ref="A6:C6"/>
    <mergeCell ref="A9:A11"/>
    <mergeCell ref="B9:B11"/>
    <mergeCell ref="C9:C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93"/>
  <sheetViews>
    <sheetView view="pageBreakPreview" zoomScaleSheetLayoutView="100" zoomScalePageLayoutView="0" workbookViewId="0" topLeftCell="A1">
      <pane xSplit="1" ySplit="9" topLeftCell="B83" activePane="bottomRight" state="frozen"/>
      <selection pane="topLeft" activeCell="L5" sqref="L5"/>
      <selection pane="topRight" activeCell="L5" sqref="L5"/>
      <selection pane="bottomLeft" activeCell="L5" sqref="L5"/>
      <selection pane="bottomRight" activeCell="C5" sqref="C5"/>
    </sheetView>
  </sheetViews>
  <sheetFormatPr defaultColWidth="9.00390625" defaultRowHeight="12.75"/>
  <cols>
    <col min="1" max="1" width="23.375" style="238" customWidth="1"/>
    <col min="2" max="2" width="9.125" style="224" customWidth="1"/>
    <col min="3" max="3" width="42.875" style="224" customWidth="1"/>
    <col min="4" max="4" width="15.00390625" style="210" hidden="1" customWidth="1"/>
    <col min="5" max="5" width="16.00390625" style="210" customWidth="1"/>
    <col min="6" max="6" width="14.625" style="210" hidden="1" customWidth="1"/>
    <col min="7" max="7" width="8.875" style="66" customWidth="1"/>
    <col min="8" max="16384" width="8.875" style="66" customWidth="1"/>
  </cols>
  <sheetData>
    <row r="1" spans="1:5" ht="15">
      <c r="A1" s="235"/>
      <c r="B1" s="236"/>
      <c r="C1" s="264" t="s">
        <v>483</v>
      </c>
      <c r="D1" s="265"/>
      <c r="E1" s="265"/>
    </row>
    <row r="2" spans="1:7" ht="15">
      <c r="A2" s="235"/>
      <c r="B2" s="236"/>
      <c r="C2" s="266" t="s">
        <v>428</v>
      </c>
      <c r="D2" s="266"/>
      <c r="E2" s="266"/>
      <c r="G2" s="209"/>
    </row>
    <row r="3" spans="1:7" ht="15">
      <c r="A3" s="235"/>
      <c r="B3" s="236"/>
      <c r="C3" s="266" t="s">
        <v>429</v>
      </c>
      <c r="D3" s="266"/>
      <c r="E3" s="266"/>
      <c r="G3" s="3"/>
    </row>
    <row r="4" spans="1:7" ht="13.5" customHeight="1">
      <c r="A4" s="235"/>
      <c r="B4" s="236"/>
      <c r="C4" s="266" t="s">
        <v>850</v>
      </c>
      <c r="D4" s="265"/>
      <c r="E4" s="265"/>
      <c r="G4" s="209"/>
    </row>
    <row r="5" spans="1:7" ht="15">
      <c r="A5" s="235"/>
      <c r="B5" s="236"/>
      <c r="C5" s="236"/>
      <c r="D5" s="208"/>
      <c r="G5" s="3"/>
    </row>
    <row r="6" spans="1:5" ht="20.25" customHeight="1">
      <c r="A6" s="261" t="s">
        <v>584</v>
      </c>
      <c r="B6" s="261"/>
      <c r="C6" s="261"/>
      <c r="D6" s="261"/>
      <c r="E6" s="262"/>
    </row>
    <row r="7" spans="1:6" ht="15" customHeight="1">
      <c r="A7" s="237"/>
      <c r="B7" s="263"/>
      <c r="C7" s="263"/>
      <c r="D7" s="208"/>
      <c r="E7" s="217" t="s">
        <v>145</v>
      </c>
      <c r="F7" s="208"/>
    </row>
    <row r="8" spans="1:6" ht="15" customHeight="1">
      <c r="A8" s="246" t="s">
        <v>152</v>
      </c>
      <c r="B8" s="246" t="s">
        <v>368</v>
      </c>
      <c r="C8" s="246"/>
      <c r="D8" s="267" t="s">
        <v>545</v>
      </c>
      <c r="E8" s="258" t="s">
        <v>720</v>
      </c>
      <c r="F8" s="260" t="s">
        <v>702</v>
      </c>
    </row>
    <row r="9" spans="1:6" ht="37.5" customHeight="1">
      <c r="A9" s="246"/>
      <c r="B9" s="246"/>
      <c r="C9" s="246"/>
      <c r="D9" s="267"/>
      <c r="E9" s="258"/>
      <c r="F9" s="260"/>
    </row>
    <row r="10" spans="1:6" ht="18.75" customHeight="1">
      <c r="A10" s="214" t="s">
        <v>267</v>
      </c>
      <c r="B10" s="251" t="s">
        <v>268</v>
      </c>
      <c r="C10" s="251"/>
      <c r="D10" s="170">
        <f>D11+D13+D15+D19+D21+D29+D31+D34+D39+D40</f>
        <v>238589.1</v>
      </c>
      <c r="E10" s="170">
        <f>E11+E13+E15+E19+E21+E29+E31+E34+E39+E40</f>
        <v>239039.32805</v>
      </c>
      <c r="F10" s="170">
        <f>F11+F13+F15+F19+F21+F29+F31+F34+F39+F40</f>
        <v>-849.6719499999954</v>
      </c>
    </row>
    <row r="11" spans="1:6" ht="15" customHeight="1">
      <c r="A11" s="214" t="s">
        <v>269</v>
      </c>
      <c r="B11" s="246" t="s">
        <v>280</v>
      </c>
      <c r="C11" s="246"/>
      <c r="D11" s="170">
        <f>SUM(D12)</f>
        <v>180614</v>
      </c>
      <c r="E11" s="170">
        <f>SUM(E12)</f>
        <v>180807.22805</v>
      </c>
      <c r="F11" s="170">
        <f>SUM(F12)</f>
        <v>193.22805000000517</v>
      </c>
    </row>
    <row r="12" spans="1:6" ht="15" customHeight="1">
      <c r="A12" s="101" t="s">
        <v>426</v>
      </c>
      <c r="B12" s="246" t="s">
        <v>281</v>
      </c>
      <c r="C12" s="246"/>
      <c r="D12" s="171">
        <v>180614</v>
      </c>
      <c r="E12" s="211">
        <f>181572-764.77195</f>
        <v>180807.22805</v>
      </c>
      <c r="F12" s="211">
        <f>E12-D12</f>
        <v>193.22805000000517</v>
      </c>
    </row>
    <row r="13" spans="1:6" ht="45" customHeight="1">
      <c r="A13" s="214" t="s">
        <v>473</v>
      </c>
      <c r="B13" s="246" t="s">
        <v>474</v>
      </c>
      <c r="C13" s="246"/>
      <c r="D13" s="170">
        <f>SUM(D14)</f>
        <v>13353</v>
      </c>
      <c r="E13" s="170">
        <f>SUM(E14)</f>
        <v>13626</v>
      </c>
      <c r="F13" s="170">
        <f>SUM(F14)</f>
        <v>273</v>
      </c>
    </row>
    <row r="14" spans="1:6" ht="29.25" customHeight="1">
      <c r="A14" s="101" t="s">
        <v>471</v>
      </c>
      <c r="B14" s="246" t="s">
        <v>472</v>
      </c>
      <c r="C14" s="246"/>
      <c r="D14" s="171">
        <v>13353</v>
      </c>
      <c r="E14" s="211">
        <f>14430-804</f>
        <v>13626</v>
      </c>
      <c r="F14" s="211">
        <f>E14-D14</f>
        <v>273</v>
      </c>
    </row>
    <row r="15" spans="1:6" ht="15" customHeight="1">
      <c r="A15" s="214" t="s">
        <v>282</v>
      </c>
      <c r="B15" s="246" t="s">
        <v>284</v>
      </c>
      <c r="C15" s="246"/>
      <c r="D15" s="170">
        <f>SUM(D16:D18)</f>
        <v>10661</v>
      </c>
      <c r="E15" s="170">
        <f>SUM(E16:E18)</f>
        <v>11119</v>
      </c>
      <c r="F15" s="170">
        <f>SUM(F16:F18)</f>
        <v>458</v>
      </c>
    </row>
    <row r="16" spans="1:6" ht="30" customHeight="1">
      <c r="A16" s="101" t="s">
        <v>443</v>
      </c>
      <c r="B16" s="246" t="s">
        <v>285</v>
      </c>
      <c r="C16" s="246"/>
      <c r="D16" s="171">
        <v>9431</v>
      </c>
      <c r="E16" s="211">
        <f>9894+60</f>
        <v>9954</v>
      </c>
      <c r="F16" s="211">
        <f>E16-D16</f>
        <v>523</v>
      </c>
    </row>
    <row r="17" spans="1:6" ht="22.5" customHeight="1">
      <c r="A17" s="101" t="s">
        <v>444</v>
      </c>
      <c r="B17" s="246" t="s">
        <v>286</v>
      </c>
      <c r="C17" s="246"/>
      <c r="D17" s="171">
        <v>1160</v>
      </c>
      <c r="E17" s="211">
        <f>1340-225</f>
        <v>1115</v>
      </c>
      <c r="F17" s="211">
        <f>E17-D17</f>
        <v>-45</v>
      </c>
    </row>
    <row r="18" spans="1:6" ht="45" customHeight="1">
      <c r="A18" s="101" t="s">
        <v>475</v>
      </c>
      <c r="B18" s="246" t="s">
        <v>476</v>
      </c>
      <c r="C18" s="246"/>
      <c r="D18" s="171">
        <v>70</v>
      </c>
      <c r="E18" s="211">
        <f>74-24</f>
        <v>50</v>
      </c>
      <c r="F18" s="211">
        <f>E18-D18</f>
        <v>-20</v>
      </c>
    </row>
    <row r="19" spans="1:6" ht="15" customHeight="1">
      <c r="A19" s="214" t="s">
        <v>287</v>
      </c>
      <c r="B19" s="246" t="s">
        <v>288</v>
      </c>
      <c r="C19" s="246"/>
      <c r="D19" s="170">
        <f>SUM(D20:D20)</f>
        <v>3000</v>
      </c>
      <c r="E19" s="170">
        <f>SUM(E20:E20)</f>
        <v>2800</v>
      </c>
      <c r="F19" s="170">
        <f>SUM(F20:F20)</f>
        <v>-200</v>
      </c>
    </row>
    <row r="20" spans="1:6" ht="46.5" customHeight="1">
      <c r="A20" s="21" t="s">
        <v>477</v>
      </c>
      <c r="B20" s="259" t="s">
        <v>13</v>
      </c>
      <c r="C20" s="259"/>
      <c r="D20" s="171">
        <f>2985+15</f>
        <v>3000</v>
      </c>
      <c r="E20" s="211">
        <f>3000-200</f>
        <v>2800</v>
      </c>
      <c r="F20" s="211">
        <f>E20-D20</f>
        <v>-200</v>
      </c>
    </row>
    <row r="21" spans="1:6" ht="52.5" customHeight="1">
      <c r="A21" s="214" t="s">
        <v>289</v>
      </c>
      <c r="B21" s="246" t="s">
        <v>445</v>
      </c>
      <c r="C21" s="246"/>
      <c r="D21" s="170">
        <f>SUM(D22:D28)</f>
        <v>13197.1</v>
      </c>
      <c r="E21" s="170">
        <f>SUM(E22:E28)</f>
        <v>14443.9</v>
      </c>
      <c r="F21" s="170">
        <f>SUM(F22:F28)</f>
        <v>1246.7999999999997</v>
      </c>
    </row>
    <row r="22" spans="1:6" ht="96" customHeight="1">
      <c r="A22" s="101" t="s">
        <v>10</v>
      </c>
      <c r="B22" s="246" t="s">
        <v>520</v>
      </c>
      <c r="C22" s="246"/>
      <c r="D22" s="171">
        <v>2267.1</v>
      </c>
      <c r="E22" s="211">
        <f>2267.1+2156.8</f>
        <v>4423.9</v>
      </c>
      <c r="F22" s="211">
        <f aca="true" t="shared" si="0" ref="F22:F28">E22-D22</f>
        <v>2156.7999999999997</v>
      </c>
    </row>
    <row r="23" spans="1:6" ht="95.25" customHeight="1" hidden="1">
      <c r="A23" s="101" t="s">
        <v>12</v>
      </c>
      <c r="B23" s="246" t="s">
        <v>677</v>
      </c>
      <c r="C23" s="246"/>
      <c r="D23" s="171">
        <v>0</v>
      </c>
      <c r="E23" s="211"/>
      <c r="F23" s="211">
        <f t="shared" si="0"/>
        <v>0</v>
      </c>
    </row>
    <row r="24" spans="1:6" ht="84.75" customHeight="1">
      <c r="A24" s="101" t="s">
        <v>245</v>
      </c>
      <c r="B24" s="246" t="s">
        <v>678</v>
      </c>
      <c r="C24" s="246"/>
      <c r="D24" s="171">
        <v>7300</v>
      </c>
      <c r="E24" s="211">
        <v>7300</v>
      </c>
      <c r="F24" s="211">
        <f t="shared" si="0"/>
        <v>0</v>
      </c>
    </row>
    <row r="25" spans="1:6" ht="85.5" customHeight="1">
      <c r="A25" s="101" t="s">
        <v>345</v>
      </c>
      <c r="B25" s="246" t="s">
        <v>258</v>
      </c>
      <c r="C25" s="246"/>
      <c r="D25" s="171">
        <v>116</v>
      </c>
      <c r="E25" s="211">
        <v>116</v>
      </c>
      <c r="F25" s="211">
        <f t="shared" si="0"/>
        <v>0</v>
      </c>
    </row>
    <row r="26" spans="1:6" ht="83.25" customHeight="1">
      <c r="A26" s="101" t="s">
        <v>186</v>
      </c>
      <c r="B26" s="246" t="s">
        <v>448</v>
      </c>
      <c r="C26" s="246"/>
      <c r="D26" s="171">
        <v>3204</v>
      </c>
      <c r="E26" s="211">
        <v>2604</v>
      </c>
      <c r="F26" s="211">
        <f t="shared" si="0"/>
        <v>-600</v>
      </c>
    </row>
    <row r="27" spans="1:6" ht="59.25" customHeight="1" hidden="1">
      <c r="A27" s="101" t="s">
        <v>346</v>
      </c>
      <c r="B27" s="246" t="s">
        <v>187</v>
      </c>
      <c r="C27" s="246"/>
      <c r="D27" s="156">
        <v>0</v>
      </c>
      <c r="E27" s="211"/>
      <c r="F27" s="211">
        <f t="shared" si="0"/>
        <v>0</v>
      </c>
    </row>
    <row r="28" spans="1:6" ht="87" customHeight="1" hidden="1">
      <c r="A28" s="101" t="s">
        <v>188</v>
      </c>
      <c r="B28" s="246" t="s">
        <v>451</v>
      </c>
      <c r="C28" s="246"/>
      <c r="D28" s="171">
        <v>310</v>
      </c>
      <c r="E28" s="211"/>
      <c r="F28" s="211">
        <f t="shared" si="0"/>
        <v>-310</v>
      </c>
    </row>
    <row r="29" spans="1:6" ht="31.5" customHeight="1">
      <c r="A29" s="214" t="s">
        <v>290</v>
      </c>
      <c r="B29" s="246" t="s">
        <v>291</v>
      </c>
      <c r="C29" s="246"/>
      <c r="D29" s="170">
        <f>SUM(D30)</f>
        <v>475</v>
      </c>
      <c r="E29" s="170">
        <f>SUM(E30)</f>
        <v>555</v>
      </c>
      <c r="F29" s="170">
        <f>SUM(F30)</f>
        <v>80</v>
      </c>
    </row>
    <row r="30" spans="1:6" ht="24" customHeight="1">
      <c r="A30" s="101" t="s">
        <v>427</v>
      </c>
      <c r="B30" s="246" t="s">
        <v>292</v>
      </c>
      <c r="C30" s="246"/>
      <c r="D30" s="171">
        <v>475</v>
      </c>
      <c r="E30" s="171">
        <f>500+55</f>
        <v>555</v>
      </c>
      <c r="F30" s="211">
        <f>E30-D30</f>
        <v>80</v>
      </c>
    </row>
    <row r="31" spans="1:6" ht="31.5" customHeight="1">
      <c r="A31" s="214" t="s">
        <v>293</v>
      </c>
      <c r="B31" s="246" t="s">
        <v>294</v>
      </c>
      <c r="C31" s="246"/>
      <c r="D31" s="170">
        <f>SUM(D32:D33)</f>
        <v>1139</v>
      </c>
      <c r="E31" s="170">
        <f>SUM(E32:E33)</f>
        <v>1200</v>
      </c>
      <c r="F31" s="170">
        <f>SUM(F32:F33)</f>
        <v>-826.2</v>
      </c>
    </row>
    <row r="32" spans="1:6" ht="41.25" customHeight="1">
      <c r="A32" s="101" t="s">
        <v>452</v>
      </c>
      <c r="B32" s="246" t="s">
        <v>453</v>
      </c>
      <c r="C32" s="246"/>
      <c r="D32" s="171">
        <v>1139</v>
      </c>
      <c r="E32" s="211">
        <v>312.8</v>
      </c>
      <c r="F32" s="211">
        <f>E32-D32</f>
        <v>-826.2</v>
      </c>
    </row>
    <row r="33" spans="1:6" ht="51.75" customHeight="1">
      <c r="A33" s="101" t="s">
        <v>679</v>
      </c>
      <c r="B33" s="246" t="s">
        <v>680</v>
      </c>
      <c r="C33" s="246"/>
      <c r="D33" s="171"/>
      <c r="E33" s="211">
        <v>887.2</v>
      </c>
      <c r="F33" s="211"/>
    </row>
    <row r="34" spans="1:6" ht="36" customHeight="1">
      <c r="A34" s="214" t="s">
        <v>295</v>
      </c>
      <c r="B34" s="246" t="s">
        <v>296</v>
      </c>
      <c r="C34" s="246"/>
      <c r="D34" s="170">
        <f>SUM(D35:D37)</f>
        <v>15326</v>
      </c>
      <c r="E34" s="170">
        <f>SUM(E35:E38)</f>
        <v>11133.2</v>
      </c>
      <c r="F34" s="170">
        <f>SUM(F35:F37)</f>
        <v>-4250.5</v>
      </c>
    </row>
    <row r="35" spans="1:6" ht="87" customHeight="1">
      <c r="A35" s="101" t="s">
        <v>454</v>
      </c>
      <c r="B35" s="246" t="s">
        <v>467</v>
      </c>
      <c r="C35" s="246"/>
      <c r="D35" s="171">
        <v>12994</v>
      </c>
      <c r="E35" s="211">
        <f>10800-4265.5</f>
        <v>6534.5</v>
      </c>
      <c r="F35" s="211">
        <f>E35-D35</f>
        <v>-6459.5</v>
      </c>
    </row>
    <row r="36" spans="1:6" ht="48" customHeight="1">
      <c r="A36" s="21" t="s">
        <v>536</v>
      </c>
      <c r="B36" s="246" t="s">
        <v>829</v>
      </c>
      <c r="C36" s="246"/>
      <c r="D36" s="171">
        <v>250</v>
      </c>
      <c r="E36" s="211">
        <f>250+376.7+1112+7.3</f>
        <v>1746</v>
      </c>
      <c r="F36" s="211">
        <f>E36-D36</f>
        <v>1496</v>
      </c>
    </row>
    <row r="37" spans="1:6" ht="57" customHeight="1">
      <c r="A37" s="21" t="s">
        <v>578</v>
      </c>
      <c r="B37" s="246" t="s">
        <v>259</v>
      </c>
      <c r="C37" s="246"/>
      <c r="D37" s="171">
        <v>2082</v>
      </c>
      <c r="E37" s="211">
        <f>2000+419+376</f>
        <v>2795</v>
      </c>
      <c r="F37" s="211">
        <f>E37-D37</f>
        <v>713</v>
      </c>
    </row>
    <row r="38" spans="1:6" ht="57" customHeight="1">
      <c r="A38" s="21" t="s">
        <v>349</v>
      </c>
      <c r="B38" s="248" t="s">
        <v>837</v>
      </c>
      <c r="C38" s="250"/>
      <c r="D38" s="171"/>
      <c r="E38" s="211">
        <v>57.7</v>
      </c>
      <c r="F38" s="211"/>
    </row>
    <row r="39" spans="1:6" ht="19.5" customHeight="1">
      <c r="A39" s="214" t="s">
        <v>297</v>
      </c>
      <c r="B39" s="246" t="s">
        <v>298</v>
      </c>
      <c r="C39" s="246"/>
      <c r="D39" s="170">
        <v>824</v>
      </c>
      <c r="E39" s="212">
        <f>35+1500+457+508+500</f>
        <v>3000</v>
      </c>
      <c r="F39" s="212">
        <f>E39-D39</f>
        <v>2176</v>
      </c>
    </row>
    <row r="40" spans="1:6" ht="31.5" customHeight="1">
      <c r="A40" s="214" t="s">
        <v>347</v>
      </c>
      <c r="B40" s="246" t="s">
        <v>348</v>
      </c>
      <c r="C40" s="246"/>
      <c r="D40" s="170">
        <f>SUM(D41)</f>
        <v>0</v>
      </c>
      <c r="E40" s="170">
        <f>SUM(E41)</f>
        <v>355</v>
      </c>
      <c r="F40" s="170">
        <f>SUM(F41)</f>
        <v>0</v>
      </c>
    </row>
    <row r="41" spans="1:6" ht="27" customHeight="1">
      <c r="A41" s="21" t="s">
        <v>351</v>
      </c>
      <c r="B41" s="246" t="s">
        <v>353</v>
      </c>
      <c r="C41" s="246"/>
      <c r="D41" s="171">
        <v>0</v>
      </c>
      <c r="E41" s="211">
        <f>310+45</f>
        <v>355</v>
      </c>
      <c r="F41" s="211"/>
    </row>
    <row r="42" spans="1:6" ht="32.25" customHeight="1">
      <c r="A42" s="214" t="s">
        <v>299</v>
      </c>
      <c r="B42" s="251" t="s">
        <v>706</v>
      </c>
      <c r="C42" s="251"/>
      <c r="D42" s="170">
        <f>D43</f>
        <v>300010.0490099999</v>
      </c>
      <c r="E42" s="170">
        <f>E43</f>
        <v>488661.32500000007</v>
      </c>
      <c r="F42" s="170">
        <f>F43</f>
        <v>188651.27599000017</v>
      </c>
    </row>
    <row r="43" spans="1:6" ht="33" customHeight="1">
      <c r="A43" s="101" t="s">
        <v>300</v>
      </c>
      <c r="B43" s="246" t="s">
        <v>707</v>
      </c>
      <c r="C43" s="246"/>
      <c r="D43" s="170">
        <f>D44+D48+D59+D83</f>
        <v>300010.0490099999</v>
      </c>
      <c r="E43" s="170">
        <f>E44+E48+E59+E83</f>
        <v>488661.32500000007</v>
      </c>
      <c r="F43" s="212">
        <f>E43-D43</f>
        <v>188651.27599000017</v>
      </c>
    </row>
    <row r="44" spans="1:6" ht="31.5" customHeight="1">
      <c r="A44" s="214" t="s">
        <v>681</v>
      </c>
      <c r="B44" s="251" t="s">
        <v>303</v>
      </c>
      <c r="C44" s="251"/>
      <c r="D44" s="170">
        <f>D47</f>
        <v>5646.333</v>
      </c>
      <c r="E44" s="170">
        <f>E46+E47</f>
        <v>141883.77612</v>
      </c>
      <c r="F44" s="170">
        <f>E44-D44</f>
        <v>136237.44311999998</v>
      </c>
    </row>
    <row r="45" spans="1:6" ht="43.5" customHeight="1" hidden="1">
      <c r="A45" s="101" t="s">
        <v>480</v>
      </c>
      <c r="B45" s="246" t="s">
        <v>189</v>
      </c>
      <c r="C45" s="246"/>
      <c r="D45" s="171"/>
      <c r="E45" s="211"/>
      <c r="F45" s="211">
        <f>E45-D45</f>
        <v>0</v>
      </c>
    </row>
    <row r="46" spans="1:6" ht="108" customHeight="1">
      <c r="A46" s="101" t="s">
        <v>823</v>
      </c>
      <c r="B46" s="248" t="s">
        <v>824</v>
      </c>
      <c r="C46" s="250"/>
      <c r="D46" s="171"/>
      <c r="E46" s="211">
        <v>646</v>
      </c>
      <c r="F46" s="211"/>
    </row>
    <row r="47" spans="1:6" ht="30" customHeight="1">
      <c r="A47" s="101" t="s">
        <v>581</v>
      </c>
      <c r="B47" s="246" t="s">
        <v>363</v>
      </c>
      <c r="C47" s="246"/>
      <c r="D47" s="171">
        <v>5646.333</v>
      </c>
      <c r="E47" s="211">
        <f>9514.54167+60069.01-4915.42308+20003.35944+2542.855+54023.43309</f>
        <v>141237.77612</v>
      </c>
      <c r="F47" s="211">
        <f>E47-D47</f>
        <v>135591.44311999998</v>
      </c>
    </row>
    <row r="48" spans="1:6" ht="33" customHeight="1">
      <c r="A48" s="90" t="s">
        <v>482</v>
      </c>
      <c r="B48" s="258" t="s">
        <v>283</v>
      </c>
      <c r="C48" s="258"/>
      <c r="D48" s="170">
        <f>D50+D55+D52</f>
        <v>20148.65097</v>
      </c>
      <c r="E48" s="170">
        <f>E49</f>
        <v>50939.17799</v>
      </c>
      <c r="F48" s="170">
        <f>SUM(F50:F55)</f>
        <v>25871.515699999996</v>
      </c>
    </row>
    <row r="49" spans="1:6" ht="33" customHeight="1">
      <c r="A49" s="169" t="s">
        <v>682</v>
      </c>
      <c r="B49" s="256" t="s">
        <v>818</v>
      </c>
      <c r="C49" s="257"/>
      <c r="D49" s="170"/>
      <c r="E49" s="178">
        <f>SUM(E50:E58)</f>
        <v>50939.17799</v>
      </c>
      <c r="F49" s="170"/>
    </row>
    <row r="50" spans="1:6" ht="74.25" customHeight="1">
      <c r="A50" s="21" t="s">
        <v>682</v>
      </c>
      <c r="B50" s="246" t="s">
        <v>683</v>
      </c>
      <c r="C50" s="246"/>
      <c r="D50" s="171">
        <v>19172.235</v>
      </c>
      <c r="E50" s="171">
        <f>597.5+44760.7+2978.433-11100-302.94078</f>
        <v>36933.69222</v>
      </c>
      <c r="F50" s="211">
        <f>E50-D50</f>
        <v>17761.457219999997</v>
      </c>
    </row>
    <row r="51" spans="1:6" ht="60" customHeight="1">
      <c r="A51" s="21" t="s">
        <v>682</v>
      </c>
      <c r="B51" s="254" t="s">
        <v>820</v>
      </c>
      <c r="C51" s="255"/>
      <c r="D51" s="171"/>
      <c r="E51" s="171">
        <v>960</v>
      </c>
      <c r="F51" s="211"/>
    </row>
    <row r="52" spans="1:6" ht="72" customHeight="1">
      <c r="A52" s="21" t="s">
        <v>682</v>
      </c>
      <c r="B52" s="246" t="s">
        <v>819</v>
      </c>
      <c r="C52" s="246"/>
      <c r="D52" s="171">
        <v>825</v>
      </c>
      <c r="E52" s="171">
        <v>825</v>
      </c>
      <c r="F52" s="211">
        <f>E52-D52</f>
        <v>0</v>
      </c>
    </row>
    <row r="53" spans="1:6" ht="57" customHeight="1">
      <c r="A53" s="21" t="s">
        <v>682</v>
      </c>
      <c r="B53" s="248" t="s">
        <v>704</v>
      </c>
      <c r="C53" s="249"/>
      <c r="D53" s="171">
        <v>0</v>
      </c>
      <c r="E53" s="171">
        <v>1182.227</v>
      </c>
      <c r="F53" s="211">
        <f>E53-D53</f>
        <v>1182.227</v>
      </c>
    </row>
    <row r="54" spans="1:6" ht="57.75" customHeight="1">
      <c r="A54" s="21" t="s">
        <v>682</v>
      </c>
      <c r="B54" s="248" t="s">
        <v>725</v>
      </c>
      <c r="C54" s="249"/>
      <c r="D54" s="171">
        <v>0</v>
      </c>
      <c r="E54" s="171">
        <v>6930</v>
      </c>
      <c r="F54" s="211">
        <f>E54-D54</f>
        <v>6930</v>
      </c>
    </row>
    <row r="55" spans="1:6" ht="58.5" customHeight="1">
      <c r="A55" s="21" t="s">
        <v>682</v>
      </c>
      <c r="B55" s="246" t="s">
        <v>705</v>
      </c>
      <c r="C55" s="246"/>
      <c r="D55" s="171">
        <v>151.41597</v>
      </c>
      <c r="E55" s="171">
        <v>149.24745</v>
      </c>
      <c r="F55" s="211">
        <f>E55-D55</f>
        <v>-2.168520000000001</v>
      </c>
    </row>
    <row r="56" spans="1:6" ht="51" customHeight="1">
      <c r="A56" s="21" t="s">
        <v>682</v>
      </c>
      <c r="B56" s="248" t="s">
        <v>761</v>
      </c>
      <c r="C56" s="253"/>
      <c r="D56" s="171"/>
      <c r="E56" s="171">
        <f>216.52843+742.48289</f>
        <v>959.01132</v>
      </c>
      <c r="F56" s="211"/>
    </row>
    <row r="57" spans="1:6" ht="57.75" customHeight="1">
      <c r="A57" s="21" t="s">
        <v>682</v>
      </c>
      <c r="B57" s="248" t="s">
        <v>821</v>
      </c>
      <c r="C57" s="253"/>
      <c r="D57" s="171"/>
      <c r="E57" s="171">
        <v>3000</v>
      </c>
      <c r="F57" s="211"/>
    </row>
    <row r="58" spans="1:6" ht="45.75" customHeight="1">
      <c r="A58" s="21" t="s">
        <v>682</v>
      </c>
      <c r="B58" s="248" t="s">
        <v>822</v>
      </c>
      <c r="C58" s="253"/>
      <c r="D58" s="171"/>
      <c r="E58" s="171">
        <f>156-156</f>
        <v>0</v>
      </c>
      <c r="F58" s="211"/>
    </row>
    <row r="59" spans="1:6" ht="46.5" customHeight="1">
      <c r="A59" s="214" t="s">
        <v>580</v>
      </c>
      <c r="B59" s="251" t="s">
        <v>422</v>
      </c>
      <c r="C59" s="251"/>
      <c r="D59" s="170">
        <f>D60+D61+D62+D63+D81</f>
        <v>269953.4650399999</v>
      </c>
      <c r="E59" s="170">
        <f>E60+E61+E62+E63+E81+E82</f>
        <v>282068.44035000005</v>
      </c>
      <c r="F59" s="170">
        <f>F60+F61+F62+F63+F81</f>
        <v>6962.975310000011</v>
      </c>
    </row>
    <row r="60" spans="1:6" ht="59.25" customHeight="1">
      <c r="A60" s="101" t="s">
        <v>579</v>
      </c>
      <c r="B60" s="246" t="s">
        <v>779</v>
      </c>
      <c r="C60" s="246"/>
      <c r="D60" s="171">
        <v>1591.06</v>
      </c>
      <c r="E60" s="171">
        <f>1798.09+187.287</f>
        <v>1985.377</v>
      </c>
      <c r="F60" s="211">
        <f>E60-D60</f>
        <v>394.317</v>
      </c>
    </row>
    <row r="61" spans="1:6" ht="81.75" customHeight="1">
      <c r="A61" s="101" t="s">
        <v>754</v>
      </c>
      <c r="B61" s="248" t="s">
        <v>753</v>
      </c>
      <c r="C61" s="249"/>
      <c r="D61" s="171">
        <v>1707.78</v>
      </c>
      <c r="E61" s="171">
        <v>500.835</v>
      </c>
      <c r="F61" s="211">
        <f>E61-D61</f>
        <v>-1206.945</v>
      </c>
    </row>
    <row r="62" spans="1:6" ht="93" customHeight="1">
      <c r="A62" s="101" t="s">
        <v>582</v>
      </c>
      <c r="B62" s="246" t="s">
        <v>778</v>
      </c>
      <c r="C62" s="246"/>
      <c r="D62" s="171">
        <v>17.437</v>
      </c>
      <c r="E62" s="171">
        <v>17.047</v>
      </c>
      <c r="F62" s="211">
        <f>E62-D62</f>
        <v>-0.39000000000000057</v>
      </c>
    </row>
    <row r="63" spans="1:6" ht="48.75" customHeight="1">
      <c r="A63" s="169" t="s">
        <v>583</v>
      </c>
      <c r="B63" s="252" t="s">
        <v>266</v>
      </c>
      <c r="C63" s="252"/>
      <c r="D63" s="178">
        <f>D64+D65+D66+D67+D68+D69+D70+D71+D72+D73+D74+D75++D76+D77+D78+D79+D80</f>
        <v>261989.86503999995</v>
      </c>
      <c r="E63" s="178">
        <f>E64+E65+E66+E67+E68+E69+E70+E71+E72+E73+E74+E75++E76+E77+E78+E79+E80</f>
        <v>271957.03111000004</v>
      </c>
      <c r="F63" s="178">
        <f>F64+F65+F66+F67+F68+F69+F70+F71+F72+F73+F74+F75++F76+F77+F78+F79+F80</f>
        <v>9967.16607000001</v>
      </c>
    </row>
    <row r="64" spans="1:6" ht="76.5" customHeight="1">
      <c r="A64" s="101" t="s">
        <v>583</v>
      </c>
      <c r="B64" s="246" t="s">
        <v>461</v>
      </c>
      <c r="C64" s="246"/>
      <c r="D64" s="171">
        <v>156357.937</v>
      </c>
      <c r="E64" s="171">
        <f>156357.937+526.423</f>
        <v>156884.36000000002</v>
      </c>
      <c r="F64" s="211">
        <f aca="true" t="shared" si="1" ref="F64:F81">E64-D64</f>
        <v>526.4230000000098</v>
      </c>
    </row>
    <row r="65" spans="1:6" ht="82.5" customHeight="1">
      <c r="A65" s="101" t="s">
        <v>583</v>
      </c>
      <c r="B65" s="246" t="s">
        <v>684</v>
      </c>
      <c r="C65" s="246"/>
      <c r="D65" s="171">
        <v>13848.602</v>
      </c>
      <c r="E65" s="171">
        <f>13848.602-3784.232</f>
        <v>10064.37</v>
      </c>
      <c r="F65" s="211">
        <f t="shared" si="1"/>
        <v>-3784.232</v>
      </c>
    </row>
    <row r="66" spans="1:6" ht="73.5" customHeight="1">
      <c r="A66" s="101" t="s">
        <v>583</v>
      </c>
      <c r="B66" s="246" t="s">
        <v>332</v>
      </c>
      <c r="C66" s="246"/>
      <c r="D66" s="171">
        <v>1157.09</v>
      </c>
      <c r="E66" s="171">
        <v>1167.127</v>
      </c>
      <c r="F66" s="211">
        <f t="shared" si="1"/>
        <v>10.037000000000035</v>
      </c>
    </row>
    <row r="67" spans="1:6" ht="84.75" customHeight="1">
      <c r="A67" s="101" t="s">
        <v>583</v>
      </c>
      <c r="B67" s="246" t="s">
        <v>462</v>
      </c>
      <c r="C67" s="246"/>
      <c r="D67" s="171">
        <v>48045.528</v>
      </c>
      <c r="E67" s="171">
        <v>48045.528</v>
      </c>
      <c r="F67" s="211">
        <f t="shared" si="1"/>
        <v>0</v>
      </c>
    </row>
    <row r="68" spans="1:6" ht="75" customHeight="1">
      <c r="A68" s="101" t="s">
        <v>583</v>
      </c>
      <c r="B68" s="246" t="s">
        <v>781</v>
      </c>
      <c r="C68" s="246"/>
      <c r="D68" s="171">
        <v>3064.058</v>
      </c>
      <c r="E68" s="171">
        <f>3064.058-642.381-674.57281</f>
        <v>1747.10419</v>
      </c>
      <c r="F68" s="211">
        <f t="shared" si="1"/>
        <v>-1316.95381</v>
      </c>
    </row>
    <row r="69" spans="1:6" ht="63.75" customHeight="1">
      <c r="A69" s="101" t="s">
        <v>583</v>
      </c>
      <c r="B69" s="246" t="s">
        <v>465</v>
      </c>
      <c r="C69" s="246"/>
      <c r="D69" s="171">
        <v>768.474</v>
      </c>
      <c r="E69" s="171">
        <v>774.981</v>
      </c>
      <c r="F69" s="211">
        <f t="shared" si="1"/>
        <v>6.506999999999948</v>
      </c>
    </row>
    <row r="70" spans="1:6" ht="66" customHeight="1">
      <c r="A70" s="101" t="s">
        <v>583</v>
      </c>
      <c r="B70" s="246" t="s">
        <v>466</v>
      </c>
      <c r="C70" s="246"/>
      <c r="D70" s="171">
        <v>740.504</v>
      </c>
      <c r="E70" s="171">
        <v>746.896</v>
      </c>
      <c r="F70" s="211">
        <f t="shared" si="1"/>
        <v>6.391999999999939</v>
      </c>
    </row>
    <row r="71" spans="1:6" ht="74.25" customHeight="1">
      <c r="A71" s="101" t="s">
        <v>583</v>
      </c>
      <c r="B71" s="246" t="s">
        <v>333</v>
      </c>
      <c r="C71" s="246"/>
      <c r="D71" s="171">
        <v>11501.934</v>
      </c>
      <c r="E71" s="171">
        <v>11501.934</v>
      </c>
      <c r="F71" s="211">
        <f t="shared" si="1"/>
        <v>0</v>
      </c>
    </row>
    <row r="72" spans="1:6" ht="64.5" customHeight="1" hidden="1">
      <c r="A72" s="101"/>
      <c r="B72" s="246"/>
      <c r="C72" s="246"/>
      <c r="D72" s="171"/>
      <c r="E72" s="211"/>
      <c r="F72" s="211">
        <f t="shared" si="1"/>
        <v>0</v>
      </c>
    </row>
    <row r="73" spans="1:6" ht="89.25" customHeight="1">
      <c r="A73" s="101" t="s">
        <v>583</v>
      </c>
      <c r="B73" s="246" t="s">
        <v>780</v>
      </c>
      <c r="C73" s="246"/>
      <c r="D73" s="171">
        <v>1.69524</v>
      </c>
      <c r="E73" s="171">
        <v>1.69524</v>
      </c>
      <c r="F73" s="211">
        <f t="shared" si="1"/>
        <v>0</v>
      </c>
    </row>
    <row r="74" spans="1:6" ht="75.75" customHeight="1">
      <c r="A74" s="101" t="s">
        <v>583</v>
      </c>
      <c r="B74" s="246" t="s">
        <v>760</v>
      </c>
      <c r="C74" s="246"/>
      <c r="D74" s="171">
        <v>316.235</v>
      </c>
      <c r="E74" s="171">
        <v>273.188</v>
      </c>
      <c r="F74" s="211">
        <f t="shared" si="1"/>
        <v>-43.047000000000025</v>
      </c>
    </row>
    <row r="75" spans="1:6" ht="75.75" customHeight="1">
      <c r="A75" s="101" t="s">
        <v>685</v>
      </c>
      <c r="B75" s="246" t="s">
        <v>731</v>
      </c>
      <c r="C75" s="246"/>
      <c r="D75" s="171">
        <v>1804.088</v>
      </c>
      <c r="E75" s="171">
        <v>1819.318</v>
      </c>
      <c r="F75" s="211">
        <f t="shared" si="1"/>
        <v>15.230000000000018</v>
      </c>
    </row>
    <row r="76" spans="1:6" ht="84.75" customHeight="1">
      <c r="A76" s="101" t="s">
        <v>685</v>
      </c>
      <c r="B76" s="248" t="s">
        <v>703</v>
      </c>
      <c r="C76" s="249"/>
      <c r="D76" s="171">
        <v>0</v>
      </c>
      <c r="E76" s="171">
        <f>18092.018-2216.317</f>
        <v>15875.701000000001</v>
      </c>
      <c r="F76" s="211">
        <f t="shared" si="1"/>
        <v>15875.701000000001</v>
      </c>
    </row>
    <row r="77" spans="1:6" ht="71.25" customHeight="1" hidden="1">
      <c r="A77" s="101" t="s">
        <v>754</v>
      </c>
      <c r="B77" s="248" t="s">
        <v>753</v>
      </c>
      <c r="C77" s="249"/>
      <c r="D77" s="171">
        <v>0</v>
      </c>
      <c r="E77" s="171">
        <v>0</v>
      </c>
      <c r="F77" s="211">
        <f t="shared" si="1"/>
        <v>0</v>
      </c>
    </row>
    <row r="78" spans="1:6" ht="72.75" customHeight="1">
      <c r="A78" s="101" t="s">
        <v>685</v>
      </c>
      <c r="B78" s="246" t="s">
        <v>686</v>
      </c>
      <c r="C78" s="246"/>
      <c r="D78" s="171">
        <v>2375</v>
      </c>
      <c r="E78" s="171">
        <f>2375-1795</f>
        <v>580</v>
      </c>
      <c r="F78" s="211">
        <f t="shared" si="1"/>
        <v>-1795</v>
      </c>
    </row>
    <row r="79" spans="1:6" ht="54" customHeight="1">
      <c r="A79" s="101" t="s">
        <v>583</v>
      </c>
      <c r="B79" s="246" t="s">
        <v>655</v>
      </c>
      <c r="C79" s="246"/>
      <c r="D79" s="171">
        <v>22005.4968</v>
      </c>
      <c r="E79" s="171">
        <f>22243.702+365.45389-137.55021</f>
        <v>22471.60568</v>
      </c>
      <c r="F79" s="211">
        <f t="shared" si="1"/>
        <v>466.1088799999998</v>
      </c>
    </row>
    <row r="80" spans="1:6" ht="108" customHeight="1">
      <c r="A80" s="101" t="s">
        <v>583</v>
      </c>
      <c r="B80" s="246" t="s">
        <v>598</v>
      </c>
      <c r="C80" s="246"/>
      <c r="D80" s="171">
        <v>3.223</v>
      </c>
      <c r="E80" s="171">
        <v>3.223</v>
      </c>
      <c r="F80" s="211">
        <f t="shared" si="1"/>
        <v>0</v>
      </c>
    </row>
    <row r="81" spans="1:6" ht="103.5" customHeight="1">
      <c r="A81" s="101" t="s">
        <v>687</v>
      </c>
      <c r="B81" s="246" t="s">
        <v>344</v>
      </c>
      <c r="C81" s="246"/>
      <c r="D81" s="171">
        <v>4647.323</v>
      </c>
      <c r="E81" s="171">
        <f>4647.323-2191.17276</f>
        <v>2456.1502400000004</v>
      </c>
      <c r="F81" s="211">
        <f t="shared" si="1"/>
        <v>-2191.17276</v>
      </c>
    </row>
    <row r="82" spans="1:6" ht="78.75" customHeight="1">
      <c r="A82" s="101" t="s">
        <v>826</v>
      </c>
      <c r="B82" s="248" t="s">
        <v>827</v>
      </c>
      <c r="C82" s="250"/>
      <c r="D82" s="171"/>
      <c r="E82" s="171">
        <v>5152</v>
      </c>
      <c r="F82" s="211"/>
    </row>
    <row r="83" spans="1:6" ht="18.75" customHeight="1">
      <c r="A83" s="214" t="s">
        <v>688</v>
      </c>
      <c r="B83" s="243" t="s">
        <v>708</v>
      </c>
      <c r="C83" s="244"/>
      <c r="D83" s="170">
        <f>D86</f>
        <v>4261.6</v>
      </c>
      <c r="E83" s="170">
        <f>E84+E85+E86</f>
        <v>13769.930540000001</v>
      </c>
      <c r="F83" s="170">
        <f>F86</f>
        <v>35.15953999999965</v>
      </c>
    </row>
    <row r="84" spans="1:6" ht="83.25" customHeight="1">
      <c r="A84" s="21" t="s">
        <v>789</v>
      </c>
      <c r="B84" s="248" t="s">
        <v>790</v>
      </c>
      <c r="C84" s="249"/>
      <c r="D84" s="170"/>
      <c r="E84" s="171">
        <v>3106.391</v>
      </c>
      <c r="F84" s="170"/>
    </row>
    <row r="85" spans="1:6" ht="83.25" customHeight="1">
      <c r="A85" s="21" t="s">
        <v>825</v>
      </c>
      <c r="B85" s="248" t="s">
        <v>828</v>
      </c>
      <c r="C85" s="250"/>
      <c r="D85" s="170"/>
      <c r="E85" s="171">
        <v>6366.78</v>
      </c>
      <c r="F85" s="170"/>
    </row>
    <row r="86" spans="1:6" ht="76.5" customHeight="1">
      <c r="A86" s="21" t="s">
        <v>689</v>
      </c>
      <c r="B86" s="245" t="s">
        <v>513</v>
      </c>
      <c r="C86" s="245"/>
      <c r="D86" s="171">
        <v>4261.6</v>
      </c>
      <c r="E86" s="171">
        <f>1820+2476.1-75.74046+76.4</f>
        <v>4296.75954</v>
      </c>
      <c r="F86" s="211">
        <f>E86-D86</f>
        <v>35.15953999999965</v>
      </c>
    </row>
    <row r="87" spans="1:6" ht="15" customHeight="1" hidden="1">
      <c r="A87" s="21" t="s">
        <v>488</v>
      </c>
      <c r="B87" s="245" t="s">
        <v>361</v>
      </c>
      <c r="C87" s="245"/>
      <c r="D87" s="171">
        <v>0</v>
      </c>
      <c r="E87" s="211"/>
      <c r="F87" s="211"/>
    </row>
    <row r="88" spans="1:6" ht="15" customHeight="1" hidden="1">
      <c r="A88" s="21" t="s">
        <v>489</v>
      </c>
      <c r="B88" s="246" t="s">
        <v>391</v>
      </c>
      <c r="C88" s="246"/>
      <c r="D88" s="171">
        <v>0</v>
      </c>
      <c r="E88" s="211"/>
      <c r="F88" s="211"/>
    </row>
    <row r="89" spans="1:6" ht="15" customHeight="1" hidden="1">
      <c r="A89" s="21" t="s">
        <v>490</v>
      </c>
      <c r="B89" s="246" t="s">
        <v>342</v>
      </c>
      <c r="C89" s="246"/>
      <c r="D89" s="171"/>
      <c r="E89" s="211"/>
      <c r="F89" s="211"/>
    </row>
    <row r="90" spans="1:6" ht="13.5">
      <c r="A90" s="101"/>
      <c r="B90" s="247" t="s">
        <v>321</v>
      </c>
      <c r="C90" s="247"/>
      <c r="D90" s="170">
        <f>D10+D42</f>
        <v>538599.1490099999</v>
      </c>
      <c r="E90" s="170">
        <f>E10+E42</f>
        <v>727700.6530500001</v>
      </c>
      <c r="F90" s="170">
        <f>F10+F42</f>
        <v>187801.60404000018</v>
      </c>
    </row>
    <row r="92" spans="3:5" ht="12.75">
      <c r="C92" s="239" t="s">
        <v>693</v>
      </c>
      <c r="E92" s="219">
        <v>671735.17737</v>
      </c>
    </row>
    <row r="93" spans="3:5" ht="12.75">
      <c r="C93" s="239" t="s">
        <v>732</v>
      </c>
      <c r="E93" s="219">
        <f>E90-E92</f>
        <v>55965.47568000003</v>
      </c>
    </row>
  </sheetData>
  <sheetProtection/>
  <mergeCells count="92">
    <mergeCell ref="B82:C82"/>
    <mergeCell ref="C1:E1"/>
    <mergeCell ref="C2:E2"/>
    <mergeCell ref="C3:E3"/>
    <mergeCell ref="C4:E4"/>
    <mergeCell ref="B8:C9"/>
    <mergeCell ref="D8:D9"/>
    <mergeCell ref="E8:E9"/>
    <mergeCell ref="B12:C12"/>
    <mergeCell ref="B13:C13"/>
    <mergeCell ref="F8:F9"/>
    <mergeCell ref="A6:E6"/>
    <mergeCell ref="B7:C7"/>
    <mergeCell ref="A8:A9"/>
    <mergeCell ref="B10:C10"/>
    <mergeCell ref="B11:C11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9:C39"/>
    <mergeCell ref="B40:C40"/>
    <mergeCell ref="B41:C41"/>
    <mergeCell ref="B42:C42"/>
    <mergeCell ref="B38:C38"/>
    <mergeCell ref="B43:C43"/>
    <mergeCell ref="B44:C44"/>
    <mergeCell ref="B45:C45"/>
    <mergeCell ref="B47:C47"/>
    <mergeCell ref="B48:C48"/>
    <mergeCell ref="B50:C50"/>
    <mergeCell ref="B46:C46"/>
    <mergeCell ref="B52:C52"/>
    <mergeCell ref="B53:C53"/>
    <mergeCell ref="B54:C54"/>
    <mergeCell ref="B51:C51"/>
    <mergeCell ref="B49:C49"/>
    <mergeCell ref="B55:C55"/>
    <mergeCell ref="B59:C59"/>
    <mergeCell ref="B60:C60"/>
    <mergeCell ref="B61:C61"/>
    <mergeCell ref="B62:C62"/>
    <mergeCell ref="B63:C63"/>
    <mergeCell ref="B56:C56"/>
    <mergeCell ref="B57:C57"/>
    <mergeCell ref="B58:C58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3:C83"/>
    <mergeCell ref="B86:C86"/>
    <mergeCell ref="B87:C87"/>
    <mergeCell ref="B88:C88"/>
    <mergeCell ref="B89:C89"/>
    <mergeCell ref="B90:C90"/>
    <mergeCell ref="B84:C84"/>
    <mergeCell ref="B85:C85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601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46.00390625" style="301" customWidth="1"/>
    <col min="2" max="2" width="4.625" style="62" customWidth="1"/>
    <col min="3" max="3" width="5.50390625" style="62" customWidth="1"/>
    <col min="4" max="4" width="13.375" style="62" customWidth="1"/>
    <col min="5" max="5" width="4.625" style="62" customWidth="1"/>
    <col min="6" max="6" width="16.00390625" style="1" customWidth="1"/>
    <col min="7" max="7" width="18.625" style="1" customWidth="1"/>
    <col min="8" max="8" width="15.625" style="1" customWidth="1"/>
    <col min="9" max="9" width="13.875" style="1" bestFit="1" customWidth="1"/>
    <col min="10" max="12" width="12.50390625" style="1" bestFit="1" customWidth="1"/>
    <col min="13" max="16384" width="8.875" style="1" customWidth="1"/>
  </cols>
  <sheetData>
    <row r="1" spans="1:8" ht="15">
      <c r="A1" s="18"/>
      <c r="B1" s="18"/>
      <c r="C1" s="18"/>
      <c r="D1" s="18"/>
      <c r="F1" s="266" t="s">
        <v>551</v>
      </c>
      <c r="G1" s="266"/>
      <c r="H1" s="266"/>
    </row>
    <row r="2" spans="4:8" ht="18">
      <c r="D2" s="302"/>
      <c r="F2" s="266" t="s">
        <v>428</v>
      </c>
      <c r="G2" s="266"/>
      <c r="H2" s="266"/>
    </row>
    <row r="3" spans="4:8" ht="18">
      <c r="D3" s="302"/>
      <c r="F3" s="266" t="s">
        <v>429</v>
      </c>
      <c r="G3" s="266"/>
      <c r="H3" s="266"/>
    </row>
    <row r="4" spans="6:8" ht="15.75" customHeight="1">
      <c r="F4" s="303" t="s">
        <v>850</v>
      </c>
      <c r="G4" s="266"/>
      <c r="H4" s="266"/>
    </row>
    <row r="5" ht="4.5" customHeight="1"/>
    <row r="6" spans="1:8" ht="15">
      <c r="A6" s="268" t="s">
        <v>430</v>
      </c>
      <c r="B6" s="268"/>
      <c r="C6" s="268"/>
      <c r="D6" s="268"/>
      <c r="E6" s="268"/>
      <c r="F6" s="268"/>
      <c r="G6" s="268"/>
      <c r="H6" s="268"/>
    </row>
    <row r="7" spans="1:8" ht="16.5" customHeight="1">
      <c r="A7" s="268" t="s">
        <v>546</v>
      </c>
      <c r="B7" s="268"/>
      <c r="C7" s="268"/>
      <c r="D7" s="268"/>
      <c r="E7" s="268"/>
      <c r="F7" s="268"/>
      <c r="G7" s="268"/>
      <c r="H7" s="268"/>
    </row>
    <row r="8" spans="1:8" ht="15.75" customHeight="1">
      <c r="A8" s="268" t="s">
        <v>142</v>
      </c>
      <c r="B8" s="268"/>
      <c r="C8" s="268"/>
      <c r="D8" s="268"/>
      <c r="E8" s="268"/>
      <c r="F8" s="268"/>
      <c r="G8" s="268"/>
      <c r="H8" s="268"/>
    </row>
    <row r="9" spans="1:8" ht="15.75" customHeight="1">
      <c r="A9" s="16"/>
      <c r="B9" s="16"/>
      <c r="C9" s="4"/>
      <c r="D9" s="4"/>
      <c r="E9" s="4"/>
      <c r="F9" s="4"/>
      <c r="G9" s="4"/>
      <c r="H9" s="82" t="s">
        <v>393</v>
      </c>
    </row>
    <row r="10" spans="1:8" ht="12" customHeight="1">
      <c r="A10" s="304" t="s">
        <v>368</v>
      </c>
      <c r="B10" s="305" t="s">
        <v>157</v>
      </c>
      <c r="C10" s="305" t="s">
        <v>158</v>
      </c>
      <c r="D10" s="306" t="s">
        <v>370</v>
      </c>
      <c r="E10" s="305" t="s">
        <v>159</v>
      </c>
      <c r="F10" s="269" t="s">
        <v>639</v>
      </c>
      <c r="G10" s="271" t="s">
        <v>372</v>
      </c>
      <c r="H10" s="271"/>
    </row>
    <row r="11" spans="1:8" ht="52.5" customHeight="1">
      <c r="A11" s="307"/>
      <c r="B11" s="308"/>
      <c r="C11" s="308"/>
      <c r="D11" s="309"/>
      <c r="E11" s="308"/>
      <c r="F11" s="270"/>
      <c r="G11" s="6" t="s">
        <v>141</v>
      </c>
      <c r="H11" s="6" t="s">
        <v>261</v>
      </c>
    </row>
    <row r="12" spans="1:8" s="195" customFormat="1" ht="11.25" customHeight="1">
      <c r="A12" s="310">
        <v>1</v>
      </c>
      <c r="B12" s="310">
        <v>2</v>
      </c>
      <c r="C12" s="310">
        <v>3</v>
      </c>
      <c r="D12" s="310">
        <v>4</v>
      </c>
      <c r="E12" s="310">
        <v>5</v>
      </c>
      <c r="F12" s="23">
        <v>6</v>
      </c>
      <c r="G12" s="19">
        <v>7</v>
      </c>
      <c r="H12" s="24">
        <v>8</v>
      </c>
    </row>
    <row r="13" spans="1:12" s="311" customFormat="1" ht="18.75" customHeight="1">
      <c r="A13" s="117" t="s">
        <v>160</v>
      </c>
      <c r="B13" s="29" t="s">
        <v>161</v>
      </c>
      <c r="C13" s="29" t="s">
        <v>162</v>
      </c>
      <c r="D13" s="29" t="s">
        <v>338</v>
      </c>
      <c r="E13" s="29" t="s">
        <v>432</v>
      </c>
      <c r="F13" s="186">
        <f>G13+H13</f>
        <v>56997.732</v>
      </c>
      <c r="G13" s="187">
        <f>G14+G20+G33+G46+G64+G68+G74+G80+G43</f>
        <v>40724.83717</v>
      </c>
      <c r="H13" s="187">
        <f>H14+H20+H33+H46+H64+H80+H43</f>
        <v>16272.894830000001</v>
      </c>
      <c r="I13" s="66"/>
      <c r="J13" s="66"/>
      <c r="K13" s="114"/>
      <c r="L13" s="114"/>
    </row>
    <row r="14" spans="1:8" ht="47.25" customHeight="1">
      <c r="A14" s="60" t="s">
        <v>376</v>
      </c>
      <c r="B14" s="22" t="s">
        <v>161</v>
      </c>
      <c r="C14" s="22" t="s">
        <v>163</v>
      </c>
      <c r="D14" s="22" t="s">
        <v>338</v>
      </c>
      <c r="E14" s="22" t="s">
        <v>432</v>
      </c>
      <c r="F14" s="181">
        <f>G14+H14</f>
        <v>1822.88</v>
      </c>
      <c r="G14" s="119">
        <f aca="true" t="shared" si="0" ref="G14:H17">G15</f>
        <v>1822.88</v>
      </c>
      <c r="H14" s="119">
        <f t="shared" si="0"/>
        <v>0</v>
      </c>
    </row>
    <row r="15" spans="1:8" s="106" customFormat="1" ht="33" customHeight="1">
      <c r="A15" s="60" t="s">
        <v>164</v>
      </c>
      <c r="B15" s="22" t="s">
        <v>161</v>
      </c>
      <c r="C15" s="22" t="s">
        <v>163</v>
      </c>
      <c r="D15" s="22" t="s">
        <v>16</v>
      </c>
      <c r="E15" s="22" t="s">
        <v>432</v>
      </c>
      <c r="F15" s="181">
        <f aca="true" t="shared" si="1" ref="F15:F34">G15+H15</f>
        <v>1822.88</v>
      </c>
      <c r="G15" s="119">
        <f t="shared" si="0"/>
        <v>1822.88</v>
      </c>
      <c r="H15" s="119">
        <f t="shared" si="0"/>
        <v>0</v>
      </c>
    </row>
    <row r="16" spans="1:8" s="106" customFormat="1" ht="48" customHeight="1">
      <c r="A16" s="60" t="s">
        <v>165</v>
      </c>
      <c r="B16" s="22" t="s">
        <v>161</v>
      </c>
      <c r="C16" s="22" t="s">
        <v>163</v>
      </c>
      <c r="D16" s="22" t="s">
        <v>17</v>
      </c>
      <c r="E16" s="22" t="s">
        <v>432</v>
      </c>
      <c r="F16" s="181">
        <f t="shared" si="1"/>
        <v>1822.88</v>
      </c>
      <c r="G16" s="119">
        <f t="shared" si="0"/>
        <v>1822.88</v>
      </c>
      <c r="H16" s="119">
        <f t="shared" si="0"/>
        <v>0</v>
      </c>
    </row>
    <row r="17" spans="1:8" s="111" customFormat="1" ht="16.5" customHeight="1">
      <c r="A17" s="64" t="s">
        <v>437</v>
      </c>
      <c r="B17" s="61" t="s">
        <v>161</v>
      </c>
      <c r="C17" s="61" t="s">
        <v>163</v>
      </c>
      <c r="D17" s="61" t="s">
        <v>18</v>
      </c>
      <c r="E17" s="61" t="s">
        <v>432</v>
      </c>
      <c r="F17" s="180">
        <f t="shared" si="1"/>
        <v>1822.88</v>
      </c>
      <c r="G17" s="120">
        <f>G18</f>
        <v>1822.88</v>
      </c>
      <c r="H17" s="120">
        <f t="shared" si="0"/>
        <v>0</v>
      </c>
    </row>
    <row r="18" spans="1:8" s="106" customFormat="1" ht="95.25" customHeight="1">
      <c r="A18" s="60" t="s">
        <v>199</v>
      </c>
      <c r="B18" s="22" t="s">
        <v>161</v>
      </c>
      <c r="C18" s="22" t="s">
        <v>163</v>
      </c>
      <c r="D18" s="22" t="s">
        <v>18</v>
      </c>
      <c r="E18" s="22" t="s">
        <v>166</v>
      </c>
      <c r="F18" s="181">
        <f t="shared" si="1"/>
        <v>1822.88</v>
      </c>
      <c r="G18" s="119">
        <f>G19</f>
        <v>1822.88</v>
      </c>
      <c r="H18" s="119"/>
    </row>
    <row r="19" spans="1:8" s="106" customFormat="1" ht="33.75" customHeight="1">
      <c r="A19" s="60" t="s">
        <v>201</v>
      </c>
      <c r="B19" s="22" t="s">
        <v>161</v>
      </c>
      <c r="C19" s="22" t="s">
        <v>163</v>
      </c>
      <c r="D19" s="22" t="s">
        <v>18</v>
      </c>
      <c r="E19" s="22" t="s">
        <v>200</v>
      </c>
      <c r="F19" s="181">
        <f>G19+H19</f>
        <v>1822.88</v>
      </c>
      <c r="G19" s="119">
        <f>1735.88+87</f>
        <v>1822.88</v>
      </c>
      <c r="H19" s="119"/>
    </row>
    <row r="20" spans="1:10" ht="65.25" customHeight="1">
      <c r="A20" s="60" t="s">
        <v>167</v>
      </c>
      <c r="B20" s="22" t="s">
        <v>161</v>
      </c>
      <c r="C20" s="22" t="s">
        <v>168</v>
      </c>
      <c r="D20" s="22" t="s">
        <v>338</v>
      </c>
      <c r="E20" s="22" t="s">
        <v>432</v>
      </c>
      <c r="F20" s="181">
        <f t="shared" si="1"/>
        <v>4049.8</v>
      </c>
      <c r="G20" s="119">
        <f>G21</f>
        <v>4049.8</v>
      </c>
      <c r="H20" s="119">
        <f>H21</f>
        <v>0</v>
      </c>
      <c r="J20" s="80"/>
    </row>
    <row r="21" spans="1:8" ht="33" customHeight="1">
      <c r="A21" s="60" t="s">
        <v>164</v>
      </c>
      <c r="B21" s="22" t="s">
        <v>161</v>
      </c>
      <c r="C21" s="22" t="s">
        <v>168</v>
      </c>
      <c r="D21" s="22" t="s">
        <v>16</v>
      </c>
      <c r="E21" s="22" t="s">
        <v>432</v>
      </c>
      <c r="F21" s="181">
        <f t="shared" si="1"/>
        <v>4049.8</v>
      </c>
      <c r="G21" s="119">
        <f>G22</f>
        <v>4049.8</v>
      </c>
      <c r="H21" s="119">
        <f>H22</f>
        <v>0</v>
      </c>
    </row>
    <row r="22" spans="1:8" ht="47.25" customHeight="1">
      <c r="A22" s="60" t="s">
        <v>165</v>
      </c>
      <c r="B22" s="22" t="s">
        <v>161</v>
      </c>
      <c r="C22" s="22" t="s">
        <v>168</v>
      </c>
      <c r="D22" s="22" t="s">
        <v>17</v>
      </c>
      <c r="E22" s="22" t="s">
        <v>432</v>
      </c>
      <c r="F22" s="181">
        <f t="shared" si="1"/>
        <v>4049.8</v>
      </c>
      <c r="G22" s="119">
        <f>G26+G23</f>
        <v>4049.8</v>
      </c>
      <c r="H22" s="119">
        <f>H26+H23</f>
        <v>0</v>
      </c>
    </row>
    <row r="23" spans="1:8" s="111" customFormat="1" ht="33.75" customHeight="1">
      <c r="A23" s="64" t="s">
        <v>195</v>
      </c>
      <c r="B23" s="61" t="s">
        <v>161</v>
      </c>
      <c r="C23" s="61" t="s">
        <v>168</v>
      </c>
      <c r="D23" s="61" t="s">
        <v>19</v>
      </c>
      <c r="E23" s="61" t="s">
        <v>432</v>
      </c>
      <c r="F23" s="180">
        <f t="shared" si="1"/>
        <v>1914.5</v>
      </c>
      <c r="G23" s="120">
        <f>G24</f>
        <v>1914.5</v>
      </c>
      <c r="H23" s="120"/>
    </row>
    <row r="24" spans="1:8" s="106" customFormat="1" ht="98.25" customHeight="1">
      <c r="A24" s="60" t="s">
        <v>199</v>
      </c>
      <c r="B24" s="22" t="s">
        <v>161</v>
      </c>
      <c r="C24" s="22" t="s">
        <v>168</v>
      </c>
      <c r="D24" s="22" t="s">
        <v>19</v>
      </c>
      <c r="E24" s="22" t="s">
        <v>166</v>
      </c>
      <c r="F24" s="181">
        <f t="shared" si="1"/>
        <v>1914.5</v>
      </c>
      <c r="G24" s="119">
        <f>G25</f>
        <v>1914.5</v>
      </c>
      <c r="H24" s="119"/>
    </row>
    <row r="25" spans="1:8" s="106" customFormat="1" ht="35.25" customHeight="1">
      <c r="A25" s="60" t="s">
        <v>201</v>
      </c>
      <c r="B25" s="22" t="s">
        <v>161</v>
      </c>
      <c r="C25" s="22" t="s">
        <v>168</v>
      </c>
      <c r="D25" s="22" t="s">
        <v>19</v>
      </c>
      <c r="E25" s="22" t="s">
        <v>200</v>
      </c>
      <c r="F25" s="181">
        <f t="shared" si="1"/>
        <v>1914.5</v>
      </c>
      <c r="G25" s="119">
        <f>1623.5+251+48+7-15</f>
        <v>1914.5</v>
      </c>
      <c r="H25" s="119"/>
    </row>
    <row r="26" spans="1:8" s="111" customFormat="1" ht="48.75" customHeight="1">
      <c r="A26" s="64" t="s">
        <v>169</v>
      </c>
      <c r="B26" s="61" t="s">
        <v>161</v>
      </c>
      <c r="C26" s="61" t="s">
        <v>168</v>
      </c>
      <c r="D26" s="61" t="s">
        <v>20</v>
      </c>
      <c r="E26" s="61" t="s">
        <v>432</v>
      </c>
      <c r="F26" s="180">
        <f t="shared" si="1"/>
        <v>2135.3</v>
      </c>
      <c r="G26" s="120">
        <f>G27+G29+G31</f>
        <v>2135.3</v>
      </c>
      <c r="H26" s="120">
        <f>SUM(H27:H30)</f>
        <v>0</v>
      </c>
    </row>
    <row r="27" spans="1:8" s="106" customFormat="1" ht="94.5" customHeight="1">
      <c r="A27" s="60" t="s">
        <v>199</v>
      </c>
      <c r="B27" s="22" t="s">
        <v>161</v>
      </c>
      <c r="C27" s="22" t="s">
        <v>168</v>
      </c>
      <c r="D27" s="22" t="s">
        <v>20</v>
      </c>
      <c r="E27" s="22" t="s">
        <v>166</v>
      </c>
      <c r="F27" s="181">
        <f t="shared" si="1"/>
        <v>1561.4</v>
      </c>
      <c r="G27" s="119">
        <f>G28</f>
        <v>1561.4</v>
      </c>
      <c r="H27" s="119"/>
    </row>
    <row r="28" spans="1:8" s="106" customFormat="1" ht="35.25" customHeight="1">
      <c r="A28" s="60" t="s">
        <v>201</v>
      </c>
      <c r="B28" s="22" t="s">
        <v>161</v>
      </c>
      <c r="C28" s="22" t="s">
        <v>168</v>
      </c>
      <c r="D28" s="22" t="s">
        <v>20</v>
      </c>
      <c r="E28" s="22" t="s">
        <v>200</v>
      </c>
      <c r="F28" s="181">
        <f t="shared" si="1"/>
        <v>1561.4</v>
      </c>
      <c r="G28" s="119">
        <f>1337.5+403.9-150-30</f>
        <v>1561.4</v>
      </c>
      <c r="H28" s="119"/>
    </row>
    <row r="29" spans="1:8" s="106" customFormat="1" ht="33" customHeight="1">
      <c r="A29" s="60" t="s">
        <v>202</v>
      </c>
      <c r="B29" s="22" t="s">
        <v>161</v>
      </c>
      <c r="C29" s="22" t="s">
        <v>168</v>
      </c>
      <c r="D29" s="22" t="s">
        <v>20</v>
      </c>
      <c r="E29" s="22" t="s">
        <v>170</v>
      </c>
      <c r="F29" s="181">
        <f t="shared" si="1"/>
        <v>568.9</v>
      </c>
      <c r="G29" s="119">
        <f>G30</f>
        <v>568.9</v>
      </c>
      <c r="H29" s="119"/>
    </row>
    <row r="30" spans="1:8" s="106" customFormat="1" ht="50.25" customHeight="1">
      <c r="A30" s="60" t="s">
        <v>203</v>
      </c>
      <c r="B30" s="22" t="s">
        <v>161</v>
      </c>
      <c r="C30" s="22" t="s">
        <v>168</v>
      </c>
      <c r="D30" s="22" t="s">
        <v>20</v>
      </c>
      <c r="E30" s="22" t="s">
        <v>204</v>
      </c>
      <c r="F30" s="181">
        <f t="shared" si="1"/>
        <v>568.9</v>
      </c>
      <c r="G30" s="119">
        <f>348.9+220</f>
        <v>568.9</v>
      </c>
      <c r="H30" s="119"/>
    </row>
    <row r="31" spans="1:8" s="106" customFormat="1" ht="19.5" customHeight="1">
      <c r="A31" s="60" t="s">
        <v>207</v>
      </c>
      <c r="B31" s="22" t="s">
        <v>161</v>
      </c>
      <c r="C31" s="22" t="s">
        <v>168</v>
      </c>
      <c r="D31" s="22" t="s">
        <v>20</v>
      </c>
      <c r="E31" s="22" t="s">
        <v>208</v>
      </c>
      <c r="F31" s="181">
        <f>G31+H31</f>
        <v>5</v>
      </c>
      <c r="G31" s="119">
        <f>G32</f>
        <v>5</v>
      </c>
      <c r="H31" s="119"/>
    </row>
    <row r="32" spans="1:8" s="106" customFormat="1" ht="18.75" customHeight="1">
      <c r="A32" s="60" t="s">
        <v>205</v>
      </c>
      <c r="B32" s="22" t="s">
        <v>161</v>
      </c>
      <c r="C32" s="22" t="s">
        <v>168</v>
      </c>
      <c r="D32" s="22" t="s">
        <v>20</v>
      </c>
      <c r="E32" s="22" t="s">
        <v>206</v>
      </c>
      <c r="F32" s="181">
        <f>G32+H32</f>
        <v>5</v>
      </c>
      <c r="G32" s="119">
        <v>5</v>
      </c>
      <c r="H32" s="119"/>
    </row>
    <row r="33" spans="1:10" ht="82.5" customHeight="1">
      <c r="A33" s="60" t="s">
        <v>357</v>
      </c>
      <c r="B33" s="22" t="s">
        <v>161</v>
      </c>
      <c r="C33" s="22" t="s">
        <v>172</v>
      </c>
      <c r="D33" s="22" t="s">
        <v>338</v>
      </c>
      <c r="E33" s="22" t="s">
        <v>432</v>
      </c>
      <c r="F33" s="181">
        <f t="shared" si="1"/>
        <v>17521.01</v>
      </c>
      <c r="G33" s="119">
        <f>G34</f>
        <v>17521.01</v>
      </c>
      <c r="H33" s="119"/>
      <c r="J33" s="312"/>
    </row>
    <row r="34" spans="1:9" s="106" customFormat="1" ht="33.75" customHeight="1">
      <c r="A34" s="60" t="s">
        <v>164</v>
      </c>
      <c r="B34" s="22" t="s">
        <v>161</v>
      </c>
      <c r="C34" s="22" t="s">
        <v>172</v>
      </c>
      <c r="D34" s="22" t="s">
        <v>16</v>
      </c>
      <c r="E34" s="22" t="s">
        <v>432</v>
      </c>
      <c r="F34" s="181">
        <f t="shared" si="1"/>
        <v>17521.01</v>
      </c>
      <c r="G34" s="119">
        <f>G35</f>
        <v>17521.01</v>
      </c>
      <c r="H34" s="119"/>
      <c r="I34" s="313"/>
    </row>
    <row r="35" spans="1:8" s="106" customFormat="1" ht="47.25" customHeight="1">
      <c r="A35" s="60" t="s">
        <v>165</v>
      </c>
      <c r="B35" s="22" t="s">
        <v>161</v>
      </c>
      <c r="C35" s="22" t="s">
        <v>172</v>
      </c>
      <c r="D35" s="22" t="s">
        <v>17</v>
      </c>
      <c r="E35" s="22" t="s">
        <v>432</v>
      </c>
      <c r="F35" s="181">
        <f>G35+H35</f>
        <v>17521.01</v>
      </c>
      <c r="G35" s="119">
        <f>G36</f>
        <v>17521.01</v>
      </c>
      <c r="H35" s="119">
        <f>H36</f>
        <v>0</v>
      </c>
    </row>
    <row r="36" spans="1:8" s="111" customFormat="1" ht="48.75" customHeight="1">
      <c r="A36" s="64" t="s">
        <v>169</v>
      </c>
      <c r="B36" s="61" t="s">
        <v>161</v>
      </c>
      <c r="C36" s="61" t="s">
        <v>172</v>
      </c>
      <c r="D36" s="61" t="s">
        <v>20</v>
      </c>
      <c r="E36" s="61" t="s">
        <v>432</v>
      </c>
      <c r="F36" s="180">
        <f aca="true" t="shared" si="2" ref="F36:F165">G36+H36</f>
        <v>17521.01</v>
      </c>
      <c r="G36" s="120">
        <f>G37+G39+G41</f>
        <v>17521.01</v>
      </c>
      <c r="H36" s="120">
        <f>SUM(H37:H40)</f>
        <v>0</v>
      </c>
    </row>
    <row r="37" spans="1:8" s="106" customFormat="1" ht="96" customHeight="1">
      <c r="A37" s="60" t="s">
        <v>199</v>
      </c>
      <c r="B37" s="22" t="s">
        <v>161</v>
      </c>
      <c r="C37" s="22" t="s">
        <v>172</v>
      </c>
      <c r="D37" s="22" t="s">
        <v>20</v>
      </c>
      <c r="E37" s="22" t="s">
        <v>166</v>
      </c>
      <c r="F37" s="181">
        <f t="shared" si="2"/>
        <v>10556.96</v>
      </c>
      <c r="G37" s="119">
        <f>G38</f>
        <v>10556.96</v>
      </c>
      <c r="H37" s="119"/>
    </row>
    <row r="38" spans="1:10" s="106" customFormat="1" ht="39" customHeight="1">
      <c r="A38" s="60" t="s">
        <v>201</v>
      </c>
      <c r="B38" s="22" t="s">
        <v>161</v>
      </c>
      <c r="C38" s="22" t="s">
        <v>172</v>
      </c>
      <c r="D38" s="22" t="s">
        <v>20</v>
      </c>
      <c r="E38" s="22" t="s">
        <v>200</v>
      </c>
      <c r="F38" s="181">
        <f t="shared" si="2"/>
        <v>10556.96</v>
      </c>
      <c r="G38" s="119">
        <f>10888.16-80-64.2-50-87-50</f>
        <v>10556.96</v>
      </c>
      <c r="H38" s="119"/>
      <c r="J38" s="314"/>
    </row>
    <row r="39" spans="1:8" s="106" customFormat="1" ht="33" customHeight="1">
      <c r="A39" s="60" t="s">
        <v>202</v>
      </c>
      <c r="B39" s="22" t="s">
        <v>161</v>
      </c>
      <c r="C39" s="22" t="s">
        <v>172</v>
      </c>
      <c r="D39" s="22" t="s">
        <v>20</v>
      </c>
      <c r="E39" s="22" t="s">
        <v>170</v>
      </c>
      <c r="F39" s="181">
        <f t="shared" si="2"/>
        <v>6364.05</v>
      </c>
      <c r="G39" s="119">
        <f>G40</f>
        <v>6364.05</v>
      </c>
      <c r="H39" s="119"/>
    </row>
    <row r="40" spans="1:8" s="106" customFormat="1" ht="49.5" customHeight="1">
      <c r="A40" s="60" t="s">
        <v>203</v>
      </c>
      <c r="B40" s="22" t="s">
        <v>161</v>
      </c>
      <c r="C40" s="22" t="s">
        <v>172</v>
      </c>
      <c r="D40" s="22" t="s">
        <v>20</v>
      </c>
      <c r="E40" s="22" t="s">
        <v>204</v>
      </c>
      <c r="F40" s="181">
        <f t="shared" si="2"/>
        <v>6364.05</v>
      </c>
      <c r="G40" s="119">
        <f>6271.55+42.5+50</f>
        <v>6364.05</v>
      </c>
      <c r="H40" s="119"/>
    </row>
    <row r="41" spans="1:8" s="106" customFormat="1" ht="18" customHeight="1">
      <c r="A41" s="60" t="s">
        <v>207</v>
      </c>
      <c r="B41" s="22" t="s">
        <v>161</v>
      </c>
      <c r="C41" s="22" t="s">
        <v>172</v>
      </c>
      <c r="D41" s="22" t="s">
        <v>20</v>
      </c>
      <c r="E41" s="22" t="s">
        <v>208</v>
      </c>
      <c r="F41" s="181">
        <f t="shared" si="2"/>
        <v>600</v>
      </c>
      <c r="G41" s="119">
        <f>G42</f>
        <v>600</v>
      </c>
      <c r="H41" s="119"/>
    </row>
    <row r="42" spans="1:8" s="106" customFormat="1" ht="17.25" customHeight="1">
      <c r="A42" s="115" t="s">
        <v>205</v>
      </c>
      <c r="B42" s="22" t="s">
        <v>161</v>
      </c>
      <c r="C42" s="22" t="s">
        <v>172</v>
      </c>
      <c r="D42" s="22" t="s">
        <v>20</v>
      </c>
      <c r="E42" s="22" t="s">
        <v>206</v>
      </c>
      <c r="F42" s="181">
        <f t="shared" si="2"/>
        <v>600</v>
      </c>
      <c r="G42" s="119">
        <f>562+50-12</f>
        <v>600</v>
      </c>
      <c r="H42" s="119"/>
    </row>
    <row r="43" spans="1:8" s="106" customFormat="1" ht="49.5" customHeight="1">
      <c r="A43" s="115" t="s">
        <v>782</v>
      </c>
      <c r="B43" s="22" t="s">
        <v>161</v>
      </c>
      <c r="C43" s="22" t="s">
        <v>411</v>
      </c>
      <c r="D43" s="22" t="s">
        <v>484</v>
      </c>
      <c r="E43" s="22" t="s">
        <v>432</v>
      </c>
      <c r="F43" s="181">
        <f>H43</f>
        <v>17.047</v>
      </c>
      <c r="G43" s="119"/>
      <c r="H43" s="119">
        <f>H44</f>
        <v>17.047</v>
      </c>
    </row>
    <row r="44" spans="1:8" s="106" customFormat="1" ht="33.75" customHeight="1">
      <c r="A44" s="60" t="s">
        <v>202</v>
      </c>
      <c r="B44" s="22" t="s">
        <v>161</v>
      </c>
      <c r="C44" s="22" t="s">
        <v>411</v>
      </c>
      <c r="D44" s="22" t="s">
        <v>484</v>
      </c>
      <c r="E44" s="22" t="s">
        <v>170</v>
      </c>
      <c r="F44" s="181">
        <f>H44</f>
        <v>17.047</v>
      </c>
      <c r="G44" s="119"/>
      <c r="H44" s="119">
        <f>H45</f>
        <v>17.047</v>
      </c>
    </row>
    <row r="45" spans="1:8" s="106" customFormat="1" ht="52.5" customHeight="1">
      <c r="A45" s="60" t="s">
        <v>203</v>
      </c>
      <c r="B45" s="22" t="s">
        <v>161</v>
      </c>
      <c r="C45" s="22" t="s">
        <v>411</v>
      </c>
      <c r="D45" s="22" t="s">
        <v>484</v>
      </c>
      <c r="E45" s="22" t="s">
        <v>204</v>
      </c>
      <c r="F45" s="181">
        <f>H45</f>
        <v>17.047</v>
      </c>
      <c r="G45" s="119"/>
      <c r="H45" s="119">
        <v>17.047</v>
      </c>
    </row>
    <row r="46" spans="1:8" ht="63" customHeight="1">
      <c r="A46" s="79" t="s">
        <v>421</v>
      </c>
      <c r="B46" s="107" t="s">
        <v>161</v>
      </c>
      <c r="C46" s="107" t="s">
        <v>174</v>
      </c>
      <c r="D46" s="107" t="s">
        <v>338</v>
      </c>
      <c r="E46" s="107" t="s">
        <v>432</v>
      </c>
      <c r="F46" s="183">
        <f>G46+H46</f>
        <v>7453.779999999999</v>
      </c>
      <c r="G46" s="184">
        <f>G47</f>
        <v>7453.779999999999</v>
      </c>
      <c r="H46" s="184">
        <f>H47</f>
        <v>0</v>
      </c>
    </row>
    <row r="47" spans="1:8" s="106" customFormat="1" ht="33.75" customHeight="1">
      <c r="A47" s="60" t="s">
        <v>379</v>
      </c>
      <c r="B47" s="22" t="s">
        <v>161</v>
      </c>
      <c r="C47" s="22" t="s">
        <v>174</v>
      </c>
      <c r="D47" s="22" t="s">
        <v>16</v>
      </c>
      <c r="E47" s="22" t="s">
        <v>432</v>
      </c>
      <c r="F47" s="181">
        <f t="shared" si="2"/>
        <v>7453.779999999999</v>
      </c>
      <c r="G47" s="119">
        <f>G48</f>
        <v>7453.779999999999</v>
      </c>
      <c r="H47" s="119">
        <f>H48</f>
        <v>0</v>
      </c>
    </row>
    <row r="48" spans="1:8" s="106" customFormat="1" ht="47.25" customHeight="1">
      <c r="A48" s="60" t="s">
        <v>165</v>
      </c>
      <c r="B48" s="22" t="s">
        <v>161</v>
      </c>
      <c r="C48" s="22" t="s">
        <v>174</v>
      </c>
      <c r="D48" s="22" t="s">
        <v>17</v>
      </c>
      <c r="E48" s="22" t="s">
        <v>432</v>
      </c>
      <c r="F48" s="181">
        <f t="shared" si="2"/>
        <v>7453.779999999999</v>
      </c>
      <c r="G48" s="119">
        <f>G49+G56+G61</f>
        <v>7453.779999999999</v>
      </c>
      <c r="H48" s="119">
        <f>H49+H56+H61</f>
        <v>0</v>
      </c>
    </row>
    <row r="49" spans="1:9" s="111" customFormat="1" ht="48.75" customHeight="1">
      <c r="A49" s="64" t="s">
        <v>308</v>
      </c>
      <c r="B49" s="61" t="s">
        <v>161</v>
      </c>
      <c r="C49" s="61" t="s">
        <v>174</v>
      </c>
      <c r="D49" s="61" t="s">
        <v>20</v>
      </c>
      <c r="E49" s="61" t="s">
        <v>432</v>
      </c>
      <c r="F49" s="180">
        <f t="shared" si="2"/>
        <v>6116.979999999999</v>
      </c>
      <c r="G49" s="120">
        <f>G50+G52+G54</f>
        <v>6116.979999999999</v>
      </c>
      <c r="H49" s="120">
        <f>SUM(H50:H55)</f>
        <v>0</v>
      </c>
      <c r="I49" s="111">
        <v>6116.98</v>
      </c>
    </row>
    <row r="50" spans="1:8" s="106" customFormat="1" ht="95.25" customHeight="1">
      <c r="A50" s="60" t="s">
        <v>199</v>
      </c>
      <c r="B50" s="22" t="s">
        <v>161</v>
      </c>
      <c r="C50" s="22" t="s">
        <v>174</v>
      </c>
      <c r="D50" s="22" t="s">
        <v>20</v>
      </c>
      <c r="E50" s="22" t="s">
        <v>166</v>
      </c>
      <c r="F50" s="181">
        <f t="shared" si="2"/>
        <v>5289.179999999999</v>
      </c>
      <c r="G50" s="119">
        <f>G51</f>
        <v>5289.179999999999</v>
      </c>
      <c r="H50" s="119"/>
    </row>
    <row r="51" spans="1:8" s="106" customFormat="1" ht="33" customHeight="1">
      <c r="A51" s="60" t="s">
        <v>201</v>
      </c>
      <c r="B51" s="22" t="s">
        <v>161</v>
      </c>
      <c r="C51" s="22" t="s">
        <v>174</v>
      </c>
      <c r="D51" s="22" t="s">
        <v>20</v>
      </c>
      <c r="E51" s="22" t="s">
        <v>200</v>
      </c>
      <c r="F51" s="181">
        <f t="shared" si="2"/>
        <v>5289.179999999999</v>
      </c>
      <c r="G51" s="119">
        <f>5368.98-20-50-9.8</f>
        <v>5289.179999999999</v>
      </c>
      <c r="H51" s="119"/>
    </row>
    <row r="52" spans="1:8" s="106" customFormat="1" ht="33" customHeight="1">
      <c r="A52" s="60" t="s">
        <v>202</v>
      </c>
      <c r="B52" s="22" t="s">
        <v>161</v>
      </c>
      <c r="C52" s="22" t="s">
        <v>174</v>
      </c>
      <c r="D52" s="22" t="s">
        <v>20</v>
      </c>
      <c r="E52" s="22" t="s">
        <v>170</v>
      </c>
      <c r="F52" s="181">
        <f t="shared" si="2"/>
        <v>824.76506</v>
      </c>
      <c r="G52" s="119">
        <f>G53</f>
        <v>824.76506</v>
      </c>
      <c r="H52" s="119"/>
    </row>
    <row r="53" spans="1:10" s="106" customFormat="1" ht="48" customHeight="1">
      <c r="A53" s="60" t="s">
        <v>203</v>
      </c>
      <c r="B53" s="22" t="s">
        <v>161</v>
      </c>
      <c r="C53" s="22" t="s">
        <v>174</v>
      </c>
      <c r="D53" s="22" t="s">
        <v>20</v>
      </c>
      <c r="E53" s="22" t="s">
        <v>204</v>
      </c>
      <c r="F53" s="181">
        <f t="shared" si="2"/>
        <v>824.76506</v>
      </c>
      <c r="G53" s="119">
        <f>805+19.8-0.03494</f>
        <v>824.76506</v>
      </c>
      <c r="H53" s="119"/>
      <c r="J53" s="314"/>
    </row>
    <row r="54" spans="1:8" s="106" customFormat="1" ht="17.25" customHeight="1">
      <c r="A54" s="60" t="s">
        <v>207</v>
      </c>
      <c r="B54" s="22" t="s">
        <v>161</v>
      </c>
      <c r="C54" s="22" t="s">
        <v>174</v>
      </c>
      <c r="D54" s="22" t="s">
        <v>20</v>
      </c>
      <c r="E54" s="22" t="s">
        <v>208</v>
      </c>
      <c r="F54" s="181">
        <f t="shared" si="2"/>
        <v>3.03494</v>
      </c>
      <c r="G54" s="119">
        <f>G55</f>
        <v>3.03494</v>
      </c>
      <c r="H54" s="119"/>
    </row>
    <row r="55" spans="1:8" s="106" customFormat="1" ht="17.25" customHeight="1">
      <c r="A55" s="60" t="s">
        <v>205</v>
      </c>
      <c r="B55" s="22" t="s">
        <v>161</v>
      </c>
      <c r="C55" s="22" t="s">
        <v>174</v>
      </c>
      <c r="D55" s="22" t="s">
        <v>20</v>
      </c>
      <c r="E55" s="22" t="s">
        <v>206</v>
      </c>
      <c r="F55" s="181">
        <f t="shared" si="2"/>
        <v>3.03494</v>
      </c>
      <c r="G55" s="119">
        <f>13-10+0.03494</f>
        <v>3.03494</v>
      </c>
      <c r="H55" s="119"/>
    </row>
    <row r="56" spans="1:9" s="111" customFormat="1" ht="48" customHeight="1">
      <c r="A56" s="64" t="s">
        <v>176</v>
      </c>
      <c r="B56" s="61" t="s">
        <v>161</v>
      </c>
      <c r="C56" s="61" t="s">
        <v>174</v>
      </c>
      <c r="D56" s="61" t="s">
        <v>20</v>
      </c>
      <c r="E56" s="61" t="s">
        <v>432</v>
      </c>
      <c r="F56" s="180">
        <f t="shared" si="2"/>
        <v>62.6</v>
      </c>
      <c r="G56" s="120">
        <f>G57+G59</f>
        <v>62.6</v>
      </c>
      <c r="H56" s="120"/>
      <c r="I56" s="226"/>
    </row>
    <row r="57" spans="1:8" s="106" customFormat="1" ht="34.5" customHeight="1">
      <c r="A57" s="60" t="s">
        <v>202</v>
      </c>
      <c r="B57" s="22" t="s">
        <v>161</v>
      </c>
      <c r="C57" s="22" t="s">
        <v>174</v>
      </c>
      <c r="D57" s="22" t="s">
        <v>20</v>
      </c>
      <c r="E57" s="22" t="s">
        <v>170</v>
      </c>
      <c r="F57" s="181">
        <f t="shared" si="2"/>
        <v>60.6</v>
      </c>
      <c r="G57" s="119">
        <f>G58</f>
        <v>60.6</v>
      </c>
      <c r="H57" s="119"/>
    </row>
    <row r="58" spans="1:8" s="106" customFormat="1" ht="45.75" customHeight="1">
      <c r="A58" s="60" t="s">
        <v>203</v>
      </c>
      <c r="B58" s="22" t="s">
        <v>161</v>
      </c>
      <c r="C58" s="22" t="s">
        <v>174</v>
      </c>
      <c r="D58" s="22" t="s">
        <v>20</v>
      </c>
      <c r="E58" s="22" t="s">
        <v>204</v>
      </c>
      <c r="F58" s="181">
        <f t="shared" si="2"/>
        <v>60.6</v>
      </c>
      <c r="G58" s="119">
        <v>60.6</v>
      </c>
      <c r="H58" s="119"/>
    </row>
    <row r="59" spans="1:8" s="106" customFormat="1" ht="16.5" customHeight="1">
      <c r="A59" s="60" t="s">
        <v>207</v>
      </c>
      <c r="B59" s="22" t="s">
        <v>161</v>
      </c>
      <c r="C59" s="22" t="s">
        <v>174</v>
      </c>
      <c r="D59" s="22" t="s">
        <v>20</v>
      </c>
      <c r="E59" s="22" t="s">
        <v>208</v>
      </c>
      <c r="F59" s="181">
        <f t="shared" si="2"/>
        <v>2</v>
      </c>
      <c r="G59" s="119">
        <f>G60</f>
        <v>2</v>
      </c>
      <c r="H59" s="119"/>
    </row>
    <row r="60" spans="1:8" s="106" customFormat="1" ht="17.25" customHeight="1">
      <c r="A60" s="115" t="s">
        <v>205</v>
      </c>
      <c r="B60" s="22" t="s">
        <v>161</v>
      </c>
      <c r="C60" s="22" t="s">
        <v>174</v>
      </c>
      <c r="D60" s="22" t="s">
        <v>20</v>
      </c>
      <c r="E60" s="22" t="s">
        <v>206</v>
      </c>
      <c r="F60" s="181">
        <f t="shared" si="2"/>
        <v>2</v>
      </c>
      <c r="G60" s="119">
        <v>2</v>
      </c>
      <c r="H60" s="119"/>
    </row>
    <row r="61" spans="1:8" s="111" customFormat="1" ht="16.5" customHeight="1">
      <c r="A61" s="64" t="s">
        <v>177</v>
      </c>
      <c r="B61" s="61" t="s">
        <v>161</v>
      </c>
      <c r="C61" s="61" t="s">
        <v>174</v>
      </c>
      <c r="D61" s="61" t="s">
        <v>21</v>
      </c>
      <c r="E61" s="61" t="s">
        <v>432</v>
      </c>
      <c r="F61" s="180">
        <f t="shared" si="2"/>
        <v>1274.2</v>
      </c>
      <c r="G61" s="120">
        <f>G63</f>
        <v>1274.2</v>
      </c>
      <c r="H61" s="120">
        <f>H63</f>
        <v>0</v>
      </c>
    </row>
    <row r="62" spans="1:8" s="106" customFormat="1" ht="94.5" customHeight="1">
      <c r="A62" s="60" t="s">
        <v>199</v>
      </c>
      <c r="B62" s="22" t="s">
        <v>161</v>
      </c>
      <c r="C62" s="22" t="s">
        <v>174</v>
      </c>
      <c r="D62" s="22" t="s">
        <v>21</v>
      </c>
      <c r="E62" s="22" t="s">
        <v>166</v>
      </c>
      <c r="F62" s="181">
        <f t="shared" si="2"/>
        <v>1274.2</v>
      </c>
      <c r="G62" s="119">
        <f>G63</f>
        <v>1274.2</v>
      </c>
      <c r="H62" s="119"/>
    </row>
    <row r="63" spans="1:8" s="106" customFormat="1" ht="34.5" customHeight="1">
      <c r="A63" s="60" t="s">
        <v>201</v>
      </c>
      <c r="B63" s="22" t="s">
        <v>161</v>
      </c>
      <c r="C63" s="22" t="s">
        <v>174</v>
      </c>
      <c r="D63" s="22" t="s">
        <v>21</v>
      </c>
      <c r="E63" s="22" t="s">
        <v>200</v>
      </c>
      <c r="F63" s="181">
        <f t="shared" si="2"/>
        <v>1274.2</v>
      </c>
      <c r="G63" s="119">
        <v>1274.2</v>
      </c>
      <c r="H63" s="119"/>
    </row>
    <row r="64" spans="1:8" ht="18.75" customHeight="1" hidden="1">
      <c r="A64" s="60" t="s">
        <v>178</v>
      </c>
      <c r="B64" s="22" t="s">
        <v>161</v>
      </c>
      <c r="C64" s="22" t="s">
        <v>179</v>
      </c>
      <c r="D64" s="22" t="s">
        <v>431</v>
      </c>
      <c r="E64" s="22" t="s">
        <v>432</v>
      </c>
      <c r="F64" s="181">
        <f>G64+H64</f>
        <v>0</v>
      </c>
      <c r="G64" s="119">
        <f>G65</f>
        <v>0</v>
      </c>
      <c r="H64" s="119">
        <f>H65</f>
        <v>0</v>
      </c>
    </row>
    <row r="65" spans="1:8" ht="33" customHeight="1" hidden="1">
      <c r="A65" s="60" t="s">
        <v>180</v>
      </c>
      <c r="B65" s="22" t="s">
        <v>161</v>
      </c>
      <c r="C65" s="22" t="s">
        <v>179</v>
      </c>
      <c r="D65" s="22" t="s">
        <v>301</v>
      </c>
      <c r="E65" s="22" t="s">
        <v>432</v>
      </c>
      <c r="F65" s="181">
        <f t="shared" si="2"/>
        <v>0</v>
      </c>
      <c r="G65" s="119">
        <f>G67</f>
        <v>0</v>
      </c>
      <c r="H65" s="119">
        <f>H67</f>
        <v>0</v>
      </c>
    </row>
    <row r="66" spans="1:8" ht="16.5" customHeight="1" hidden="1">
      <c r="A66" s="60" t="s">
        <v>207</v>
      </c>
      <c r="B66" s="22" t="s">
        <v>161</v>
      </c>
      <c r="C66" s="22" t="s">
        <v>179</v>
      </c>
      <c r="D66" s="22" t="s">
        <v>301</v>
      </c>
      <c r="E66" s="22" t="s">
        <v>208</v>
      </c>
      <c r="F66" s="181">
        <f t="shared" si="2"/>
        <v>0</v>
      </c>
      <c r="G66" s="119">
        <f>G67</f>
        <v>0</v>
      </c>
      <c r="H66" s="119"/>
    </row>
    <row r="67" spans="1:8" ht="18.75" customHeight="1" hidden="1">
      <c r="A67" s="60" t="s">
        <v>209</v>
      </c>
      <c r="B67" s="22" t="s">
        <v>161</v>
      </c>
      <c r="C67" s="22" t="s">
        <v>179</v>
      </c>
      <c r="D67" s="22" t="s">
        <v>301</v>
      </c>
      <c r="E67" s="22" t="s">
        <v>210</v>
      </c>
      <c r="F67" s="181">
        <f t="shared" si="2"/>
        <v>0</v>
      </c>
      <c r="G67" s="119">
        <v>0</v>
      </c>
      <c r="H67" s="119"/>
    </row>
    <row r="68" spans="1:8" ht="32.25" customHeight="1">
      <c r="A68" s="116" t="s">
        <v>530</v>
      </c>
      <c r="B68" s="107" t="s">
        <v>161</v>
      </c>
      <c r="C68" s="107" t="s">
        <v>414</v>
      </c>
      <c r="D68" s="107" t="s">
        <v>338</v>
      </c>
      <c r="E68" s="107" t="s">
        <v>432</v>
      </c>
      <c r="F68" s="183">
        <f t="shared" si="2"/>
        <v>2722.12075</v>
      </c>
      <c r="G68" s="184">
        <f>G69</f>
        <v>2722.12075</v>
      </c>
      <c r="H68" s="184"/>
    </row>
    <row r="69" spans="1:8" s="106" customFormat="1" ht="35.25" customHeight="1">
      <c r="A69" s="60" t="s">
        <v>531</v>
      </c>
      <c r="B69" s="22" t="s">
        <v>161</v>
      </c>
      <c r="C69" s="22" t="s">
        <v>414</v>
      </c>
      <c r="D69" s="22" t="s">
        <v>16</v>
      </c>
      <c r="E69" s="22" t="s">
        <v>432</v>
      </c>
      <c r="F69" s="181">
        <f t="shared" si="2"/>
        <v>2722.12075</v>
      </c>
      <c r="G69" s="119">
        <f>G70</f>
        <v>2722.12075</v>
      </c>
      <c r="H69" s="119"/>
    </row>
    <row r="70" spans="1:8" s="106" customFormat="1" ht="51" customHeight="1">
      <c r="A70" s="60" t="s">
        <v>165</v>
      </c>
      <c r="B70" s="22" t="s">
        <v>161</v>
      </c>
      <c r="C70" s="22" t="s">
        <v>414</v>
      </c>
      <c r="D70" s="22" t="s">
        <v>17</v>
      </c>
      <c r="E70" s="22" t="s">
        <v>432</v>
      </c>
      <c r="F70" s="181">
        <f t="shared" si="2"/>
        <v>2722.12075</v>
      </c>
      <c r="G70" s="119">
        <f>G71</f>
        <v>2722.12075</v>
      </c>
      <c r="H70" s="119"/>
    </row>
    <row r="71" spans="1:8" s="106" customFormat="1" ht="33" customHeight="1">
      <c r="A71" s="60" t="s">
        <v>532</v>
      </c>
      <c r="B71" s="22" t="s">
        <v>161</v>
      </c>
      <c r="C71" s="22" t="s">
        <v>414</v>
      </c>
      <c r="D71" s="22" t="s">
        <v>533</v>
      </c>
      <c r="E71" s="22" t="s">
        <v>432</v>
      </c>
      <c r="F71" s="181">
        <f t="shared" si="2"/>
        <v>2722.12075</v>
      </c>
      <c r="G71" s="119">
        <f>G72</f>
        <v>2722.12075</v>
      </c>
      <c r="H71" s="119"/>
    </row>
    <row r="72" spans="1:8" s="106" customFormat="1" ht="18.75" customHeight="1">
      <c r="A72" s="60" t="s">
        <v>207</v>
      </c>
      <c r="B72" s="22" t="s">
        <v>161</v>
      </c>
      <c r="C72" s="22" t="s">
        <v>414</v>
      </c>
      <c r="D72" s="22" t="s">
        <v>533</v>
      </c>
      <c r="E72" s="22" t="s">
        <v>208</v>
      </c>
      <c r="F72" s="181">
        <f t="shared" si="2"/>
        <v>2722.12075</v>
      </c>
      <c r="G72" s="119">
        <f>G73</f>
        <v>2722.12075</v>
      </c>
      <c r="H72" s="119"/>
    </row>
    <row r="73" spans="1:8" s="106" customFormat="1" ht="17.25" customHeight="1">
      <c r="A73" s="62" t="s">
        <v>585</v>
      </c>
      <c r="B73" s="22" t="s">
        <v>161</v>
      </c>
      <c r="C73" s="22" t="s">
        <v>414</v>
      </c>
      <c r="D73" s="22" t="s">
        <v>533</v>
      </c>
      <c r="E73" s="22" t="s">
        <v>586</v>
      </c>
      <c r="F73" s="181">
        <f t="shared" si="2"/>
        <v>2722.12075</v>
      </c>
      <c r="G73" s="119">
        <f>3111.15-389.02925</f>
        <v>2722.12075</v>
      </c>
      <c r="H73" s="119"/>
    </row>
    <row r="74" spans="1:8" ht="19.5" customHeight="1">
      <c r="A74" s="116" t="s">
        <v>178</v>
      </c>
      <c r="B74" s="107" t="s">
        <v>161</v>
      </c>
      <c r="C74" s="107" t="s">
        <v>179</v>
      </c>
      <c r="D74" s="107" t="s">
        <v>338</v>
      </c>
      <c r="E74" s="107" t="s">
        <v>432</v>
      </c>
      <c r="F74" s="183">
        <f t="shared" si="2"/>
        <v>91.90273000000005</v>
      </c>
      <c r="G74" s="184">
        <f>G75</f>
        <v>91.90273000000005</v>
      </c>
      <c r="H74" s="184"/>
    </row>
    <row r="75" spans="1:8" s="106" customFormat="1" ht="33.75" customHeight="1">
      <c r="A75" s="153" t="s">
        <v>164</v>
      </c>
      <c r="B75" s="22" t="s">
        <v>161</v>
      </c>
      <c r="C75" s="22" t="s">
        <v>179</v>
      </c>
      <c r="D75" s="154" t="s">
        <v>16</v>
      </c>
      <c r="E75" s="154" t="s">
        <v>432</v>
      </c>
      <c r="F75" s="181">
        <f t="shared" si="2"/>
        <v>91.90273000000005</v>
      </c>
      <c r="G75" s="119">
        <f>G76</f>
        <v>91.90273000000005</v>
      </c>
      <c r="H75" s="119"/>
    </row>
    <row r="76" spans="1:8" s="106" customFormat="1" ht="49.5" customHeight="1">
      <c r="A76" s="153" t="s">
        <v>165</v>
      </c>
      <c r="B76" s="22" t="s">
        <v>161</v>
      </c>
      <c r="C76" s="22" t="s">
        <v>179</v>
      </c>
      <c r="D76" s="154" t="s">
        <v>17</v>
      </c>
      <c r="E76" s="154" t="s">
        <v>432</v>
      </c>
      <c r="F76" s="181">
        <f t="shared" si="2"/>
        <v>91.90273000000005</v>
      </c>
      <c r="G76" s="119">
        <f>G77</f>
        <v>91.90273000000005</v>
      </c>
      <c r="H76" s="119"/>
    </row>
    <row r="77" spans="1:8" s="106" customFormat="1" ht="33" customHeight="1">
      <c r="A77" s="153" t="s">
        <v>587</v>
      </c>
      <c r="B77" s="22" t="s">
        <v>161</v>
      </c>
      <c r="C77" s="22" t="s">
        <v>179</v>
      </c>
      <c r="D77" s="22" t="s">
        <v>588</v>
      </c>
      <c r="E77" s="154" t="s">
        <v>432</v>
      </c>
      <c r="F77" s="181">
        <f t="shared" si="2"/>
        <v>91.90273000000005</v>
      </c>
      <c r="G77" s="119">
        <f>G78</f>
        <v>91.90273000000005</v>
      </c>
      <c r="H77" s="119"/>
    </row>
    <row r="78" spans="1:8" s="106" customFormat="1" ht="20.25" customHeight="1">
      <c r="A78" s="153" t="s">
        <v>207</v>
      </c>
      <c r="B78" s="22" t="s">
        <v>161</v>
      </c>
      <c r="C78" s="22" t="s">
        <v>179</v>
      </c>
      <c r="D78" s="22" t="s">
        <v>588</v>
      </c>
      <c r="E78" s="154" t="s">
        <v>208</v>
      </c>
      <c r="F78" s="181">
        <f t="shared" si="2"/>
        <v>91.90273000000005</v>
      </c>
      <c r="G78" s="119">
        <f>G79</f>
        <v>91.90273000000005</v>
      </c>
      <c r="H78" s="119"/>
    </row>
    <row r="79" spans="1:8" s="106" customFormat="1" ht="18" customHeight="1">
      <c r="A79" s="153" t="s">
        <v>209</v>
      </c>
      <c r="B79" s="22" t="s">
        <v>161</v>
      </c>
      <c r="C79" s="22" t="s">
        <v>179</v>
      </c>
      <c r="D79" s="22" t="s">
        <v>588</v>
      </c>
      <c r="E79" s="154" t="s">
        <v>210</v>
      </c>
      <c r="F79" s="181">
        <f t="shared" si="2"/>
        <v>91.90273000000005</v>
      </c>
      <c r="G79" s="119">
        <f>100+150-48-13.698+450-13.55491-27.10982-33.61446-13.11601-13.11601-13.55491-13.55491-13.11601-13.55491-13.11601-13.55491-80.45164-13.55491-13.11601-53.78072-13.55491-78.602+75-187.37621</f>
        <v>91.90273000000005</v>
      </c>
      <c r="H79" s="119"/>
    </row>
    <row r="80" spans="1:12" ht="18.75" customHeight="1">
      <c r="A80" s="117" t="s">
        <v>378</v>
      </c>
      <c r="B80" s="29" t="s">
        <v>161</v>
      </c>
      <c r="C80" s="29" t="s">
        <v>181</v>
      </c>
      <c r="D80" s="29" t="s">
        <v>338</v>
      </c>
      <c r="E80" s="29" t="s">
        <v>432</v>
      </c>
      <c r="F80" s="186">
        <f t="shared" si="2"/>
        <v>23319.19152</v>
      </c>
      <c r="G80" s="187">
        <f>G81+G115+G148+G166+G104+G169+G172+G186+G189</f>
        <v>7063.343690000001</v>
      </c>
      <c r="H80" s="187">
        <f>H81+H115+H148+H166+H104+H138+H169+H186+H194</f>
        <v>16255.84783</v>
      </c>
      <c r="K80" s="80"/>
      <c r="L80" s="80"/>
    </row>
    <row r="81" spans="1:8" ht="17.25" customHeight="1">
      <c r="A81" s="60" t="s">
        <v>182</v>
      </c>
      <c r="B81" s="22" t="s">
        <v>161</v>
      </c>
      <c r="C81" s="22" t="s">
        <v>181</v>
      </c>
      <c r="D81" s="22" t="s">
        <v>338</v>
      </c>
      <c r="E81" s="22" t="s">
        <v>432</v>
      </c>
      <c r="F81" s="181">
        <f t="shared" si="2"/>
        <v>4674.381</v>
      </c>
      <c r="G81" s="119">
        <f>G82+G87+G92+G97</f>
        <v>0</v>
      </c>
      <c r="H81" s="119">
        <f>H82+H87+H92+H97+H102+H112</f>
        <v>4674.381</v>
      </c>
    </row>
    <row r="82" spans="1:10" s="111" customFormat="1" ht="64.5" customHeight="1">
      <c r="A82" s="64" t="s">
        <v>183</v>
      </c>
      <c r="B82" s="61" t="s">
        <v>161</v>
      </c>
      <c r="C82" s="61" t="s">
        <v>181</v>
      </c>
      <c r="D82" s="61" t="s">
        <v>22</v>
      </c>
      <c r="E82" s="61" t="s">
        <v>432</v>
      </c>
      <c r="F82" s="180">
        <f t="shared" si="2"/>
        <v>774.9810000000001</v>
      </c>
      <c r="G82" s="120">
        <f>SUM(G83:G86)</f>
        <v>0</v>
      </c>
      <c r="H82" s="120">
        <f>H83+H85</f>
        <v>774.9810000000001</v>
      </c>
      <c r="J82" s="113"/>
    </row>
    <row r="83" spans="1:9" s="106" customFormat="1" ht="96" customHeight="1">
      <c r="A83" s="60" t="s">
        <v>199</v>
      </c>
      <c r="B83" s="22" t="s">
        <v>161</v>
      </c>
      <c r="C83" s="22" t="s">
        <v>181</v>
      </c>
      <c r="D83" s="22" t="s">
        <v>22</v>
      </c>
      <c r="E83" s="22" t="s">
        <v>166</v>
      </c>
      <c r="F83" s="181">
        <f t="shared" si="2"/>
        <v>515.4580000000001</v>
      </c>
      <c r="G83" s="119"/>
      <c r="H83" s="119">
        <f>H84</f>
        <v>515.4580000000001</v>
      </c>
      <c r="I83" s="314"/>
    </row>
    <row r="84" spans="1:8" s="106" customFormat="1" ht="33" customHeight="1">
      <c r="A84" s="94" t="s">
        <v>201</v>
      </c>
      <c r="B84" s="22" t="s">
        <v>161</v>
      </c>
      <c r="C84" s="22" t="s">
        <v>181</v>
      </c>
      <c r="D84" s="22" t="s">
        <v>22</v>
      </c>
      <c r="E84" s="22" t="s">
        <v>200</v>
      </c>
      <c r="F84" s="181">
        <f t="shared" si="2"/>
        <v>515.4580000000001</v>
      </c>
      <c r="G84" s="119"/>
      <c r="H84" s="119">
        <f>514.7+0.758</f>
        <v>515.4580000000001</v>
      </c>
    </row>
    <row r="85" spans="1:8" s="106" customFormat="1" ht="33.75" customHeight="1">
      <c r="A85" s="60" t="s">
        <v>202</v>
      </c>
      <c r="B85" s="22" t="s">
        <v>161</v>
      </c>
      <c r="C85" s="22" t="s">
        <v>181</v>
      </c>
      <c r="D85" s="22" t="s">
        <v>22</v>
      </c>
      <c r="E85" s="22" t="s">
        <v>170</v>
      </c>
      <c r="F85" s="181">
        <f t="shared" si="2"/>
        <v>259.523</v>
      </c>
      <c r="G85" s="119"/>
      <c r="H85" s="119">
        <f>H86</f>
        <v>259.523</v>
      </c>
    </row>
    <row r="86" spans="1:8" s="106" customFormat="1" ht="48.75" customHeight="1">
      <c r="A86" s="94" t="s">
        <v>203</v>
      </c>
      <c r="B86" s="22" t="s">
        <v>161</v>
      </c>
      <c r="C86" s="22" t="s">
        <v>181</v>
      </c>
      <c r="D86" s="22" t="s">
        <v>22</v>
      </c>
      <c r="E86" s="22" t="s">
        <v>204</v>
      </c>
      <c r="F86" s="181">
        <f t="shared" si="2"/>
        <v>259.523</v>
      </c>
      <c r="G86" s="119"/>
      <c r="H86" s="119">
        <f>253.774+6.507-0.758</f>
        <v>259.523</v>
      </c>
    </row>
    <row r="87" spans="1:10" s="148" customFormat="1" ht="48" customHeight="1">
      <c r="A87" s="64" t="s">
        <v>442</v>
      </c>
      <c r="B87" s="61" t="s">
        <v>161</v>
      </c>
      <c r="C87" s="61" t="s">
        <v>181</v>
      </c>
      <c r="D87" s="61" t="s">
        <v>23</v>
      </c>
      <c r="E87" s="61" t="s">
        <v>432</v>
      </c>
      <c r="F87" s="180">
        <f t="shared" si="2"/>
        <v>1167.127</v>
      </c>
      <c r="G87" s="120">
        <f>SUM(G88:G91)</f>
        <v>0</v>
      </c>
      <c r="H87" s="120">
        <f>H88+H90</f>
        <v>1167.127</v>
      </c>
      <c r="J87" s="150"/>
    </row>
    <row r="88" spans="1:8" s="151" customFormat="1" ht="96.75" customHeight="1">
      <c r="A88" s="60" t="s">
        <v>199</v>
      </c>
      <c r="B88" s="22" t="s">
        <v>161</v>
      </c>
      <c r="C88" s="22" t="s">
        <v>181</v>
      </c>
      <c r="D88" s="22" t="s">
        <v>23</v>
      </c>
      <c r="E88" s="22" t="s">
        <v>166</v>
      </c>
      <c r="F88" s="181">
        <f t="shared" si="2"/>
        <v>1032.33028</v>
      </c>
      <c r="G88" s="187"/>
      <c r="H88" s="119">
        <f>H89</f>
        <v>1032.33028</v>
      </c>
    </row>
    <row r="89" spans="1:8" s="106" customFormat="1" ht="31.5" customHeight="1">
      <c r="A89" s="94" t="s">
        <v>201</v>
      </c>
      <c r="B89" s="22" t="s">
        <v>161</v>
      </c>
      <c r="C89" s="22" t="s">
        <v>181</v>
      </c>
      <c r="D89" s="22" t="s">
        <v>23</v>
      </c>
      <c r="E89" s="22" t="s">
        <v>200</v>
      </c>
      <c r="F89" s="181">
        <f t="shared" si="2"/>
        <v>1032.33028</v>
      </c>
      <c r="G89" s="119"/>
      <c r="H89" s="119">
        <f>954.8+77.59022-0.05994</f>
        <v>1032.33028</v>
      </c>
    </row>
    <row r="90" spans="1:8" s="106" customFormat="1" ht="33.75" customHeight="1">
      <c r="A90" s="60" t="s">
        <v>202</v>
      </c>
      <c r="B90" s="22" t="s">
        <v>161</v>
      </c>
      <c r="C90" s="22" t="s">
        <v>181</v>
      </c>
      <c r="D90" s="22" t="s">
        <v>23</v>
      </c>
      <c r="E90" s="22" t="s">
        <v>170</v>
      </c>
      <c r="F90" s="181">
        <f t="shared" si="2"/>
        <v>134.79672000000002</v>
      </c>
      <c r="G90" s="119"/>
      <c r="H90" s="119">
        <f>H91</f>
        <v>134.79672000000002</v>
      </c>
    </row>
    <row r="91" spans="1:8" s="106" customFormat="1" ht="49.5" customHeight="1">
      <c r="A91" s="94" t="s">
        <v>203</v>
      </c>
      <c r="B91" s="22" t="s">
        <v>161</v>
      </c>
      <c r="C91" s="22" t="s">
        <v>181</v>
      </c>
      <c r="D91" s="22" t="s">
        <v>23</v>
      </c>
      <c r="E91" s="22" t="s">
        <v>204</v>
      </c>
      <c r="F91" s="181">
        <f t="shared" si="2"/>
        <v>134.79672000000002</v>
      </c>
      <c r="G91" s="119"/>
      <c r="H91" s="119">
        <f>202.29+10.037-77.59022+0.05994</f>
        <v>134.79672000000002</v>
      </c>
    </row>
    <row r="92" spans="1:10" s="111" customFormat="1" ht="49.5" customHeight="1">
      <c r="A92" s="64" t="s">
        <v>184</v>
      </c>
      <c r="B92" s="61" t="s">
        <v>161</v>
      </c>
      <c r="C92" s="61" t="s">
        <v>181</v>
      </c>
      <c r="D92" s="61" t="s">
        <v>24</v>
      </c>
      <c r="E92" s="61" t="s">
        <v>432</v>
      </c>
      <c r="F92" s="180">
        <f t="shared" si="2"/>
        <v>746.896</v>
      </c>
      <c r="G92" s="120">
        <f>SUM(G93:G96)</f>
        <v>0</v>
      </c>
      <c r="H92" s="120">
        <f>H93+H95</f>
        <v>746.896</v>
      </c>
      <c r="J92" s="113"/>
    </row>
    <row r="93" spans="1:8" s="106" customFormat="1" ht="97.5" customHeight="1">
      <c r="A93" s="60" t="s">
        <v>199</v>
      </c>
      <c r="B93" s="22" t="s">
        <v>161</v>
      </c>
      <c r="C93" s="22" t="s">
        <v>181</v>
      </c>
      <c r="D93" s="22" t="s">
        <v>24</v>
      </c>
      <c r="E93" s="22" t="s">
        <v>166</v>
      </c>
      <c r="F93" s="181">
        <f t="shared" si="2"/>
        <v>716.32736</v>
      </c>
      <c r="G93" s="119"/>
      <c r="H93" s="119">
        <f>H94</f>
        <v>716.32736</v>
      </c>
    </row>
    <row r="94" spans="1:8" s="106" customFormat="1" ht="31.5" customHeight="1">
      <c r="A94" s="94" t="s">
        <v>201</v>
      </c>
      <c r="B94" s="22" t="s">
        <v>161</v>
      </c>
      <c r="C94" s="22" t="s">
        <v>181</v>
      </c>
      <c r="D94" s="22" t="s">
        <v>24</v>
      </c>
      <c r="E94" s="22" t="s">
        <v>200</v>
      </c>
      <c r="F94" s="181">
        <f t="shared" si="2"/>
        <v>716.32736</v>
      </c>
      <c r="G94" s="119"/>
      <c r="H94" s="119">
        <f>718.6-11+8.72736</f>
        <v>716.32736</v>
      </c>
    </row>
    <row r="95" spans="1:8" s="106" customFormat="1" ht="35.25" customHeight="1">
      <c r="A95" s="60" t="s">
        <v>202</v>
      </c>
      <c r="B95" s="22" t="s">
        <v>161</v>
      </c>
      <c r="C95" s="22" t="s">
        <v>181</v>
      </c>
      <c r="D95" s="22" t="s">
        <v>24</v>
      </c>
      <c r="E95" s="22" t="s">
        <v>170</v>
      </c>
      <c r="F95" s="181">
        <f t="shared" si="2"/>
        <v>30.568640000000002</v>
      </c>
      <c r="G95" s="119"/>
      <c r="H95" s="119">
        <f>H96</f>
        <v>30.568640000000002</v>
      </c>
    </row>
    <row r="96" spans="1:8" s="106" customFormat="1" ht="48" customHeight="1">
      <c r="A96" s="94" t="s">
        <v>203</v>
      </c>
      <c r="B96" s="22" t="s">
        <v>161</v>
      </c>
      <c r="C96" s="22" t="s">
        <v>181</v>
      </c>
      <c r="D96" s="22" t="s">
        <v>24</v>
      </c>
      <c r="E96" s="22" t="s">
        <v>204</v>
      </c>
      <c r="F96" s="181">
        <f t="shared" si="2"/>
        <v>30.568640000000002</v>
      </c>
      <c r="G96" s="119"/>
      <c r="H96" s="119">
        <f>21.904+6.392+11-8.72736</f>
        <v>30.568640000000002</v>
      </c>
    </row>
    <row r="97" spans="1:10" s="111" customFormat="1" ht="108.75" customHeight="1">
      <c r="A97" s="64" t="s">
        <v>25</v>
      </c>
      <c r="B97" s="61" t="s">
        <v>161</v>
      </c>
      <c r="C97" s="61" t="s">
        <v>181</v>
      </c>
      <c r="D97" s="61" t="s">
        <v>339</v>
      </c>
      <c r="E97" s="61" t="s">
        <v>432</v>
      </c>
      <c r="F97" s="180">
        <f t="shared" si="2"/>
        <v>1798.09</v>
      </c>
      <c r="G97" s="120">
        <f>SUM(G98:G101)</f>
        <v>0</v>
      </c>
      <c r="H97" s="120">
        <f>H98+H100</f>
        <v>1798.09</v>
      </c>
      <c r="I97" s="149">
        <v>1798.09</v>
      </c>
      <c r="J97" s="149"/>
    </row>
    <row r="98" spans="1:10" s="106" customFormat="1" ht="96" customHeight="1">
      <c r="A98" s="60" t="s">
        <v>199</v>
      </c>
      <c r="B98" s="22" t="s">
        <v>161</v>
      </c>
      <c r="C98" s="22" t="s">
        <v>181</v>
      </c>
      <c r="D98" s="22" t="s">
        <v>339</v>
      </c>
      <c r="E98" s="22" t="s">
        <v>166</v>
      </c>
      <c r="F98" s="181">
        <f t="shared" si="2"/>
        <v>1333.73176</v>
      </c>
      <c r="G98" s="119"/>
      <c r="H98" s="119">
        <f>H99</f>
        <v>1333.73176</v>
      </c>
      <c r="I98" s="315"/>
      <c r="J98" s="315"/>
    </row>
    <row r="99" spans="1:10" s="106" customFormat="1" ht="31.5" customHeight="1">
      <c r="A99" s="94" t="s">
        <v>201</v>
      </c>
      <c r="B99" s="22" t="s">
        <v>161</v>
      </c>
      <c r="C99" s="22" t="s">
        <v>181</v>
      </c>
      <c r="D99" s="22" t="s">
        <v>339</v>
      </c>
      <c r="E99" s="22" t="s">
        <v>200</v>
      </c>
      <c r="F99" s="181">
        <f t="shared" si="2"/>
        <v>1333.73176</v>
      </c>
      <c r="G99" s="119"/>
      <c r="H99" s="119">
        <f>1547.74+147.56+1.8+8.6-194-101-76.96824</f>
        <v>1333.73176</v>
      </c>
      <c r="I99" s="315"/>
      <c r="J99" s="315"/>
    </row>
    <row r="100" spans="1:10" s="106" customFormat="1" ht="33" customHeight="1">
      <c r="A100" s="60" t="s">
        <v>202</v>
      </c>
      <c r="B100" s="22" t="s">
        <v>161</v>
      </c>
      <c r="C100" s="22" t="s">
        <v>181</v>
      </c>
      <c r="D100" s="22" t="s">
        <v>339</v>
      </c>
      <c r="E100" s="22" t="s">
        <v>170</v>
      </c>
      <c r="F100" s="181">
        <f t="shared" si="2"/>
        <v>464.35823999999997</v>
      </c>
      <c r="G100" s="119"/>
      <c r="H100" s="119">
        <f>H101</f>
        <v>464.35823999999997</v>
      </c>
      <c r="I100" s="315"/>
      <c r="J100" s="315"/>
    </row>
    <row r="101" spans="1:10" s="106" customFormat="1" ht="45.75" customHeight="1">
      <c r="A101" s="94" t="s">
        <v>203</v>
      </c>
      <c r="B101" s="22" t="s">
        <v>161</v>
      </c>
      <c r="C101" s="22" t="s">
        <v>181</v>
      </c>
      <c r="D101" s="22" t="s">
        <v>339</v>
      </c>
      <c r="E101" s="22" t="s">
        <v>204</v>
      </c>
      <c r="F101" s="181">
        <f t="shared" si="2"/>
        <v>464.35823999999997</v>
      </c>
      <c r="G101" s="119"/>
      <c r="H101" s="119">
        <f>43.32+207.03-150.96-7+194+101+76.96824</f>
        <v>464.35823999999997</v>
      </c>
      <c r="I101" s="315"/>
      <c r="J101" s="315"/>
    </row>
    <row r="102" spans="1:8" ht="128.25" customHeight="1" hidden="1">
      <c r="A102" s="94" t="s">
        <v>190</v>
      </c>
      <c r="B102" s="22" t="s">
        <v>161</v>
      </c>
      <c r="C102" s="22" t="s">
        <v>181</v>
      </c>
      <c r="D102" s="22" t="s">
        <v>358</v>
      </c>
      <c r="E102" s="22" t="s">
        <v>432</v>
      </c>
      <c r="F102" s="181">
        <f t="shared" si="2"/>
        <v>0</v>
      </c>
      <c r="G102" s="119"/>
      <c r="H102" s="119">
        <f>H103</f>
        <v>0</v>
      </c>
    </row>
    <row r="103" spans="1:8" ht="50.25" customHeight="1" hidden="1">
      <c r="A103" s="94" t="s">
        <v>203</v>
      </c>
      <c r="B103" s="22" t="s">
        <v>161</v>
      </c>
      <c r="C103" s="22" t="s">
        <v>181</v>
      </c>
      <c r="D103" s="22" t="s">
        <v>358</v>
      </c>
      <c r="E103" s="22" t="s">
        <v>204</v>
      </c>
      <c r="F103" s="181">
        <f t="shared" si="2"/>
        <v>0</v>
      </c>
      <c r="G103" s="119"/>
      <c r="H103" s="119"/>
    </row>
    <row r="104" spans="1:8" ht="18.75" customHeight="1" hidden="1">
      <c r="A104" s="118" t="s">
        <v>378</v>
      </c>
      <c r="B104" s="22" t="s">
        <v>161</v>
      </c>
      <c r="C104" s="22" t="s">
        <v>181</v>
      </c>
      <c r="D104" s="29" t="s">
        <v>338</v>
      </c>
      <c r="E104" s="29" t="s">
        <v>432</v>
      </c>
      <c r="F104" s="186">
        <f t="shared" si="2"/>
        <v>0</v>
      </c>
      <c r="G104" s="187">
        <f>G109+G106</f>
        <v>0</v>
      </c>
      <c r="H104" s="187">
        <f>H109+H106</f>
        <v>0</v>
      </c>
    </row>
    <row r="105" spans="1:8" s="27" customFormat="1" ht="81" customHeight="1" hidden="1">
      <c r="A105" s="316" t="s">
        <v>455</v>
      </c>
      <c r="B105" s="22" t="s">
        <v>161</v>
      </c>
      <c r="C105" s="22" t="s">
        <v>181</v>
      </c>
      <c r="D105" s="61" t="s">
        <v>36</v>
      </c>
      <c r="E105" s="61" t="s">
        <v>432</v>
      </c>
      <c r="F105" s="181">
        <f>G105+H105</f>
        <v>0</v>
      </c>
      <c r="G105" s="120">
        <f>G106</f>
        <v>0</v>
      </c>
      <c r="H105" s="184"/>
    </row>
    <row r="106" spans="1:8" ht="67.5" customHeight="1" hidden="1">
      <c r="A106" s="94" t="s">
        <v>447</v>
      </c>
      <c r="B106" s="22" t="s">
        <v>161</v>
      </c>
      <c r="C106" s="22" t="s">
        <v>181</v>
      </c>
      <c r="D106" s="22" t="s">
        <v>105</v>
      </c>
      <c r="E106" s="22" t="s">
        <v>226</v>
      </c>
      <c r="F106" s="181">
        <f t="shared" si="2"/>
        <v>0</v>
      </c>
      <c r="G106" s="119">
        <f>G107</f>
        <v>0</v>
      </c>
      <c r="H106" s="187"/>
    </row>
    <row r="107" spans="1:8" ht="51" customHeight="1" hidden="1">
      <c r="A107" s="94" t="s">
        <v>225</v>
      </c>
      <c r="B107" s="22" t="s">
        <v>161</v>
      </c>
      <c r="C107" s="22" t="s">
        <v>181</v>
      </c>
      <c r="D107" s="22" t="s">
        <v>105</v>
      </c>
      <c r="E107" s="22" t="s">
        <v>226</v>
      </c>
      <c r="F107" s="181">
        <f t="shared" si="2"/>
        <v>0</v>
      </c>
      <c r="G107" s="119">
        <f>G108</f>
        <v>0</v>
      </c>
      <c r="H107" s="187"/>
    </row>
    <row r="108" spans="1:8" ht="19.5" customHeight="1" hidden="1">
      <c r="A108" s="94" t="s">
        <v>446</v>
      </c>
      <c r="B108" s="22" t="s">
        <v>161</v>
      </c>
      <c r="C108" s="22" t="s">
        <v>181</v>
      </c>
      <c r="D108" s="22" t="s">
        <v>105</v>
      </c>
      <c r="E108" s="22" t="s">
        <v>132</v>
      </c>
      <c r="F108" s="181">
        <f t="shared" si="2"/>
        <v>0</v>
      </c>
      <c r="G108" s="119"/>
      <c r="H108" s="187"/>
    </row>
    <row r="109" spans="1:8" ht="81" customHeight="1" hidden="1">
      <c r="A109" s="317" t="s">
        <v>139</v>
      </c>
      <c r="B109" s="22" t="s">
        <v>161</v>
      </c>
      <c r="C109" s="22" t="s">
        <v>181</v>
      </c>
      <c r="D109" s="22" t="s">
        <v>487</v>
      </c>
      <c r="E109" s="22" t="s">
        <v>432</v>
      </c>
      <c r="F109" s="181">
        <f t="shared" si="2"/>
        <v>0</v>
      </c>
      <c r="G109" s="119">
        <f>G110</f>
        <v>0</v>
      </c>
      <c r="H109" s="119">
        <f>H110</f>
        <v>0</v>
      </c>
    </row>
    <row r="110" spans="1:8" ht="51.75" customHeight="1" hidden="1">
      <c r="A110" s="60" t="s">
        <v>225</v>
      </c>
      <c r="B110" s="22" t="s">
        <v>161</v>
      </c>
      <c r="C110" s="22" t="s">
        <v>181</v>
      </c>
      <c r="D110" s="22" t="s">
        <v>487</v>
      </c>
      <c r="E110" s="22" t="s">
        <v>226</v>
      </c>
      <c r="F110" s="181">
        <f t="shared" si="2"/>
        <v>0</v>
      </c>
      <c r="G110" s="119"/>
      <c r="H110" s="119">
        <f>H111</f>
        <v>0</v>
      </c>
    </row>
    <row r="111" spans="1:8" ht="17.25" customHeight="1" hidden="1">
      <c r="A111" s="60" t="s">
        <v>446</v>
      </c>
      <c r="B111" s="22" t="s">
        <v>161</v>
      </c>
      <c r="C111" s="22" t="s">
        <v>181</v>
      </c>
      <c r="D111" s="22" t="s">
        <v>487</v>
      </c>
      <c r="E111" s="22" t="s">
        <v>132</v>
      </c>
      <c r="F111" s="181">
        <f t="shared" si="2"/>
        <v>0</v>
      </c>
      <c r="G111" s="119">
        <v>0</v>
      </c>
      <c r="H111" s="119"/>
    </row>
    <row r="112" spans="1:8" ht="66.75" customHeight="1">
      <c r="A112" s="64" t="s">
        <v>832</v>
      </c>
      <c r="B112" s="61" t="s">
        <v>161</v>
      </c>
      <c r="C112" s="61" t="s">
        <v>181</v>
      </c>
      <c r="D112" s="61" t="s">
        <v>833</v>
      </c>
      <c r="E112" s="61" t="s">
        <v>432</v>
      </c>
      <c r="F112" s="180">
        <f>G112+H112</f>
        <v>187.287</v>
      </c>
      <c r="G112" s="120"/>
      <c r="H112" s="120">
        <f>H113</f>
        <v>187.287</v>
      </c>
    </row>
    <row r="113" spans="1:8" ht="78" customHeight="1">
      <c r="A113" s="60" t="s">
        <v>199</v>
      </c>
      <c r="B113" s="22" t="s">
        <v>161</v>
      </c>
      <c r="C113" s="22" t="s">
        <v>181</v>
      </c>
      <c r="D113" s="22" t="s">
        <v>833</v>
      </c>
      <c r="E113" s="22" t="s">
        <v>166</v>
      </c>
      <c r="F113" s="181">
        <f>G113+H113</f>
        <v>187.287</v>
      </c>
      <c r="G113" s="119"/>
      <c r="H113" s="119">
        <f>H114</f>
        <v>187.287</v>
      </c>
    </row>
    <row r="114" spans="1:8" ht="35.25" customHeight="1">
      <c r="A114" s="94" t="s">
        <v>201</v>
      </c>
      <c r="B114" s="22" t="s">
        <v>161</v>
      </c>
      <c r="C114" s="22" t="s">
        <v>181</v>
      </c>
      <c r="D114" s="22" t="s">
        <v>833</v>
      </c>
      <c r="E114" s="22" t="s">
        <v>200</v>
      </c>
      <c r="F114" s="181">
        <f>G114+H114</f>
        <v>187.287</v>
      </c>
      <c r="G114" s="119">
        <v>0</v>
      </c>
      <c r="H114" s="119">
        <v>187.287</v>
      </c>
    </row>
    <row r="115" spans="1:8" ht="34.5" customHeight="1">
      <c r="A115" s="60" t="s">
        <v>164</v>
      </c>
      <c r="B115" s="22" t="s">
        <v>161</v>
      </c>
      <c r="C115" s="22" t="s">
        <v>181</v>
      </c>
      <c r="D115" s="22" t="s">
        <v>16</v>
      </c>
      <c r="E115" s="22" t="s">
        <v>432</v>
      </c>
      <c r="F115" s="181">
        <f t="shared" si="2"/>
        <v>5584.51201</v>
      </c>
      <c r="G115" s="119">
        <f>G116</f>
        <v>5584.51201</v>
      </c>
      <c r="H115" s="119">
        <f>H116</f>
        <v>0</v>
      </c>
    </row>
    <row r="116" spans="1:8" ht="51" customHeight="1">
      <c r="A116" s="60" t="s">
        <v>165</v>
      </c>
      <c r="B116" s="22" t="s">
        <v>161</v>
      </c>
      <c r="C116" s="22" t="s">
        <v>181</v>
      </c>
      <c r="D116" s="22" t="s">
        <v>17</v>
      </c>
      <c r="E116" s="22" t="s">
        <v>432</v>
      </c>
      <c r="F116" s="181">
        <f t="shared" si="2"/>
        <v>5584.51201</v>
      </c>
      <c r="G116" s="119">
        <f>G117+G122+G125+G128+G133+G145</f>
        <v>5584.51201</v>
      </c>
      <c r="H116" s="119">
        <f>H117</f>
        <v>0</v>
      </c>
    </row>
    <row r="117" spans="1:10" s="111" customFormat="1" ht="49.5" customHeight="1">
      <c r="A117" s="64" t="s">
        <v>589</v>
      </c>
      <c r="B117" s="61" t="s">
        <v>161</v>
      </c>
      <c r="C117" s="61" t="s">
        <v>181</v>
      </c>
      <c r="D117" s="61" t="s">
        <v>20</v>
      </c>
      <c r="E117" s="61" t="s">
        <v>432</v>
      </c>
      <c r="F117" s="180">
        <f>G117+H117</f>
        <v>3792.21405</v>
      </c>
      <c r="G117" s="120">
        <f>G118+G120</f>
        <v>3792.21405</v>
      </c>
      <c r="H117" s="120">
        <f>SUM(H118:H121)</f>
        <v>0</v>
      </c>
      <c r="J117" s="318"/>
    </row>
    <row r="118" spans="1:8" s="106" customFormat="1" ht="96" customHeight="1">
      <c r="A118" s="60" t="s">
        <v>199</v>
      </c>
      <c r="B118" s="22" t="s">
        <v>161</v>
      </c>
      <c r="C118" s="22" t="s">
        <v>181</v>
      </c>
      <c r="D118" s="22" t="s">
        <v>20</v>
      </c>
      <c r="E118" s="22" t="s">
        <v>166</v>
      </c>
      <c r="F118" s="181">
        <f t="shared" si="2"/>
        <v>3629.37905</v>
      </c>
      <c r="G118" s="119">
        <f>G119</f>
        <v>3629.37905</v>
      </c>
      <c r="H118" s="119"/>
    </row>
    <row r="119" spans="1:8" s="106" customFormat="1" ht="34.5" customHeight="1">
      <c r="A119" s="94" t="s">
        <v>201</v>
      </c>
      <c r="B119" s="22" t="s">
        <v>161</v>
      </c>
      <c r="C119" s="22" t="s">
        <v>181</v>
      </c>
      <c r="D119" s="22" t="s">
        <v>20</v>
      </c>
      <c r="E119" s="22" t="s">
        <v>200</v>
      </c>
      <c r="F119" s="181">
        <f t="shared" si="2"/>
        <v>3629.37905</v>
      </c>
      <c r="G119" s="119">
        <f>2799.4+41+845.43-1.64595-30-30-44.805+50</f>
        <v>3629.37905</v>
      </c>
      <c r="H119" s="119"/>
    </row>
    <row r="120" spans="1:8" s="106" customFormat="1" ht="35.25" customHeight="1">
      <c r="A120" s="60" t="s">
        <v>202</v>
      </c>
      <c r="B120" s="22" t="s">
        <v>161</v>
      </c>
      <c r="C120" s="22" t="s">
        <v>181</v>
      </c>
      <c r="D120" s="22" t="s">
        <v>20</v>
      </c>
      <c r="E120" s="22" t="s">
        <v>170</v>
      </c>
      <c r="F120" s="181">
        <f t="shared" si="2"/>
        <v>162.835</v>
      </c>
      <c r="G120" s="119">
        <f>G121</f>
        <v>162.835</v>
      </c>
      <c r="H120" s="119"/>
    </row>
    <row r="121" spans="1:8" s="106" customFormat="1" ht="49.5" customHeight="1">
      <c r="A121" s="94" t="s">
        <v>203</v>
      </c>
      <c r="B121" s="22" t="s">
        <v>161</v>
      </c>
      <c r="C121" s="22" t="s">
        <v>181</v>
      </c>
      <c r="D121" s="22" t="s">
        <v>20</v>
      </c>
      <c r="E121" s="22" t="s">
        <v>204</v>
      </c>
      <c r="F121" s="181">
        <f>G121+H121</f>
        <v>162.835</v>
      </c>
      <c r="G121" s="119">
        <f>178.03-60+44.805</f>
        <v>162.835</v>
      </c>
      <c r="H121" s="119"/>
    </row>
    <row r="122" spans="1:8" s="27" customFormat="1" ht="15.75" customHeight="1">
      <c r="A122" s="64" t="s">
        <v>211</v>
      </c>
      <c r="B122" s="61" t="s">
        <v>161</v>
      </c>
      <c r="C122" s="61" t="s">
        <v>181</v>
      </c>
      <c r="D122" s="61" t="s">
        <v>26</v>
      </c>
      <c r="E122" s="61" t="s">
        <v>432</v>
      </c>
      <c r="F122" s="180">
        <f>G122+H122</f>
        <v>18.397959999999998</v>
      </c>
      <c r="G122" s="120">
        <f>G123</f>
        <v>18.397959999999998</v>
      </c>
      <c r="H122" s="120">
        <f>H123</f>
        <v>0</v>
      </c>
    </row>
    <row r="123" spans="1:8" ht="15.75" customHeight="1">
      <c r="A123" s="60" t="s">
        <v>207</v>
      </c>
      <c r="B123" s="22" t="s">
        <v>161</v>
      </c>
      <c r="C123" s="22" t="s">
        <v>181</v>
      </c>
      <c r="D123" s="22" t="s">
        <v>26</v>
      </c>
      <c r="E123" s="22" t="s">
        <v>208</v>
      </c>
      <c r="F123" s="181">
        <f>G123+H123</f>
        <v>18.397959999999998</v>
      </c>
      <c r="G123" s="119">
        <f>G124</f>
        <v>18.397959999999998</v>
      </c>
      <c r="H123" s="119">
        <f>H124</f>
        <v>0</v>
      </c>
    </row>
    <row r="124" spans="1:8" ht="15.75" customHeight="1">
      <c r="A124" s="60" t="s">
        <v>211</v>
      </c>
      <c r="B124" s="22" t="s">
        <v>161</v>
      </c>
      <c r="C124" s="22" t="s">
        <v>181</v>
      </c>
      <c r="D124" s="22" t="s">
        <v>26</v>
      </c>
      <c r="E124" s="22" t="s">
        <v>212</v>
      </c>
      <c r="F124" s="181">
        <f>G124+H124</f>
        <v>18.397959999999998</v>
      </c>
      <c r="G124" s="119">
        <f>2+2+1.45201+50+1.64595-38.7</f>
        <v>18.397959999999998</v>
      </c>
      <c r="H124" s="119"/>
    </row>
    <row r="125" spans="1:8" s="111" customFormat="1" ht="56.25" customHeight="1">
      <c r="A125" s="64" t="s">
        <v>390</v>
      </c>
      <c r="B125" s="61" t="s">
        <v>161</v>
      </c>
      <c r="C125" s="61" t="s">
        <v>181</v>
      </c>
      <c r="D125" s="61" t="s">
        <v>27</v>
      </c>
      <c r="E125" s="61" t="s">
        <v>432</v>
      </c>
      <c r="F125" s="180">
        <f t="shared" si="2"/>
        <v>292</v>
      </c>
      <c r="G125" s="120">
        <f>G126</f>
        <v>292</v>
      </c>
      <c r="H125" s="120">
        <f>H127</f>
        <v>0</v>
      </c>
    </row>
    <row r="126" spans="1:8" s="106" customFormat="1" ht="35.25" customHeight="1">
      <c r="A126" s="60" t="s">
        <v>202</v>
      </c>
      <c r="B126" s="22" t="s">
        <v>161</v>
      </c>
      <c r="C126" s="22" t="s">
        <v>181</v>
      </c>
      <c r="D126" s="22" t="s">
        <v>27</v>
      </c>
      <c r="E126" s="22" t="s">
        <v>170</v>
      </c>
      <c r="F126" s="181">
        <f t="shared" si="2"/>
        <v>292</v>
      </c>
      <c r="G126" s="119">
        <f>G127</f>
        <v>292</v>
      </c>
      <c r="H126" s="119"/>
    </row>
    <row r="127" spans="1:8" s="106" customFormat="1" ht="49.5" customHeight="1">
      <c r="A127" s="94" t="s">
        <v>203</v>
      </c>
      <c r="B127" s="22" t="s">
        <v>161</v>
      </c>
      <c r="C127" s="22" t="s">
        <v>181</v>
      </c>
      <c r="D127" s="22" t="s">
        <v>27</v>
      </c>
      <c r="E127" s="22" t="s">
        <v>204</v>
      </c>
      <c r="F127" s="181">
        <f t="shared" si="2"/>
        <v>292</v>
      </c>
      <c r="G127" s="119">
        <f>280+12</f>
        <v>292</v>
      </c>
      <c r="H127" s="119"/>
    </row>
    <row r="128" spans="1:8" ht="16.5" customHeight="1">
      <c r="A128" s="87" t="s">
        <v>541</v>
      </c>
      <c r="B128" s="61" t="s">
        <v>161</v>
      </c>
      <c r="C128" s="61" t="s">
        <v>181</v>
      </c>
      <c r="D128" s="61" t="s">
        <v>542</v>
      </c>
      <c r="E128" s="61" t="s">
        <v>432</v>
      </c>
      <c r="F128" s="180">
        <f aca="true" t="shared" si="3" ref="F128:F137">G128</f>
        <v>1433.9</v>
      </c>
      <c r="G128" s="120">
        <f>G129+G131</f>
        <v>1433.9</v>
      </c>
      <c r="H128" s="120"/>
    </row>
    <row r="129" spans="1:8" s="106" customFormat="1" ht="34.5" customHeight="1">
      <c r="A129" s="60" t="s">
        <v>202</v>
      </c>
      <c r="B129" s="22" t="s">
        <v>161</v>
      </c>
      <c r="C129" s="22" t="s">
        <v>181</v>
      </c>
      <c r="D129" s="22" t="s">
        <v>542</v>
      </c>
      <c r="E129" s="22" t="s">
        <v>170</v>
      </c>
      <c r="F129" s="181">
        <f t="shared" si="3"/>
        <v>1433.9</v>
      </c>
      <c r="G129" s="119">
        <f>G130</f>
        <v>1433.9</v>
      </c>
      <c r="H129" s="119"/>
    </row>
    <row r="130" spans="1:8" s="106" customFormat="1" ht="49.5" customHeight="1">
      <c r="A130" s="94" t="s">
        <v>203</v>
      </c>
      <c r="B130" s="22" t="s">
        <v>161</v>
      </c>
      <c r="C130" s="22" t="s">
        <v>181</v>
      </c>
      <c r="D130" s="22" t="s">
        <v>542</v>
      </c>
      <c r="E130" s="22" t="s">
        <v>204</v>
      </c>
      <c r="F130" s="181">
        <f t="shared" si="3"/>
        <v>1433.9</v>
      </c>
      <c r="G130" s="119">
        <f>1275.2+38.7+120</f>
        <v>1433.9</v>
      </c>
      <c r="H130" s="119"/>
    </row>
    <row r="131" spans="1:8" ht="21.75" customHeight="1" hidden="1">
      <c r="A131" s="60" t="s">
        <v>207</v>
      </c>
      <c r="B131" s="22" t="s">
        <v>161</v>
      </c>
      <c r="C131" s="22" t="s">
        <v>181</v>
      </c>
      <c r="D131" s="22" t="s">
        <v>542</v>
      </c>
      <c r="E131" s="22" t="s">
        <v>208</v>
      </c>
      <c r="F131" s="181">
        <f t="shared" si="3"/>
        <v>0</v>
      </c>
      <c r="G131" s="119">
        <f>G132</f>
        <v>0</v>
      </c>
      <c r="H131" s="119"/>
    </row>
    <row r="132" spans="1:8" ht="21" customHeight="1" hidden="1">
      <c r="A132" s="115" t="s">
        <v>205</v>
      </c>
      <c r="B132" s="22" t="s">
        <v>161</v>
      </c>
      <c r="C132" s="22" t="s">
        <v>181</v>
      </c>
      <c r="D132" s="22" t="s">
        <v>542</v>
      </c>
      <c r="E132" s="22" t="s">
        <v>206</v>
      </c>
      <c r="F132" s="181">
        <f t="shared" si="3"/>
        <v>0</v>
      </c>
      <c r="G132" s="119"/>
      <c r="H132" s="119"/>
    </row>
    <row r="133" spans="1:8" s="27" customFormat="1" ht="18" customHeight="1" hidden="1">
      <c r="A133" s="319" t="s">
        <v>575</v>
      </c>
      <c r="B133" s="61" t="s">
        <v>161</v>
      </c>
      <c r="C133" s="61" t="s">
        <v>181</v>
      </c>
      <c r="D133" s="61" t="s">
        <v>576</v>
      </c>
      <c r="E133" s="61" t="s">
        <v>432</v>
      </c>
      <c r="F133" s="180">
        <f t="shared" si="3"/>
        <v>0</v>
      </c>
      <c r="G133" s="120">
        <f>G135+G136</f>
        <v>0</v>
      </c>
      <c r="H133" s="120"/>
    </row>
    <row r="134" spans="1:8" s="27" customFormat="1" ht="36.75" customHeight="1" hidden="1">
      <c r="A134" s="60" t="s">
        <v>202</v>
      </c>
      <c r="B134" s="22" t="s">
        <v>161</v>
      </c>
      <c r="C134" s="22" t="s">
        <v>181</v>
      </c>
      <c r="D134" s="22" t="s">
        <v>576</v>
      </c>
      <c r="E134" s="22" t="s">
        <v>170</v>
      </c>
      <c r="F134" s="181">
        <f t="shared" si="3"/>
        <v>0</v>
      </c>
      <c r="G134" s="119">
        <f>G135</f>
        <v>0</v>
      </c>
      <c r="H134" s="120"/>
    </row>
    <row r="135" spans="1:8" ht="48.75" customHeight="1" hidden="1">
      <c r="A135" s="94" t="s">
        <v>203</v>
      </c>
      <c r="B135" s="22" t="s">
        <v>161</v>
      </c>
      <c r="C135" s="22" t="s">
        <v>181</v>
      </c>
      <c r="D135" s="22" t="s">
        <v>576</v>
      </c>
      <c r="E135" s="22" t="s">
        <v>204</v>
      </c>
      <c r="F135" s="181">
        <f t="shared" si="3"/>
        <v>0</v>
      </c>
      <c r="G135" s="119"/>
      <c r="H135" s="119"/>
    </row>
    <row r="136" spans="1:8" ht="21" customHeight="1" hidden="1">
      <c r="A136" s="60" t="s">
        <v>207</v>
      </c>
      <c r="B136" s="22" t="s">
        <v>161</v>
      </c>
      <c r="C136" s="22" t="s">
        <v>181</v>
      </c>
      <c r="D136" s="22" t="s">
        <v>576</v>
      </c>
      <c r="E136" s="22" t="s">
        <v>208</v>
      </c>
      <c r="F136" s="181">
        <f t="shared" si="3"/>
        <v>0</v>
      </c>
      <c r="G136" s="119">
        <f>G137</f>
        <v>0</v>
      </c>
      <c r="H136" s="119"/>
    </row>
    <row r="137" spans="1:8" ht="15.75" customHeight="1" hidden="1">
      <c r="A137" s="115" t="s">
        <v>205</v>
      </c>
      <c r="B137" s="22" t="s">
        <v>161</v>
      </c>
      <c r="C137" s="22" t="s">
        <v>181</v>
      </c>
      <c r="D137" s="22" t="s">
        <v>576</v>
      </c>
      <c r="E137" s="22" t="s">
        <v>206</v>
      </c>
      <c r="F137" s="181">
        <f t="shared" si="3"/>
        <v>0</v>
      </c>
      <c r="G137" s="119"/>
      <c r="H137" s="119"/>
    </row>
    <row r="138" spans="1:9" s="151" customFormat="1" ht="81" customHeight="1">
      <c r="A138" s="116" t="s">
        <v>590</v>
      </c>
      <c r="B138" s="107" t="s">
        <v>161</v>
      </c>
      <c r="C138" s="107" t="s">
        <v>181</v>
      </c>
      <c r="D138" s="107" t="s">
        <v>338</v>
      </c>
      <c r="E138" s="107" t="s">
        <v>432</v>
      </c>
      <c r="F138" s="183">
        <f>G138+H138</f>
        <v>899.07583</v>
      </c>
      <c r="G138" s="184">
        <v>0</v>
      </c>
      <c r="H138" s="184">
        <f>H139</f>
        <v>899.07583</v>
      </c>
      <c r="I138" s="151">
        <v>904.36624</v>
      </c>
    </row>
    <row r="139" spans="1:9" ht="38.25" customHeight="1">
      <c r="A139" s="60" t="s">
        <v>531</v>
      </c>
      <c r="B139" s="22" t="s">
        <v>161</v>
      </c>
      <c r="C139" s="22" t="s">
        <v>181</v>
      </c>
      <c r="D139" s="22" t="s">
        <v>16</v>
      </c>
      <c r="E139" s="22" t="s">
        <v>432</v>
      </c>
      <c r="F139" s="181">
        <f aca="true" t="shared" si="4" ref="F139:F147">G139+H139</f>
        <v>899.07583</v>
      </c>
      <c r="G139" s="119"/>
      <c r="H139" s="119">
        <f>H140</f>
        <v>899.07583</v>
      </c>
      <c r="I139" s="105"/>
    </row>
    <row r="140" spans="1:11" s="106" customFormat="1" ht="45.75" customHeight="1">
      <c r="A140" s="60" t="s">
        <v>165</v>
      </c>
      <c r="B140" s="22" t="s">
        <v>161</v>
      </c>
      <c r="C140" s="22" t="s">
        <v>181</v>
      </c>
      <c r="D140" s="22" t="s">
        <v>17</v>
      </c>
      <c r="E140" s="22" t="s">
        <v>432</v>
      </c>
      <c r="F140" s="181">
        <f t="shared" si="4"/>
        <v>899.07583</v>
      </c>
      <c r="G140" s="119"/>
      <c r="H140" s="119">
        <f>H141+H143</f>
        <v>899.07583</v>
      </c>
      <c r="I140" s="109"/>
      <c r="J140" s="109"/>
      <c r="K140" s="108"/>
    </row>
    <row r="141" spans="1:9" ht="91.5" customHeight="1">
      <c r="A141" s="60" t="s">
        <v>199</v>
      </c>
      <c r="B141" s="22" t="s">
        <v>161</v>
      </c>
      <c r="C141" s="22" t="s">
        <v>181</v>
      </c>
      <c r="D141" s="22" t="s">
        <v>591</v>
      </c>
      <c r="E141" s="22" t="s">
        <v>166</v>
      </c>
      <c r="F141" s="181">
        <f t="shared" si="4"/>
        <v>532.3799</v>
      </c>
      <c r="G141" s="119">
        <v>0</v>
      </c>
      <c r="H141" s="119">
        <f>H142</f>
        <v>532.3799</v>
      </c>
      <c r="I141" s="105"/>
    </row>
    <row r="142" spans="1:8" ht="32.25" customHeight="1">
      <c r="A142" s="60" t="s">
        <v>201</v>
      </c>
      <c r="B142" s="22" t="s">
        <v>161</v>
      </c>
      <c r="C142" s="22" t="s">
        <v>181</v>
      </c>
      <c r="D142" s="22" t="s">
        <v>591</v>
      </c>
      <c r="E142" s="22" t="s">
        <v>200</v>
      </c>
      <c r="F142" s="181">
        <f t="shared" si="4"/>
        <v>532.3799</v>
      </c>
      <c r="G142" s="119"/>
      <c r="H142" s="119">
        <f>312.4799+219.9</f>
        <v>532.3799</v>
      </c>
    </row>
    <row r="143" spans="1:8" ht="37.5" customHeight="1">
      <c r="A143" s="60" t="s">
        <v>202</v>
      </c>
      <c r="B143" s="22" t="s">
        <v>161</v>
      </c>
      <c r="C143" s="22" t="s">
        <v>181</v>
      </c>
      <c r="D143" s="22" t="s">
        <v>591</v>
      </c>
      <c r="E143" s="22" t="s">
        <v>170</v>
      </c>
      <c r="F143" s="181">
        <f t="shared" si="4"/>
        <v>366.69593</v>
      </c>
      <c r="G143" s="119">
        <v>0</v>
      </c>
      <c r="H143" s="119">
        <f>H144</f>
        <v>366.69593</v>
      </c>
    </row>
    <row r="144" spans="1:10" s="106" customFormat="1" ht="49.5" customHeight="1">
      <c r="A144" s="94" t="s">
        <v>203</v>
      </c>
      <c r="B144" s="22" t="s">
        <v>161</v>
      </c>
      <c r="C144" s="22" t="s">
        <v>181</v>
      </c>
      <c r="D144" s="22" t="s">
        <v>591</v>
      </c>
      <c r="E144" s="22" t="s">
        <v>204</v>
      </c>
      <c r="F144" s="181">
        <f t="shared" si="4"/>
        <v>366.69593</v>
      </c>
      <c r="G144" s="119"/>
      <c r="H144" s="119">
        <f>47.685+300+7.14616-128.39895-219.9+365.45389-5.29017</f>
        <v>366.69593</v>
      </c>
      <c r="J144" s="109"/>
    </row>
    <row r="145" spans="1:10" s="106" customFormat="1" ht="45.75" customHeight="1">
      <c r="A145" s="87" t="s">
        <v>799</v>
      </c>
      <c r="B145" s="61" t="s">
        <v>161</v>
      </c>
      <c r="C145" s="61" t="s">
        <v>181</v>
      </c>
      <c r="D145" s="61" t="s">
        <v>800</v>
      </c>
      <c r="E145" s="61" t="s">
        <v>432</v>
      </c>
      <c r="F145" s="180">
        <f t="shared" si="4"/>
        <v>48</v>
      </c>
      <c r="G145" s="120">
        <f>G146</f>
        <v>48</v>
      </c>
      <c r="H145" s="120"/>
      <c r="J145" s="109"/>
    </row>
    <row r="146" spans="1:10" s="106" customFormat="1" ht="35.25" customHeight="1">
      <c r="A146" s="60" t="s">
        <v>202</v>
      </c>
      <c r="B146" s="22" t="s">
        <v>161</v>
      </c>
      <c r="C146" s="22" t="s">
        <v>181</v>
      </c>
      <c r="D146" s="22" t="s">
        <v>800</v>
      </c>
      <c r="E146" s="22" t="s">
        <v>170</v>
      </c>
      <c r="F146" s="181">
        <f t="shared" si="4"/>
        <v>48</v>
      </c>
      <c r="G146" s="119">
        <f>G147</f>
        <v>48</v>
      </c>
      <c r="H146" s="119"/>
      <c r="J146" s="109"/>
    </row>
    <row r="147" spans="1:10" s="106" customFormat="1" ht="45" customHeight="1">
      <c r="A147" s="94" t="s">
        <v>203</v>
      </c>
      <c r="B147" s="22" t="s">
        <v>161</v>
      </c>
      <c r="C147" s="22" t="s">
        <v>181</v>
      </c>
      <c r="D147" s="22" t="s">
        <v>800</v>
      </c>
      <c r="E147" s="22" t="s">
        <v>204</v>
      </c>
      <c r="F147" s="181">
        <f t="shared" si="4"/>
        <v>48</v>
      </c>
      <c r="G147" s="119">
        <v>48</v>
      </c>
      <c r="H147" s="119"/>
      <c r="J147" s="109"/>
    </row>
    <row r="148" spans="1:8" s="111" customFormat="1" ht="50.25" customHeight="1">
      <c r="A148" s="64" t="s">
        <v>496</v>
      </c>
      <c r="B148" s="61" t="s">
        <v>161</v>
      </c>
      <c r="C148" s="61" t="s">
        <v>181</v>
      </c>
      <c r="D148" s="61" t="s">
        <v>37</v>
      </c>
      <c r="E148" s="61" t="s">
        <v>432</v>
      </c>
      <c r="F148" s="180">
        <f t="shared" si="2"/>
        <v>7432.83168</v>
      </c>
      <c r="G148" s="120">
        <f>G149+G152+G160+G163</f>
        <v>502.83168</v>
      </c>
      <c r="H148" s="120">
        <f>H152+H163</f>
        <v>6930</v>
      </c>
    </row>
    <row r="149" spans="1:8" s="112" customFormat="1" ht="35.25" customHeight="1" hidden="1">
      <c r="A149" s="65" t="s">
        <v>39</v>
      </c>
      <c r="B149" s="22" t="s">
        <v>161</v>
      </c>
      <c r="C149" s="22" t="s">
        <v>181</v>
      </c>
      <c r="D149" s="10" t="s">
        <v>38</v>
      </c>
      <c r="E149" s="22" t="s">
        <v>432</v>
      </c>
      <c r="F149" s="181">
        <f t="shared" si="2"/>
        <v>0</v>
      </c>
      <c r="G149" s="119">
        <f>G150</f>
        <v>0</v>
      </c>
      <c r="H149" s="189"/>
    </row>
    <row r="150" spans="1:8" s="106" customFormat="1" ht="39" customHeight="1" hidden="1">
      <c r="A150" s="60" t="s">
        <v>202</v>
      </c>
      <c r="B150" s="22" t="s">
        <v>161</v>
      </c>
      <c r="C150" s="22" t="s">
        <v>181</v>
      </c>
      <c r="D150" s="10" t="s">
        <v>40</v>
      </c>
      <c r="E150" s="22" t="s">
        <v>170</v>
      </c>
      <c r="F150" s="181">
        <f t="shared" si="2"/>
        <v>0</v>
      </c>
      <c r="G150" s="119">
        <f>G151</f>
        <v>0</v>
      </c>
      <c r="H150" s="119"/>
    </row>
    <row r="151" spans="1:8" s="106" customFormat="1" ht="47.25" customHeight="1" hidden="1">
      <c r="A151" s="94" t="s">
        <v>203</v>
      </c>
      <c r="B151" s="22" t="s">
        <v>161</v>
      </c>
      <c r="C151" s="22" t="s">
        <v>181</v>
      </c>
      <c r="D151" s="10" t="s">
        <v>41</v>
      </c>
      <c r="E151" s="22" t="s">
        <v>204</v>
      </c>
      <c r="F151" s="181">
        <f t="shared" si="2"/>
        <v>0</v>
      </c>
      <c r="G151" s="119"/>
      <c r="H151" s="119"/>
    </row>
    <row r="152" spans="1:8" s="106" customFormat="1" ht="36" customHeight="1">
      <c r="A152" s="221" t="s">
        <v>313</v>
      </c>
      <c r="B152" s="22" t="s">
        <v>161</v>
      </c>
      <c r="C152" s="22" t="s">
        <v>181</v>
      </c>
      <c r="D152" s="10" t="s">
        <v>55</v>
      </c>
      <c r="E152" s="22" t="s">
        <v>432</v>
      </c>
      <c r="F152" s="181">
        <f>F153</f>
        <v>6954.83168</v>
      </c>
      <c r="G152" s="119">
        <f>G153</f>
        <v>24.83168</v>
      </c>
      <c r="H152" s="119">
        <f>H153</f>
        <v>6930</v>
      </c>
    </row>
    <row r="153" spans="1:12" s="110" customFormat="1" ht="63.75" customHeight="1">
      <c r="A153" s="64" t="s">
        <v>726</v>
      </c>
      <c r="B153" s="61" t="s">
        <v>161</v>
      </c>
      <c r="C153" s="61" t="s">
        <v>181</v>
      </c>
      <c r="D153" s="61" t="s">
        <v>338</v>
      </c>
      <c r="E153" s="61" t="s">
        <v>432</v>
      </c>
      <c r="F153" s="180">
        <f>G153+H153</f>
        <v>6954.83168</v>
      </c>
      <c r="G153" s="120">
        <f>G157</f>
        <v>24.83168</v>
      </c>
      <c r="H153" s="120">
        <f>H154</f>
        <v>6930</v>
      </c>
      <c r="I153" s="66"/>
      <c r="J153" s="66"/>
      <c r="K153" s="66"/>
      <c r="L153" s="66"/>
    </row>
    <row r="154" spans="1:12" s="110" customFormat="1" ht="94.5" customHeight="1">
      <c r="A154" s="60" t="s">
        <v>744</v>
      </c>
      <c r="B154" s="22" t="s">
        <v>161</v>
      </c>
      <c r="C154" s="22" t="s">
        <v>181</v>
      </c>
      <c r="D154" s="22" t="s">
        <v>733</v>
      </c>
      <c r="E154" s="22" t="s">
        <v>432</v>
      </c>
      <c r="F154" s="181">
        <f aca="true" t="shared" si="5" ref="F154:F159">G154+H154</f>
        <v>6930</v>
      </c>
      <c r="G154" s="119"/>
      <c r="H154" s="119">
        <f>H155</f>
        <v>6930</v>
      </c>
      <c r="I154" s="66"/>
      <c r="J154" s="66"/>
      <c r="K154" s="66"/>
      <c r="L154" s="66"/>
    </row>
    <row r="155" spans="1:12" s="110" customFormat="1" ht="49.5" customHeight="1">
      <c r="A155" s="94" t="s">
        <v>631</v>
      </c>
      <c r="B155" s="22" t="s">
        <v>161</v>
      </c>
      <c r="C155" s="22" t="s">
        <v>181</v>
      </c>
      <c r="D155" s="22" t="s">
        <v>733</v>
      </c>
      <c r="E155" s="22" t="s">
        <v>632</v>
      </c>
      <c r="F155" s="181">
        <f t="shared" si="5"/>
        <v>6930</v>
      </c>
      <c r="G155" s="119"/>
      <c r="H155" s="119">
        <f>H156</f>
        <v>6930</v>
      </c>
      <c r="I155" s="66"/>
      <c r="J155" s="66"/>
      <c r="K155" s="66"/>
      <c r="L155" s="66"/>
    </row>
    <row r="156" spans="1:12" s="110" customFormat="1" ht="16.5" customHeight="1">
      <c r="A156" s="94" t="s">
        <v>633</v>
      </c>
      <c r="B156" s="22" t="s">
        <v>161</v>
      </c>
      <c r="C156" s="22" t="s">
        <v>181</v>
      </c>
      <c r="D156" s="22" t="s">
        <v>733</v>
      </c>
      <c r="E156" s="22" t="s">
        <v>634</v>
      </c>
      <c r="F156" s="181">
        <f t="shared" si="5"/>
        <v>6930</v>
      </c>
      <c r="G156" s="119"/>
      <c r="H156" s="119">
        <v>6930</v>
      </c>
      <c r="I156" s="66"/>
      <c r="J156" s="66"/>
      <c r="K156" s="66"/>
      <c r="L156" s="66"/>
    </row>
    <row r="157" spans="1:12" s="110" customFormat="1" ht="96" customHeight="1">
      <c r="A157" s="60" t="s">
        <v>745</v>
      </c>
      <c r="B157" s="22" t="s">
        <v>161</v>
      </c>
      <c r="C157" s="22" t="s">
        <v>181</v>
      </c>
      <c r="D157" s="22" t="s">
        <v>785</v>
      </c>
      <c r="E157" s="22" t="s">
        <v>432</v>
      </c>
      <c r="F157" s="181">
        <f t="shared" si="5"/>
        <v>24.83168</v>
      </c>
      <c r="G157" s="119">
        <f>G158</f>
        <v>24.83168</v>
      </c>
      <c r="H157" s="119"/>
      <c r="I157" s="66"/>
      <c r="J157" s="66"/>
      <c r="K157" s="66"/>
      <c r="L157" s="66"/>
    </row>
    <row r="158" spans="1:12" s="110" customFormat="1" ht="50.25" customHeight="1">
      <c r="A158" s="94" t="s">
        <v>631</v>
      </c>
      <c r="B158" s="22" t="s">
        <v>161</v>
      </c>
      <c r="C158" s="22" t="s">
        <v>181</v>
      </c>
      <c r="D158" s="22" t="s">
        <v>785</v>
      </c>
      <c r="E158" s="22" t="s">
        <v>632</v>
      </c>
      <c r="F158" s="181">
        <f t="shared" si="5"/>
        <v>24.83168</v>
      </c>
      <c r="G158" s="119">
        <f>G159</f>
        <v>24.83168</v>
      </c>
      <c r="H158" s="119"/>
      <c r="I158" s="66"/>
      <c r="J158" s="66"/>
      <c r="K158" s="66"/>
      <c r="L158" s="66"/>
    </row>
    <row r="159" spans="1:12" s="110" customFormat="1" ht="18" customHeight="1">
      <c r="A159" s="94" t="s">
        <v>633</v>
      </c>
      <c r="B159" s="22" t="s">
        <v>161</v>
      </c>
      <c r="C159" s="22" t="s">
        <v>181</v>
      </c>
      <c r="D159" s="22" t="s">
        <v>785</v>
      </c>
      <c r="E159" s="22" t="s">
        <v>634</v>
      </c>
      <c r="F159" s="181">
        <f t="shared" si="5"/>
        <v>24.83168</v>
      </c>
      <c r="G159" s="119">
        <f>70-35.17588-9.99244</f>
        <v>24.83168</v>
      </c>
      <c r="H159" s="119"/>
      <c r="I159" s="66"/>
      <c r="J159" s="66"/>
      <c r="K159" s="66"/>
      <c r="L159" s="66"/>
    </row>
    <row r="160" spans="1:12" s="110" customFormat="1" ht="92.25" customHeight="1">
      <c r="A160" s="64" t="s">
        <v>743</v>
      </c>
      <c r="B160" s="61" t="s">
        <v>161</v>
      </c>
      <c r="C160" s="61" t="s">
        <v>181</v>
      </c>
      <c r="D160" s="61" t="s">
        <v>734</v>
      </c>
      <c r="E160" s="61" t="s">
        <v>432</v>
      </c>
      <c r="F160" s="180">
        <f>G160+H160</f>
        <v>395</v>
      </c>
      <c r="G160" s="120">
        <f>G161</f>
        <v>395</v>
      </c>
      <c r="H160" s="120"/>
      <c r="I160" s="66"/>
      <c r="J160" s="66"/>
      <c r="K160" s="66"/>
      <c r="L160" s="66"/>
    </row>
    <row r="161" spans="1:12" s="110" customFormat="1" ht="36" customHeight="1">
      <c r="A161" s="60" t="s">
        <v>202</v>
      </c>
      <c r="B161" s="22" t="s">
        <v>161</v>
      </c>
      <c r="C161" s="22" t="s">
        <v>181</v>
      </c>
      <c r="D161" s="22" t="s">
        <v>734</v>
      </c>
      <c r="E161" s="22" t="s">
        <v>170</v>
      </c>
      <c r="F161" s="181">
        <f>G161+H161</f>
        <v>395</v>
      </c>
      <c r="G161" s="119">
        <f>G162</f>
        <v>395</v>
      </c>
      <c r="H161" s="119"/>
      <c r="I161" s="66"/>
      <c r="J161" s="66"/>
      <c r="K161" s="66"/>
      <c r="L161" s="66"/>
    </row>
    <row r="162" spans="1:12" s="110" customFormat="1" ht="50.25" customHeight="1">
      <c r="A162" s="94" t="s">
        <v>203</v>
      </c>
      <c r="B162" s="22" t="s">
        <v>161</v>
      </c>
      <c r="C162" s="22" t="s">
        <v>181</v>
      </c>
      <c r="D162" s="22" t="s">
        <v>734</v>
      </c>
      <c r="E162" s="22" t="s">
        <v>204</v>
      </c>
      <c r="F162" s="181">
        <f>G162+H162</f>
        <v>395</v>
      </c>
      <c r="G162" s="119">
        <v>395</v>
      </c>
      <c r="H162" s="119"/>
      <c r="I162" s="66"/>
      <c r="J162" s="66"/>
      <c r="K162" s="66"/>
      <c r="L162" s="66"/>
    </row>
    <row r="163" spans="1:8" s="106" customFormat="1" ht="36" customHeight="1">
      <c r="A163" s="65" t="s">
        <v>42</v>
      </c>
      <c r="B163" s="22" t="s">
        <v>161</v>
      </c>
      <c r="C163" s="22" t="s">
        <v>181</v>
      </c>
      <c r="D163" s="22" t="s">
        <v>43</v>
      </c>
      <c r="E163" s="22" t="s">
        <v>432</v>
      </c>
      <c r="F163" s="181">
        <f t="shared" si="2"/>
        <v>83</v>
      </c>
      <c r="G163" s="119">
        <f>G164</f>
        <v>83</v>
      </c>
      <c r="H163" s="119">
        <f>H165</f>
        <v>0</v>
      </c>
    </row>
    <row r="164" spans="1:8" s="106" customFormat="1" ht="34.5" customHeight="1">
      <c r="A164" s="60" t="s">
        <v>202</v>
      </c>
      <c r="B164" s="22" t="s">
        <v>161</v>
      </c>
      <c r="C164" s="22" t="s">
        <v>181</v>
      </c>
      <c r="D164" s="22" t="s">
        <v>736</v>
      </c>
      <c r="E164" s="22" t="s">
        <v>170</v>
      </c>
      <c r="F164" s="181">
        <f t="shared" si="2"/>
        <v>83</v>
      </c>
      <c r="G164" s="119">
        <f>G165</f>
        <v>83</v>
      </c>
      <c r="H164" s="119"/>
    </row>
    <row r="165" spans="1:8" s="106" customFormat="1" ht="48" customHeight="1">
      <c r="A165" s="94" t="s">
        <v>203</v>
      </c>
      <c r="B165" s="22" t="s">
        <v>161</v>
      </c>
      <c r="C165" s="22" t="s">
        <v>181</v>
      </c>
      <c r="D165" s="22" t="s">
        <v>736</v>
      </c>
      <c r="E165" s="22" t="s">
        <v>204</v>
      </c>
      <c r="F165" s="181">
        <f t="shared" si="2"/>
        <v>83</v>
      </c>
      <c r="G165" s="119">
        <v>83</v>
      </c>
      <c r="H165" s="119"/>
    </row>
    <row r="166" spans="1:8" s="111" customFormat="1" ht="63" customHeight="1">
      <c r="A166" s="64" t="s">
        <v>511</v>
      </c>
      <c r="B166" s="61" t="s">
        <v>161</v>
      </c>
      <c r="C166" s="61" t="s">
        <v>181</v>
      </c>
      <c r="D166" s="61" t="s">
        <v>44</v>
      </c>
      <c r="E166" s="61" t="s">
        <v>432</v>
      </c>
      <c r="F166" s="180">
        <f aca="true" t="shared" si="6" ref="F166:F319">G166+H166</f>
        <v>43</v>
      </c>
      <c r="G166" s="120">
        <f>G167</f>
        <v>43</v>
      </c>
      <c r="H166" s="120">
        <f>H168</f>
        <v>0</v>
      </c>
    </row>
    <row r="167" spans="1:8" s="106" customFormat="1" ht="35.25" customHeight="1">
      <c r="A167" s="60" t="s">
        <v>202</v>
      </c>
      <c r="B167" s="22" t="s">
        <v>161</v>
      </c>
      <c r="C167" s="22" t="s">
        <v>181</v>
      </c>
      <c r="D167" s="22" t="s">
        <v>45</v>
      </c>
      <c r="E167" s="22" t="s">
        <v>170</v>
      </c>
      <c r="F167" s="181">
        <f t="shared" si="6"/>
        <v>43</v>
      </c>
      <c r="G167" s="119">
        <f>G168</f>
        <v>43</v>
      </c>
      <c r="H167" s="119"/>
    </row>
    <row r="168" spans="1:8" s="106" customFormat="1" ht="50.25" customHeight="1">
      <c r="A168" s="94" t="s">
        <v>203</v>
      </c>
      <c r="B168" s="22" t="s">
        <v>161</v>
      </c>
      <c r="C168" s="22" t="s">
        <v>181</v>
      </c>
      <c r="D168" s="22" t="s">
        <v>46</v>
      </c>
      <c r="E168" s="22" t="s">
        <v>204</v>
      </c>
      <c r="F168" s="181">
        <f t="shared" si="6"/>
        <v>43</v>
      </c>
      <c r="G168" s="119">
        <f>10-10+43</f>
        <v>43</v>
      </c>
      <c r="H168" s="119"/>
    </row>
    <row r="169" spans="1:8" s="27" customFormat="1" ht="48.75" customHeight="1" hidden="1">
      <c r="A169" s="87" t="s">
        <v>458</v>
      </c>
      <c r="B169" s="61" t="s">
        <v>161</v>
      </c>
      <c r="C169" s="61" t="s">
        <v>181</v>
      </c>
      <c r="D169" s="61" t="s">
        <v>47</v>
      </c>
      <c r="E169" s="61" t="s">
        <v>432</v>
      </c>
      <c r="F169" s="180">
        <f>G169+H169</f>
        <v>0</v>
      </c>
      <c r="G169" s="120">
        <f>G170</f>
        <v>0</v>
      </c>
      <c r="H169" s="120">
        <f>H170</f>
        <v>0</v>
      </c>
    </row>
    <row r="170" spans="1:8" s="7" customFormat="1" ht="34.5" customHeight="1" hidden="1">
      <c r="A170" s="94" t="s">
        <v>202</v>
      </c>
      <c r="B170" s="22" t="s">
        <v>161</v>
      </c>
      <c r="C170" s="22" t="s">
        <v>181</v>
      </c>
      <c r="D170" s="22" t="s">
        <v>523</v>
      </c>
      <c r="E170" s="22" t="s">
        <v>170</v>
      </c>
      <c r="F170" s="181">
        <f>G170+H170</f>
        <v>0</v>
      </c>
      <c r="G170" s="119">
        <f>G171</f>
        <v>0</v>
      </c>
      <c r="H170" s="119">
        <f>H171</f>
        <v>0</v>
      </c>
    </row>
    <row r="171" spans="1:8" s="7" customFormat="1" ht="49.5" customHeight="1" hidden="1">
      <c r="A171" s="94" t="s">
        <v>203</v>
      </c>
      <c r="B171" s="22" t="s">
        <v>161</v>
      </c>
      <c r="C171" s="22" t="s">
        <v>181</v>
      </c>
      <c r="D171" s="22" t="s">
        <v>523</v>
      </c>
      <c r="E171" s="22" t="s">
        <v>204</v>
      </c>
      <c r="F171" s="181">
        <f>G171+H171</f>
        <v>0</v>
      </c>
      <c r="G171" s="119"/>
      <c r="H171" s="119"/>
    </row>
    <row r="172" spans="1:8" s="106" customFormat="1" ht="51" customHeight="1">
      <c r="A172" s="87" t="s">
        <v>592</v>
      </c>
      <c r="B172" s="61" t="s">
        <v>161</v>
      </c>
      <c r="C172" s="61" t="s">
        <v>181</v>
      </c>
      <c r="D172" s="61" t="s">
        <v>593</v>
      </c>
      <c r="E172" s="61" t="s">
        <v>432</v>
      </c>
      <c r="F172" s="180">
        <f t="shared" si="6"/>
        <v>15</v>
      </c>
      <c r="G172" s="120">
        <f>G173</f>
        <v>15</v>
      </c>
      <c r="H172" s="184"/>
    </row>
    <row r="173" spans="1:8" s="106" customFormat="1" ht="49.5" customHeight="1">
      <c r="A173" s="94" t="s">
        <v>594</v>
      </c>
      <c r="B173" s="22" t="s">
        <v>161</v>
      </c>
      <c r="C173" s="22" t="s">
        <v>181</v>
      </c>
      <c r="D173" s="22" t="s">
        <v>595</v>
      </c>
      <c r="E173" s="22" t="s">
        <v>170</v>
      </c>
      <c r="F173" s="181">
        <f t="shared" si="6"/>
        <v>15</v>
      </c>
      <c r="G173" s="119">
        <f>G174</f>
        <v>15</v>
      </c>
      <c r="H173" s="119"/>
    </row>
    <row r="174" spans="1:8" s="106" customFormat="1" ht="18.75" customHeight="1">
      <c r="A174" s="94" t="s">
        <v>596</v>
      </c>
      <c r="B174" s="22" t="s">
        <v>161</v>
      </c>
      <c r="C174" s="22" t="s">
        <v>181</v>
      </c>
      <c r="D174" s="22" t="s">
        <v>597</v>
      </c>
      <c r="E174" s="22" t="s">
        <v>204</v>
      </c>
      <c r="F174" s="181">
        <f t="shared" si="6"/>
        <v>15</v>
      </c>
      <c r="G174" s="119">
        <v>15</v>
      </c>
      <c r="H174" s="119"/>
    </row>
    <row r="175" spans="1:8" s="320" customFormat="1" ht="18" customHeight="1" hidden="1">
      <c r="A175" s="117" t="s">
        <v>394</v>
      </c>
      <c r="B175" s="22" t="s">
        <v>161</v>
      </c>
      <c r="C175" s="22" t="s">
        <v>181</v>
      </c>
      <c r="D175" s="29" t="s">
        <v>338</v>
      </c>
      <c r="E175" s="29" t="s">
        <v>432</v>
      </c>
      <c r="F175" s="186">
        <f>G175+H175</f>
        <v>0</v>
      </c>
      <c r="G175" s="187">
        <f>G176</f>
        <v>0</v>
      </c>
      <c r="H175" s="187">
        <f>H176</f>
        <v>0</v>
      </c>
    </row>
    <row r="176" spans="1:8" s="106" customFormat="1" ht="17.25" customHeight="1" hidden="1">
      <c r="A176" s="60" t="s">
        <v>386</v>
      </c>
      <c r="B176" s="22" t="s">
        <v>161</v>
      </c>
      <c r="C176" s="22" t="s">
        <v>181</v>
      </c>
      <c r="D176" s="22" t="s">
        <v>338</v>
      </c>
      <c r="E176" s="22" t="s">
        <v>432</v>
      </c>
      <c r="F176" s="181">
        <f t="shared" si="6"/>
        <v>0</v>
      </c>
      <c r="G176" s="119">
        <f>G178</f>
        <v>0</v>
      </c>
      <c r="H176" s="119">
        <f>H177</f>
        <v>0</v>
      </c>
    </row>
    <row r="177" spans="1:8" s="106" customFormat="1" ht="79.5" customHeight="1" hidden="1">
      <c r="A177" s="64" t="s">
        <v>577</v>
      </c>
      <c r="B177" s="22" t="s">
        <v>161</v>
      </c>
      <c r="C177" s="22" t="s">
        <v>181</v>
      </c>
      <c r="D177" s="61" t="s">
        <v>560</v>
      </c>
      <c r="E177" s="61" t="s">
        <v>432</v>
      </c>
      <c r="F177" s="180">
        <f t="shared" si="6"/>
        <v>0</v>
      </c>
      <c r="G177" s="120">
        <f>G179</f>
        <v>0</v>
      </c>
      <c r="H177" s="120">
        <f>H178</f>
        <v>0</v>
      </c>
    </row>
    <row r="178" spans="1:8" s="106" customFormat="1" ht="48.75" customHeight="1" hidden="1">
      <c r="A178" s="60" t="s">
        <v>395</v>
      </c>
      <c r="B178" s="22" t="s">
        <v>161</v>
      </c>
      <c r="C178" s="22" t="s">
        <v>181</v>
      </c>
      <c r="D178" s="22" t="s">
        <v>556</v>
      </c>
      <c r="E178" s="22" t="s">
        <v>432</v>
      </c>
      <c r="F178" s="181">
        <f t="shared" si="6"/>
        <v>0</v>
      </c>
      <c r="G178" s="119">
        <f>G180</f>
        <v>0</v>
      </c>
      <c r="H178" s="119">
        <f>H179</f>
        <v>0</v>
      </c>
    </row>
    <row r="179" spans="1:8" s="106" customFormat="1" ht="21" customHeight="1" hidden="1">
      <c r="A179" s="60" t="s">
        <v>213</v>
      </c>
      <c r="B179" s="22" t="s">
        <v>161</v>
      </c>
      <c r="C179" s="22" t="s">
        <v>181</v>
      </c>
      <c r="D179" s="22" t="s">
        <v>556</v>
      </c>
      <c r="E179" s="22" t="s">
        <v>214</v>
      </c>
      <c r="F179" s="181">
        <f t="shared" si="6"/>
        <v>0</v>
      </c>
      <c r="G179" s="119">
        <f>G180</f>
        <v>0</v>
      </c>
      <c r="H179" s="119">
        <f>H180</f>
        <v>0</v>
      </c>
    </row>
    <row r="180" spans="1:8" s="106" customFormat="1" ht="17.25" customHeight="1" hidden="1">
      <c r="A180" s="60" t="s">
        <v>182</v>
      </c>
      <c r="B180" s="22" t="s">
        <v>161</v>
      </c>
      <c r="C180" s="22" t="s">
        <v>181</v>
      </c>
      <c r="D180" s="22" t="s">
        <v>556</v>
      </c>
      <c r="E180" s="22" t="s">
        <v>396</v>
      </c>
      <c r="F180" s="181">
        <f t="shared" si="6"/>
        <v>0</v>
      </c>
      <c r="G180" s="119">
        <v>0</v>
      </c>
      <c r="H180" s="119">
        <v>0</v>
      </c>
    </row>
    <row r="181" spans="1:8" s="320" customFormat="1" ht="48" customHeight="1" hidden="1">
      <c r="A181" s="117" t="s">
        <v>397</v>
      </c>
      <c r="B181" s="22" t="s">
        <v>161</v>
      </c>
      <c r="C181" s="22" t="s">
        <v>181</v>
      </c>
      <c r="D181" s="29" t="s">
        <v>338</v>
      </c>
      <c r="E181" s="29" t="s">
        <v>432</v>
      </c>
      <c r="F181" s="186">
        <f>G181+H181</f>
        <v>0</v>
      </c>
      <c r="G181" s="187">
        <f>G182</f>
        <v>0</v>
      </c>
      <c r="H181" s="187">
        <f>H182</f>
        <v>0</v>
      </c>
    </row>
    <row r="182" spans="1:8" s="106" customFormat="1" ht="50.25" customHeight="1" hidden="1">
      <c r="A182" s="60" t="s">
        <v>398</v>
      </c>
      <c r="B182" s="22" t="s">
        <v>161</v>
      </c>
      <c r="C182" s="22" t="s">
        <v>181</v>
      </c>
      <c r="D182" s="22" t="s">
        <v>338</v>
      </c>
      <c r="E182" s="22" t="s">
        <v>432</v>
      </c>
      <c r="F182" s="181">
        <f t="shared" si="6"/>
        <v>0</v>
      </c>
      <c r="G182" s="119">
        <f>G183</f>
        <v>0</v>
      </c>
      <c r="H182" s="119">
        <f>H183</f>
        <v>0</v>
      </c>
    </row>
    <row r="183" spans="1:8" s="106" customFormat="1" ht="50.25" customHeight="1" hidden="1">
      <c r="A183" s="60" t="s">
        <v>400</v>
      </c>
      <c r="B183" s="22" t="s">
        <v>161</v>
      </c>
      <c r="C183" s="22" t="s">
        <v>181</v>
      </c>
      <c r="D183" s="22" t="s">
        <v>28</v>
      </c>
      <c r="E183" s="22" t="s">
        <v>432</v>
      </c>
      <c r="F183" s="181">
        <f t="shared" si="6"/>
        <v>0</v>
      </c>
      <c r="G183" s="119">
        <f>G185</f>
        <v>0</v>
      </c>
      <c r="H183" s="119">
        <f>H185</f>
        <v>0</v>
      </c>
    </row>
    <row r="184" spans="1:8" s="106" customFormat="1" ht="33.75" customHeight="1" hidden="1">
      <c r="A184" s="60" t="s">
        <v>202</v>
      </c>
      <c r="B184" s="22" t="s">
        <v>161</v>
      </c>
      <c r="C184" s="22" t="s">
        <v>181</v>
      </c>
      <c r="D184" s="22" t="s">
        <v>28</v>
      </c>
      <c r="E184" s="22" t="s">
        <v>170</v>
      </c>
      <c r="F184" s="181">
        <f t="shared" si="6"/>
        <v>0</v>
      </c>
      <c r="G184" s="119">
        <f>G185</f>
        <v>0</v>
      </c>
      <c r="H184" s="119"/>
    </row>
    <row r="185" spans="1:8" s="106" customFormat="1" ht="50.25" customHeight="1" hidden="1">
      <c r="A185" s="94" t="s">
        <v>203</v>
      </c>
      <c r="B185" s="22" t="s">
        <v>161</v>
      </c>
      <c r="C185" s="22" t="s">
        <v>181</v>
      </c>
      <c r="D185" s="22" t="s">
        <v>28</v>
      </c>
      <c r="E185" s="22" t="s">
        <v>204</v>
      </c>
      <c r="F185" s="181">
        <f t="shared" si="6"/>
        <v>0</v>
      </c>
      <c r="G185" s="119">
        <v>0</v>
      </c>
      <c r="H185" s="119"/>
    </row>
    <row r="186" spans="1:8" s="106" customFormat="1" ht="62.25" customHeight="1">
      <c r="A186" s="87" t="s">
        <v>817</v>
      </c>
      <c r="B186" s="61" t="s">
        <v>161</v>
      </c>
      <c r="C186" s="61" t="s">
        <v>181</v>
      </c>
      <c r="D186" s="61" t="s">
        <v>797</v>
      </c>
      <c r="E186" s="61" t="s">
        <v>432</v>
      </c>
      <c r="F186" s="180">
        <f>G186+H186</f>
        <v>3106.391</v>
      </c>
      <c r="G186" s="120"/>
      <c r="H186" s="120">
        <f>H187</f>
        <v>3106.391</v>
      </c>
    </row>
    <row r="187" spans="1:8" s="106" customFormat="1" ht="97.5" customHeight="1">
      <c r="A187" s="60" t="s">
        <v>199</v>
      </c>
      <c r="B187" s="22" t="s">
        <v>161</v>
      </c>
      <c r="C187" s="22" t="s">
        <v>181</v>
      </c>
      <c r="D187" s="22" t="s">
        <v>797</v>
      </c>
      <c r="E187" s="22" t="s">
        <v>166</v>
      </c>
      <c r="F187" s="181">
        <f>G187+H187</f>
        <v>3106.391</v>
      </c>
      <c r="G187" s="119"/>
      <c r="H187" s="119">
        <f>H188</f>
        <v>3106.391</v>
      </c>
    </row>
    <row r="188" spans="1:8" s="106" customFormat="1" ht="37.5" customHeight="1">
      <c r="A188" s="94" t="s">
        <v>201</v>
      </c>
      <c r="B188" s="22" t="s">
        <v>161</v>
      </c>
      <c r="C188" s="22" t="s">
        <v>181</v>
      </c>
      <c r="D188" s="22" t="s">
        <v>797</v>
      </c>
      <c r="E188" s="22" t="s">
        <v>200</v>
      </c>
      <c r="F188" s="181">
        <f>G188+H188</f>
        <v>3106.391</v>
      </c>
      <c r="G188" s="119"/>
      <c r="H188" s="119">
        <v>3106.391</v>
      </c>
    </row>
    <row r="189" spans="1:8" s="106" customFormat="1" ht="79.5" customHeight="1">
      <c r="A189" s="87" t="s">
        <v>814</v>
      </c>
      <c r="B189" s="22" t="s">
        <v>161</v>
      </c>
      <c r="C189" s="22" t="s">
        <v>181</v>
      </c>
      <c r="D189" s="22" t="s">
        <v>798</v>
      </c>
      <c r="E189" s="22" t="s">
        <v>432</v>
      </c>
      <c r="F189" s="181">
        <f>G189</f>
        <v>918</v>
      </c>
      <c r="G189" s="119">
        <f>G190+G192</f>
        <v>918</v>
      </c>
      <c r="H189" s="119"/>
    </row>
    <row r="190" spans="1:8" s="106" customFormat="1" ht="94.5" customHeight="1">
      <c r="A190" s="60" t="s">
        <v>199</v>
      </c>
      <c r="B190" s="22" t="s">
        <v>161</v>
      </c>
      <c r="C190" s="22" t="s">
        <v>181</v>
      </c>
      <c r="D190" s="22" t="s">
        <v>798</v>
      </c>
      <c r="E190" s="22" t="s">
        <v>166</v>
      </c>
      <c r="F190" s="181">
        <f>G190</f>
        <v>268</v>
      </c>
      <c r="G190" s="119">
        <f>G191</f>
        <v>268</v>
      </c>
      <c r="H190" s="119"/>
    </row>
    <row r="191" spans="1:8" s="106" customFormat="1" ht="33" customHeight="1">
      <c r="A191" s="94" t="s">
        <v>201</v>
      </c>
      <c r="B191" s="22" t="s">
        <v>161</v>
      </c>
      <c r="C191" s="22" t="s">
        <v>181</v>
      </c>
      <c r="D191" s="22" t="s">
        <v>798</v>
      </c>
      <c r="E191" s="22" t="s">
        <v>200</v>
      </c>
      <c r="F191" s="181">
        <f>G191</f>
        <v>268</v>
      </c>
      <c r="G191" s="119">
        <v>268</v>
      </c>
      <c r="H191" s="119"/>
    </row>
    <row r="192" spans="1:8" s="106" customFormat="1" ht="37.5" customHeight="1">
      <c r="A192" s="60" t="s">
        <v>202</v>
      </c>
      <c r="B192" s="22" t="s">
        <v>161</v>
      </c>
      <c r="C192" s="22" t="s">
        <v>181</v>
      </c>
      <c r="D192" s="22" t="s">
        <v>798</v>
      </c>
      <c r="E192" s="22" t="s">
        <v>170</v>
      </c>
      <c r="F192" s="181">
        <f>G192</f>
        <v>650</v>
      </c>
      <c r="G192" s="119">
        <f>G193</f>
        <v>650</v>
      </c>
      <c r="H192" s="119"/>
    </row>
    <row r="193" spans="1:8" s="106" customFormat="1" ht="48" customHeight="1">
      <c r="A193" s="94" t="s">
        <v>203</v>
      </c>
      <c r="B193" s="22" t="s">
        <v>161</v>
      </c>
      <c r="C193" s="22" t="s">
        <v>181</v>
      </c>
      <c r="D193" s="22" t="s">
        <v>798</v>
      </c>
      <c r="E193" s="22" t="s">
        <v>204</v>
      </c>
      <c r="F193" s="181">
        <f>G193</f>
        <v>650</v>
      </c>
      <c r="G193" s="119">
        <v>650</v>
      </c>
      <c r="H193" s="119"/>
    </row>
    <row r="194" spans="1:8" s="106" customFormat="1" ht="96" customHeight="1">
      <c r="A194" s="87" t="s">
        <v>815</v>
      </c>
      <c r="B194" s="22" t="s">
        <v>161</v>
      </c>
      <c r="C194" s="22" t="s">
        <v>181</v>
      </c>
      <c r="D194" s="61" t="s">
        <v>816</v>
      </c>
      <c r="E194" s="61" t="s">
        <v>432</v>
      </c>
      <c r="F194" s="180">
        <f aca="true" t="shared" si="7" ref="F194:F201">G194+H194</f>
        <v>646</v>
      </c>
      <c r="G194" s="120"/>
      <c r="H194" s="120">
        <f>H195</f>
        <v>646</v>
      </c>
    </row>
    <row r="195" spans="1:8" s="106" customFormat="1" ht="31.5" customHeight="1">
      <c r="A195" s="60" t="s">
        <v>202</v>
      </c>
      <c r="B195" s="22" t="s">
        <v>161</v>
      </c>
      <c r="C195" s="22" t="s">
        <v>181</v>
      </c>
      <c r="D195" s="22" t="s">
        <v>816</v>
      </c>
      <c r="E195" s="22" t="s">
        <v>170</v>
      </c>
      <c r="F195" s="181">
        <f t="shared" si="7"/>
        <v>646</v>
      </c>
      <c r="G195" s="119"/>
      <c r="H195" s="119">
        <f>H196</f>
        <v>646</v>
      </c>
    </row>
    <row r="196" spans="1:8" s="106" customFormat="1" ht="48" customHeight="1">
      <c r="A196" s="94" t="s">
        <v>203</v>
      </c>
      <c r="B196" s="22" t="s">
        <v>161</v>
      </c>
      <c r="C196" s="22" t="s">
        <v>181</v>
      </c>
      <c r="D196" s="22" t="s">
        <v>816</v>
      </c>
      <c r="E196" s="22" t="s">
        <v>204</v>
      </c>
      <c r="F196" s="181">
        <f t="shared" si="7"/>
        <v>646</v>
      </c>
      <c r="G196" s="119"/>
      <c r="H196" s="119">
        <v>646</v>
      </c>
    </row>
    <row r="197" spans="1:8" s="320" customFormat="1" ht="48" customHeight="1">
      <c r="A197" s="321" t="s">
        <v>397</v>
      </c>
      <c r="B197" s="322" t="s">
        <v>168</v>
      </c>
      <c r="C197" s="29" t="s">
        <v>162</v>
      </c>
      <c r="D197" s="29" t="s">
        <v>338</v>
      </c>
      <c r="E197" s="29" t="s">
        <v>432</v>
      </c>
      <c r="F197" s="186">
        <f t="shared" si="7"/>
        <v>78.602</v>
      </c>
      <c r="G197" s="187">
        <f>G198</f>
        <v>78.602</v>
      </c>
      <c r="H197" s="187">
        <f>H198</f>
        <v>0</v>
      </c>
    </row>
    <row r="198" spans="1:8" ht="50.25" customHeight="1">
      <c r="A198" s="230" t="s">
        <v>398</v>
      </c>
      <c r="B198" s="218" t="s">
        <v>168</v>
      </c>
      <c r="C198" s="218" t="s">
        <v>399</v>
      </c>
      <c r="D198" s="218" t="s">
        <v>338</v>
      </c>
      <c r="E198" s="218" t="s">
        <v>432</v>
      </c>
      <c r="F198" s="229">
        <f t="shared" si="7"/>
        <v>78.602</v>
      </c>
      <c r="G198" s="220">
        <f>G199</f>
        <v>78.602</v>
      </c>
      <c r="H198" s="220">
        <f>H199</f>
        <v>0</v>
      </c>
    </row>
    <row r="199" spans="1:8" ht="83.25" customHeight="1">
      <c r="A199" s="230" t="s">
        <v>830</v>
      </c>
      <c r="B199" s="218" t="s">
        <v>168</v>
      </c>
      <c r="C199" s="218" t="s">
        <v>399</v>
      </c>
      <c r="D199" s="218" t="s">
        <v>831</v>
      </c>
      <c r="E199" s="218" t="s">
        <v>432</v>
      </c>
      <c r="F199" s="229">
        <f t="shared" si="7"/>
        <v>78.602</v>
      </c>
      <c r="G199" s="220">
        <f>G201</f>
        <v>78.602</v>
      </c>
      <c r="H199" s="220">
        <f>H201</f>
        <v>0</v>
      </c>
    </row>
    <row r="200" spans="1:8" ht="33.75" customHeight="1">
      <c r="A200" s="230" t="s">
        <v>202</v>
      </c>
      <c r="B200" s="218" t="s">
        <v>168</v>
      </c>
      <c r="C200" s="218" t="s">
        <v>399</v>
      </c>
      <c r="D200" s="218" t="s">
        <v>831</v>
      </c>
      <c r="E200" s="218" t="s">
        <v>170</v>
      </c>
      <c r="F200" s="229">
        <f t="shared" si="7"/>
        <v>78.602</v>
      </c>
      <c r="G200" s="220">
        <f>G201</f>
        <v>78.602</v>
      </c>
      <c r="H200" s="220"/>
    </row>
    <row r="201" spans="1:8" ht="50.25" customHeight="1">
      <c r="A201" s="231" t="s">
        <v>203</v>
      </c>
      <c r="B201" s="218" t="s">
        <v>168</v>
      </c>
      <c r="C201" s="218" t="s">
        <v>399</v>
      </c>
      <c r="D201" s="218" t="s">
        <v>831</v>
      </c>
      <c r="E201" s="218" t="s">
        <v>204</v>
      </c>
      <c r="F201" s="229">
        <f t="shared" si="7"/>
        <v>78.602</v>
      </c>
      <c r="G201" s="220">
        <v>78.602</v>
      </c>
      <c r="H201" s="220"/>
    </row>
    <row r="202" spans="1:8" s="32" customFormat="1" ht="16.5" customHeight="1">
      <c r="A202" s="117" t="s">
        <v>401</v>
      </c>
      <c r="B202" s="29" t="s">
        <v>172</v>
      </c>
      <c r="C202" s="29" t="s">
        <v>162</v>
      </c>
      <c r="D202" s="29" t="s">
        <v>338</v>
      </c>
      <c r="E202" s="29" t="s">
        <v>432</v>
      </c>
      <c r="F202" s="186">
        <f t="shared" si="6"/>
        <v>25440.03601</v>
      </c>
      <c r="G202" s="187">
        <f>G207+G218+G203+G239</f>
        <v>22163.62501</v>
      </c>
      <c r="H202" s="187">
        <f>H207+H218+H203+H244</f>
        <v>3276.411</v>
      </c>
    </row>
    <row r="203" spans="1:8" s="111" customFormat="1" ht="16.5" customHeight="1">
      <c r="A203" s="64" t="s">
        <v>257</v>
      </c>
      <c r="B203" s="61" t="s">
        <v>172</v>
      </c>
      <c r="C203" s="61" t="s">
        <v>411</v>
      </c>
      <c r="D203" s="61" t="s">
        <v>338</v>
      </c>
      <c r="E203" s="61" t="s">
        <v>432</v>
      </c>
      <c r="F203" s="180">
        <f t="shared" si="6"/>
        <v>273.188</v>
      </c>
      <c r="G203" s="120"/>
      <c r="H203" s="120">
        <f>H204</f>
        <v>273.188</v>
      </c>
    </row>
    <row r="204" spans="1:8" s="106" customFormat="1" ht="108" customHeight="1">
      <c r="A204" s="60" t="s">
        <v>760</v>
      </c>
      <c r="B204" s="22" t="s">
        <v>172</v>
      </c>
      <c r="C204" s="22" t="s">
        <v>411</v>
      </c>
      <c r="D204" s="22" t="s">
        <v>48</v>
      </c>
      <c r="E204" s="22" t="s">
        <v>432</v>
      </c>
      <c r="F204" s="181">
        <f t="shared" si="6"/>
        <v>273.188</v>
      </c>
      <c r="G204" s="119"/>
      <c r="H204" s="119">
        <f>H205</f>
        <v>273.188</v>
      </c>
    </row>
    <row r="205" spans="1:8" s="106" customFormat="1" ht="35.25" customHeight="1">
      <c r="A205" s="60" t="s">
        <v>202</v>
      </c>
      <c r="B205" s="22" t="s">
        <v>172</v>
      </c>
      <c r="C205" s="22" t="s">
        <v>411</v>
      </c>
      <c r="D205" s="22" t="s">
        <v>48</v>
      </c>
      <c r="E205" s="22" t="s">
        <v>170</v>
      </c>
      <c r="F205" s="181">
        <f t="shared" si="6"/>
        <v>273.188</v>
      </c>
      <c r="G205" s="119"/>
      <c r="H205" s="119">
        <f>H206</f>
        <v>273.188</v>
      </c>
    </row>
    <row r="206" spans="1:8" s="106" customFormat="1" ht="48" customHeight="1">
      <c r="A206" s="94" t="s">
        <v>203</v>
      </c>
      <c r="B206" s="22" t="s">
        <v>172</v>
      </c>
      <c r="C206" s="22" t="s">
        <v>411</v>
      </c>
      <c r="D206" s="22" t="s">
        <v>48</v>
      </c>
      <c r="E206" s="22" t="s">
        <v>204</v>
      </c>
      <c r="F206" s="181">
        <f t="shared" si="6"/>
        <v>273.188</v>
      </c>
      <c r="G206" s="119"/>
      <c r="H206" s="119">
        <v>273.188</v>
      </c>
    </row>
    <row r="207" spans="1:8" s="111" customFormat="1" ht="17.25" customHeight="1">
      <c r="A207" s="64" t="s">
        <v>439</v>
      </c>
      <c r="B207" s="61" t="s">
        <v>172</v>
      </c>
      <c r="C207" s="61" t="s">
        <v>402</v>
      </c>
      <c r="D207" s="61" t="s">
        <v>338</v>
      </c>
      <c r="E207" s="61" t="s">
        <v>432</v>
      </c>
      <c r="F207" s="180">
        <f t="shared" si="6"/>
        <v>1911.7439</v>
      </c>
      <c r="G207" s="120">
        <f>G208</f>
        <v>1908.5209</v>
      </c>
      <c r="H207" s="120">
        <f>H209+H215</f>
        <v>3.223</v>
      </c>
    </row>
    <row r="208" spans="1:8" s="111" customFormat="1" ht="96" customHeight="1">
      <c r="A208" s="64" t="s">
        <v>515</v>
      </c>
      <c r="B208" s="61" t="s">
        <v>172</v>
      </c>
      <c r="C208" s="61" t="s">
        <v>402</v>
      </c>
      <c r="D208" s="61" t="s">
        <v>494</v>
      </c>
      <c r="E208" s="61" t="s">
        <v>432</v>
      </c>
      <c r="F208" s="180">
        <f t="shared" si="6"/>
        <v>1908.5209</v>
      </c>
      <c r="G208" s="120">
        <f>G209+G213</f>
        <v>1908.5209</v>
      </c>
      <c r="H208" s="120"/>
    </row>
    <row r="209" spans="1:8" s="106" customFormat="1" ht="18.75" customHeight="1">
      <c r="A209" s="60" t="s">
        <v>440</v>
      </c>
      <c r="B209" s="22" t="s">
        <v>172</v>
      </c>
      <c r="C209" s="22" t="s">
        <v>402</v>
      </c>
      <c r="D209" s="22" t="s">
        <v>516</v>
      </c>
      <c r="E209" s="22" t="s">
        <v>432</v>
      </c>
      <c r="F209" s="181">
        <f t="shared" si="6"/>
        <v>1605.6</v>
      </c>
      <c r="G209" s="119">
        <f>G210</f>
        <v>1605.6</v>
      </c>
      <c r="H209" s="119">
        <f>H210</f>
        <v>0</v>
      </c>
    </row>
    <row r="210" spans="1:8" s="106" customFormat="1" ht="68.25" customHeight="1">
      <c r="A210" s="60" t="s">
        <v>49</v>
      </c>
      <c r="B210" s="22" t="s">
        <v>172</v>
      </c>
      <c r="C210" s="22" t="s">
        <v>402</v>
      </c>
      <c r="D210" s="22" t="s">
        <v>516</v>
      </c>
      <c r="E210" s="22" t="s">
        <v>432</v>
      </c>
      <c r="F210" s="181">
        <f t="shared" si="6"/>
        <v>1605.6</v>
      </c>
      <c r="G210" s="119">
        <f>G211</f>
        <v>1605.6</v>
      </c>
      <c r="H210" s="119">
        <f>H212</f>
        <v>0</v>
      </c>
    </row>
    <row r="211" spans="1:8" s="106" customFormat="1" ht="18.75" customHeight="1">
      <c r="A211" s="60" t="s">
        <v>207</v>
      </c>
      <c r="B211" s="22" t="s">
        <v>172</v>
      </c>
      <c r="C211" s="22" t="s">
        <v>402</v>
      </c>
      <c r="D211" s="22" t="s">
        <v>516</v>
      </c>
      <c r="E211" s="22" t="s">
        <v>208</v>
      </c>
      <c r="F211" s="181">
        <f t="shared" si="6"/>
        <v>1605.6</v>
      </c>
      <c r="G211" s="119">
        <f>G212</f>
        <v>1605.6</v>
      </c>
      <c r="H211" s="119"/>
    </row>
    <row r="212" spans="1:8" s="106" customFormat="1" ht="49.5" customHeight="1">
      <c r="A212" s="60" t="s">
        <v>755</v>
      </c>
      <c r="B212" s="22" t="s">
        <v>172</v>
      </c>
      <c r="C212" s="22" t="s">
        <v>402</v>
      </c>
      <c r="D212" s="22" t="s">
        <v>516</v>
      </c>
      <c r="E212" s="22" t="s">
        <v>481</v>
      </c>
      <c r="F212" s="181">
        <f t="shared" si="6"/>
        <v>1605.6</v>
      </c>
      <c r="G212" s="119">
        <f>1955+39.3-100-270-18.7</f>
        <v>1605.6</v>
      </c>
      <c r="H212" s="119"/>
    </row>
    <row r="213" spans="1:8" s="106" customFormat="1" ht="19.5" customHeight="1">
      <c r="A213" s="94" t="s">
        <v>213</v>
      </c>
      <c r="B213" s="22" t="s">
        <v>172</v>
      </c>
      <c r="C213" s="22" t="s">
        <v>402</v>
      </c>
      <c r="D213" s="22" t="s">
        <v>723</v>
      </c>
      <c r="E213" s="22" t="s">
        <v>214</v>
      </c>
      <c r="F213" s="181">
        <f t="shared" si="6"/>
        <v>302.92089999999996</v>
      </c>
      <c r="G213" s="119">
        <f>G214</f>
        <v>302.92089999999996</v>
      </c>
      <c r="H213" s="119"/>
    </row>
    <row r="214" spans="1:8" s="106" customFormat="1" ht="18" customHeight="1">
      <c r="A214" s="94" t="s">
        <v>320</v>
      </c>
      <c r="B214" s="22" t="s">
        <v>172</v>
      </c>
      <c r="C214" s="22" t="s">
        <v>402</v>
      </c>
      <c r="D214" s="22" t="s">
        <v>723</v>
      </c>
      <c r="E214" s="22" t="s">
        <v>478</v>
      </c>
      <c r="F214" s="181">
        <f t="shared" si="6"/>
        <v>302.92089999999996</v>
      </c>
      <c r="G214" s="119">
        <f>345-39.3-2.7791</f>
        <v>302.92089999999996</v>
      </c>
      <c r="H214" s="119"/>
    </row>
    <row r="215" spans="1:8" s="106" customFormat="1" ht="144" customHeight="1">
      <c r="A215" s="87" t="s">
        <v>598</v>
      </c>
      <c r="B215" s="61" t="s">
        <v>172</v>
      </c>
      <c r="C215" s="61" t="s">
        <v>402</v>
      </c>
      <c r="D215" s="61" t="s">
        <v>338</v>
      </c>
      <c r="E215" s="61" t="s">
        <v>432</v>
      </c>
      <c r="F215" s="180">
        <f>G215+H215</f>
        <v>3.223</v>
      </c>
      <c r="G215" s="120"/>
      <c r="H215" s="120">
        <f>H216</f>
        <v>3.223</v>
      </c>
    </row>
    <row r="216" spans="1:8" s="106" customFormat="1" ht="36.75" customHeight="1">
      <c r="A216" s="60" t="s">
        <v>202</v>
      </c>
      <c r="B216" s="22" t="s">
        <v>172</v>
      </c>
      <c r="C216" s="22" t="s">
        <v>402</v>
      </c>
      <c r="D216" s="22" t="s">
        <v>599</v>
      </c>
      <c r="E216" s="22" t="s">
        <v>170</v>
      </c>
      <c r="F216" s="181">
        <f>G216+H216</f>
        <v>3.223</v>
      </c>
      <c r="G216" s="119"/>
      <c r="H216" s="119">
        <f>H217</f>
        <v>3.223</v>
      </c>
    </row>
    <row r="217" spans="1:8" s="106" customFormat="1" ht="33.75" customHeight="1">
      <c r="A217" s="94" t="s">
        <v>203</v>
      </c>
      <c r="B217" s="22" t="s">
        <v>172</v>
      </c>
      <c r="C217" s="22" t="s">
        <v>402</v>
      </c>
      <c r="D217" s="22" t="s">
        <v>599</v>
      </c>
      <c r="E217" s="22" t="s">
        <v>204</v>
      </c>
      <c r="F217" s="181">
        <f>G217+H217</f>
        <v>3.223</v>
      </c>
      <c r="G217" s="119"/>
      <c r="H217" s="119">
        <v>3.223</v>
      </c>
    </row>
    <row r="218" spans="1:8" s="111" customFormat="1" ht="17.25" customHeight="1">
      <c r="A218" s="64" t="s">
        <v>403</v>
      </c>
      <c r="B218" s="61" t="s">
        <v>172</v>
      </c>
      <c r="C218" s="61" t="s">
        <v>399</v>
      </c>
      <c r="D218" s="61" t="s">
        <v>338</v>
      </c>
      <c r="E218" s="61" t="s">
        <v>432</v>
      </c>
      <c r="F218" s="180">
        <f t="shared" si="6"/>
        <v>23255.10411</v>
      </c>
      <c r="G218" s="120">
        <f>G219+G232</f>
        <v>20255.10411</v>
      </c>
      <c r="H218" s="120">
        <f>H219</f>
        <v>3000</v>
      </c>
    </row>
    <row r="219" spans="1:9" s="111" customFormat="1" ht="94.5" customHeight="1">
      <c r="A219" s="64" t="s">
        <v>515</v>
      </c>
      <c r="B219" s="61" t="s">
        <v>172</v>
      </c>
      <c r="C219" s="61" t="s">
        <v>399</v>
      </c>
      <c r="D219" s="61" t="s">
        <v>494</v>
      </c>
      <c r="E219" s="61" t="s">
        <v>432</v>
      </c>
      <c r="F219" s="180">
        <f t="shared" si="6"/>
        <v>23174.40411</v>
      </c>
      <c r="G219" s="120">
        <f>G220+G223+G227</f>
        <v>20174.40411</v>
      </c>
      <c r="H219" s="120">
        <f>H220+H227</f>
        <v>3000</v>
      </c>
      <c r="I219" s="113"/>
    </row>
    <row r="220" spans="1:9" s="106" customFormat="1" ht="33.75" customHeight="1">
      <c r="A220" s="60" t="s">
        <v>404</v>
      </c>
      <c r="B220" s="22" t="s">
        <v>172</v>
      </c>
      <c r="C220" s="22" t="s">
        <v>399</v>
      </c>
      <c r="D220" s="22" t="s">
        <v>518</v>
      </c>
      <c r="E220" s="22" t="s">
        <v>432</v>
      </c>
      <c r="F220" s="181">
        <f aca="true" t="shared" si="8" ref="F220:F238">G220</f>
        <v>10432.247080000001</v>
      </c>
      <c r="G220" s="119">
        <f>G221</f>
        <v>10432.247080000001</v>
      </c>
      <c r="H220" s="119">
        <f>H222</f>
        <v>0</v>
      </c>
      <c r="I220" s="323"/>
    </row>
    <row r="221" spans="1:8" s="106" customFormat="1" ht="35.25" customHeight="1">
      <c r="A221" s="60" t="s">
        <v>202</v>
      </c>
      <c r="B221" s="22" t="s">
        <v>172</v>
      </c>
      <c r="C221" s="22" t="s">
        <v>399</v>
      </c>
      <c r="D221" s="22" t="s">
        <v>518</v>
      </c>
      <c r="E221" s="22" t="s">
        <v>170</v>
      </c>
      <c r="F221" s="181">
        <f t="shared" si="8"/>
        <v>10432.247080000001</v>
      </c>
      <c r="G221" s="119">
        <f>G222</f>
        <v>10432.247080000001</v>
      </c>
      <c r="H221" s="119"/>
    </row>
    <row r="222" spans="1:8" s="106" customFormat="1" ht="47.25" customHeight="1">
      <c r="A222" s="94" t="s">
        <v>203</v>
      </c>
      <c r="B222" s="22" t="s">
        <v>172</v>
      </c>
      <c r="C222" s="22" t="s">
        <v>399</v>
      </c>
      <c r="D222" s="22" t="s">
        <v>518</v>
      </c>
      <c r="E222" s="22" t="s">
        <v>204</v>
      </c>
      <c r="F222" s="181">
        <f t="shared" si="8"/>
        <v>10432.247080000001</v>
      </c>
      <c r="G222" s="119">
        <f>4876+223.946+5646.60411-30.30303-284</f>
        <v>10432.247080000001</v>
      </c>
      <c r="H222" s="119"/>
    </row>
    <row r="223" spans="1:8" s="106" customFormat="1" ht="22.5" customHeight="1">
      <c r="A223" s="94" t="s">
        <v>213</v>
      </c>
      <c r="B223" s="22" t="s">
        <v>172</v>
      </c>
      <c r="C223" s="22" t="s">
        <v>399</v>
      </c>
      <c r="D223" s="22" t="s">
        <v>517</v>
      </c>
      <c r="E223" s="22" t="s">
        <v>214</v>
      </c>
      <c r="F223" s="181">
        <f t="shared" si="8"/>
        <v>9711.854</v>
      </c>
      <c r="G223" s="119">
        <f>G224+G225+G226</f>
        <v>9711.854</v>
      </c>
      <c r="H223" s="119"/>
    </row>
    <row r="224" spans="1:8" s="106" customFormat="1" ht="15.75" customHeight="1">
      <c r="A224" s="94" t="s">
        <v>320</v>
      </c>
      <c r="B224" s="22" t="s">
        <v>172</v>
      </c>
      <c r="C224" s="22" t="s">
        <v>399</v>
      </c>
      <c r="D224" s="22" t="s">
        <v>517</v>
      </c>
      <c r="E224" s="22" t="s">
        <v>478</v>
      </c>
      <c r="F224" s="181">
        <f t="shared" si="8"/>
        <v>9711.854</v>
      </c>
      <c r="G224" s="119">
        <f>9554-223.946+901.8-520</f>
        <v>9711.854</v>
      </c>
      <c r="H224" s="182"/>
    </row>
    <row r="225" spans="1:8" ht="93" hidden="1">
      <c r="A225" s="94" t="s">
        <v>539</v>
      </c>
      <c r="B225" s="22" t="s">
        <v>172</v>
      </c>
      <c r="C225" s="22" t="s">
        <v>399</v>
      </c>
      <c r="D225" s="22" t="s">
        <v>540</v>
      </c>
      <c r="E225" s="22" t="s">
        <v>478</v>
      </c>
      <c r="F225" s="181">
        <f>G225</f>
        <v>0</v>
      </c>
      <c r="G225" s="119"/>
      <c r="H225" s="182"/>
    </row>
    <row r="226" spans="1:8" ht="108.75" hidden="1">
      <c r="A226" s="94" t="s">
        <v>543</v>
      </c>
      <c r="B226" s="22" t="s">
        <v>172</v>
      </c>
      <c r="C226" s="22" t="s">
        <v>399</v>
      </c>
      <c r="D226" s="22" t="s">
        <v>544</v>
      </c>
      <c r="E226" s="22" t="s">
        <v>478</v>
      </c>
      <c r="F226" s="181">
        <f>G226</f>
        <v>0</v>
      </c>
      <c r="G226" s="119"/>
      <c r="H226" s="182"/>
    </row>
    <row r="227" spans="1:8" ht="35.25" customHeight="1">
      <c r="A227" s="87" t="s">
        <v>769</v>
      </c>
      <c r="B227" s="61" t="s">
        <v>172</v>
      </c>
      <c r="C227" s="61" t="s">
        <v>399</v>
      </c>
      <c r="D227" s="61" t="s">
        <v>494</v>
      </c>
      <c r="E227" s="61" t="s">
        <v>432</v>
      </c>
      <c r="F227" s="180">
        <f>G227+H227</f>
        <v>3030.30303</v>
      </c>
      <c r="G227" s="120">
        <f>G229+G231</f>
        <v>30.30303</v>
      </c>
      <c r="H227" s="120">
        <f>H229+H231</f>
        <v>3000</v>
      </c>
    </row>
    <row r="228" spans="1:8" ht="35.25" customHeight="1">
      <c r="A228" s="60" t="s">
        <v>202</v>
      </c>
      <c r="B228" s="22" t="s">
        <v>172</v>
      </c>
      <c r="C228" s="22" t="s">
        <v>399</v>
      </c>
      <c r="D228" s="22" t="s">
        <v>763</v>
      </c>
      <c r="E228" s="22" t="s">
        <v>170</v>
      </c>
      <c r="F228" s="181">
        <f>G228+H228</f>
        <v>3000</v>
      </c>
      <c r="G228" s="119"/>
      <c r="H228" s="119">
        <f>H229</f>
        <v>3000</v>
      </c>
    </row>
    <row r="229" spans="1:8" ht="46.5">
      <c r="A229" s="94" t="s">
        <v>203</v>
      </c>
      <c r="B229" s="22" t="s">
        <v>172</v>
      </c>
      <c r="C229" s="22" t="s">
        <v>399</v>
      </c>
      <c r="D229" s="22" t="s">
        <v>763</v>
      </c>
      <c r="E229" s="22" t="s">
        <v>204</v>
      </c>
      <c r="F229" s="181">
        <f>G229+H229</f>
        <v>3000</v>
      </c>
      <c r="G229" s="119"/>
      <c r="H229" s="119">
        <v>3000</v>
      </c>
    </row>
    <row r="230" spans="1:8" ht="30.75">
      <c r="A230" s="60" t="s">
        <v>202</v>
      </c>
      <c r="B230" s="22" t="s">
        <v>172</v>
      </c>
      <c r="C230" s="22" t="s">
        <v>399</v>
      </c>
      <c r="D230" s="22" t="s">
        <v>788</v>
      </c>
      <c r="E230" s="22" t="s">
        <v>170</v>
      </c>
      <c r="F230" s="181">
        <f>G230</f>
        <v>30.30303</v>
      </c>
      <c r="G230" s="119">
        <f>G231</f>
        <v>30.30303</v>
      </c>
      <c r="H230" s="119"/>
    </row>
    <row r="231" spans="1:8" ht="46.5">
      <c r="A231" s="94" t="s">
        <v>203</v>
      </c>
      <c r="B231" s="22" t="s">
        <v>172</v>
      </c>
      <c r="C231" s="22" t="s">
        <v>399</v>
      </c>
      <c r="D231" s="22" t="s">
        <v>788</v>
      </c>
      <c r="E231" s="22" t="s">
        <v>204</v>
      </c>
      <c r="F231" s="181">
        <f>G231</f>
        <v>30.30303</v>
      </c>
      <c r="G231" s="119">
        <v>30.30303</v>
      </c>
      <c r="H231" s="182"/>
    </row>
    <row r="232" spans="1:8" s="106" customFormat="1" ht="30.75">
      <c r="A232" s="87" t="s">
        <v>164</v>
      </c>
      <c r="B232" s="61" t="s">
        <v>172</v>
      </c>
      <c r="C232" s="61" t="s">
        <v>399</v>
      </c>
      <c r="D232" s="61" t="s">
        <v>16</v>
      </c>
      <c r="E232" s="61" t="s">
        <v>432</v>
      </c>
      <c r="F232" s="180">
        <f t="shared" si="8"/>
        <v>80.7</v>
      </c>
      <c r="G232" s="120">
        <f>G233</f>
        <v>80.7</v>
      </c>
      <c r="H232" s="194"/>
    </row>
    <row r="233" spans="1:8" s="106" customFormat="1" ht="34.5" customHeight="1">
      <c r="A233" s="94" t="s">
        <v>165</v>
      </c>
      <c r="B233" s="22" t="s">
        <v>172</v>
      </c>
      <c r="C233" s="22" t="s">
        <v>399</v>
      </c>
      <c r="D233" s="22" t="s">
        <v>17</v>
      </c>
      <c r="E233" s="22" t="s">
        <v>432</v>
      </c>
      <c r="F233" s="181">
        <f t="shared" si="8"/>
        <v>80.7</v>
      </c>
      <c r="G233" s="119">
        <f>G234</f>
        <v>80.7</v>
      </c>
      <c r="H233" s="182"/>
    </row>
    <row r="234" spans="1:8" s="106" customFormat="1" ht="20.25" customHeight="1">
      <c r="A234" s="60" t="s">
        <v>600</v>
      </c>
      <c r="B234" s="22" t="s">
        <v>172</v>
      </c>
      <c r="C234" s="22" t="s">
        <v>399</v>
      </c>
      <c r="D234" s="10" t="s">
        <v>601</v>
      </c>
      <c r="E234" s="22" t="s">
        <v>432</v>
      </c>
      <c r="F234" s="181">
        <f t="shared" si="8"/>
        <v>80.7</v>
      </c>
      <c r="G234" s="119">
        <f>G235+G237</f>
        <v>80.7</v>
      </c>
      <c r="H234" s="182"/>
    </row>
    <row r="235" spans="1:10" ht="24" customHeight="1" hidden="1">
      <c r="A235" s="60" t="s">
        <v>202</v>
      </c>
      <c r="B235" s="22" t="s">
        <v>172</v>
      </c>
      <c r="C235" s="22" t="s">
        <v>399</v>
      </c>
      <c r="D235" s="10" t="s">
        <v>601</v>
      </c>
      <c r="E235" s="22" t="s">
        <v>170</v>
      </c>
      <c r="F235" s="181">
        <f t="shared" si="8"/>
        <v>0</v>
      </c>
      <c r="G235" s="119">
        <f>G236</f>
        <v>0</v>
      </c>
      <c r="H235" s="182"/>
      <c r="I235" s="80">
        <f>G236+G222</f>
        <v>10432.247080000001</v>
      </c>
      <c r="J235" s="1" t="s">
        <v>526</v>
      </c>
    </row>
    <row r="236" spans="1:10" ht="29.25" customHeight="1" hidden="1">
      <c r="A236" s="94" t="s">
        <v>203</v>
      </c>
      <c r="B236" s="22" t="s">
        <v>172</v>
      </c>
      <c r="C236" s="22" t="s">
        <v>399</v>
      </c>
      <c r="D236" s="10" t="s">
        <v>601</v>
      </c>
      <c r="E236" s="22" t="s">
        <v>204</v>
      </c>
      <c r="F236" s="181">
        <f t="shared" si="8"/>
        <v>0</v>
      </c>
      <c r="G236" s="119">
        <v>0</v>
      </c>
      <c r="H236" s="182"/>
      <c r="I236" s="80">
        <f>G236+G224+G222</f>
        <v>20144.10108</v>
      </c>
      <c r="J236" s="1" t="s">
        <v>525</v>
      </c>
    </row>
    <row r="237" spans="1:9" s="106" customFormat="1" ht="22.5" customHeight="1">
      <c r="A237" s="60" t="s">
        <v>207</v>
      </c>
      <c r="B237" s="22" t="s">
        <v>172</v>
      </c>
      <c r="C237" s="22" t="s">
        <v>399</v>
      </c>
      <c r="D237" s="10" t="s">
        <v>601</v>
      </c>
      <c r="E237" s="22" t="s">
        <v>208</v>
      </c>
      <c r="F237" s="181">
        <f t="shared" si="8"/>
        <v>80.7</v>
      </c>
      <c r="G237" s="119">
        <f>G238</f>
        <v>80.7</v>
      </c>
      <c r="H237" s="182"/>
      <c r="I237" s="314"/>
    </row>
    <row r="238" spans="1:9" s="106" customFormat="1" ht="19.5" customHeight="1">
      <c r="A238" s="115" t="s">
        <v>205</v>
      </c>
      <c r="B238" s="22" t="s">
        <v>172</v>
      </c>
      <c r="C238" s="22" t="s">
        <v>399</v>
      </c>
      <c r="D238" s="10" t="s">
        <v>601</v>
      </c>
      <c r="E238" s="22" t="s">
        <v>206</v>
      </c>
      <c r="F238" s="181">
        <f t="shared" si="8"/>
        <v>80.7</v>
      </c>
      <c r="G238" s="119">
        <f>60.7+20</f>
        <v>80.7</v>
      </c>
      <c r="H238" s="182"/>
      <c r="I238" s="314"/>
    </row>
    <row r="239" spans="1:8" s="106" customFormat="1" ht="30.75" hidden="1">
      <c r="A239" s="87" t="s">
        <v>382</v>
      </c>
      <c r="B239" s="61" t="s">
        <v>172</v>
      </c>
      <c r="C239" s="61" t="s">
        <v>405</v>
      </c>
      <c r="D239" s="61" t="s">
        <v>338</v>
      </c>
      <c r="E239" s="61" t="s">
        <v>432</v>
      </c>
      <c r="F239" s="180">
        <f>G239+H239</f>
        <v>0</v>
      </c>
      <c r="G239" s="120">
        <f>G240</f>
        <v>0</v>
      </c>
      <c r="H239" s="227">
        <f>H240</f>
        <v>0</v>
      </c>
    </row>
    <row r="240" spans="1:8" s="106" customFormat="1" ht="48.75" customHeight="1" hidden="1">
      <c r="A240" s="64" t="s">
        <v>491</v>
      </c>
      <c r="B240" s="61" t="s">
        <v>172</v>
      </c>
      <c r="C240" s="61" t="s">
        <v>405</v>
      </c>
      <c r="D240" s="61" t="s">
        <v>492</v>
      </c>
      <c r="E240" s="61" t="s">
        <v>432</v>
      </c>
      <c r="F240" s="180">
        <f t="shared" si="6"/>
        <v>0</v>
      </c>
      <c r="G240" s="120">
        <f>G241</f>
        <v>0</v>
      </c>
      <c r="H240" s="120">
        <f>H241</f>
        <v>0</v>
      </c>
    </row>
    <row r="241" spans="1:8" s="106" customFormat="1" ht="113.25" customHeight="1" hidden="1">
      <c r="A241" s="60" t="s">
        <v>407</v>
      </c>
      <c r="B241" s="22" t="s">
        <v>172</v>
      </c>
      <c r="C241" s="22" t="s">
        <v>405</v>
      </c>
      <c r="D241" s="22" t="s">
        <v>493</v>
      </c>
      <c r="E241" s="22" t="s">
        <v>432</v>
      </c>
      <c r="F241" s="181">
        <f t="shared" si="6"/>
        <v>0</v>
      </c>
      <c r="G241" s="119">
        <f>G242</f>
        <v>0</v>
      </c>
      <c r="H241" s="119">
        <f>H243</f>
        <v>0</v>
      </c>
    </row>
    <row r="242" spans="1:8" s="106" customFormat="1" ht="18.75" customHeight="1" hidden="1">
      <c r="A242" s="60" t="s">
        <v>207</v>
      </c>
      <c r="B242" s="22" t="s">
        <v>172</v>
      </c>
      <c r="C242" s="22" t="s">
        <v>405</v>
      </c>
      <c r="D242" s="22" t="s">
        <v>493</v>
      </c>
      <c r="E242" s="22" t="s">
        <v>208</v>
      </c>
      <c r="F242" s="181">
        <f t="shared" si="6"/>
        <v>0</v>
      </c>
      <c r="G242" s="119">
        <f>G243</f>
        <v>0</v>
      </c>
      <c r="H242" s="119"/>
    </row>
    <row r="243" spans="1:8" s="106" customFormat="1" ht="62.25" customHeight="1" hidden="1">
      <c r="A243" s="60" t="s">
        <v>408</v>
      </c>
      <c r="B243" s="22" t="s">
        <v>172</v>
      </c>
      <c r="C243" s="22" t="s">
        <v>405</v>
      </c>
      <c r="D243" s="22" t="s">
        <v>493</v>
      </c>
      <c r="E243" s="22" t="s">
        <v>409</v>
      </c>
      <c r="F243" s="181">
        <f t="shared" si="6"/>
        <v>0</v>
      </c>
      <c r="G243" s="119">
        <v>0</v>
      </c>
      <c r="H243" s="119"/>
    </row>
    <row r="244" spans="1:8" ht="110.25" customHeight="1" hidden="1">
      <c r="A244" s="64"/>
      <c r="B244" s="61"/>
      <c r="C244" s="61"/>
      <c r="D244" s="61"/>
      <c r="E244" s="61"/>
      <c r="F244" s="180"/>
      <c r="G244" s="120"/>
      <c r="H244" s="120"/>
    </row>
    <row r="245" spans="1:8" ht="24" customHeight="1" hidden="1">
      <c r="A245" s="94"/>
      <c r="B245" s="22"/>
      <c r="C245" s="22"/>
      <c r="D245" s="22"/>
      <c r="E245" s="22"/>
      <c r="F245" s="181"/>
      <c r="G245" s="119"/>
      <c r="H245" s="119"/>
    </row>
    <row r="246" spans="1:8" ht="25.5" customHeight="1" hidden="1">
      <c r="A246" s="94"/>
      <c r="B246" s="22"/>
      <c r="C246" s="22"/>
      <c r="D246" s="22"/>
      <c r="E246" s="22"/>
      <c r="F246" s="181"/>
      <c r="G246" s="119"/>
      <c r="H246" s="119"/>
    </row>
    <row r="247" spans="1:12" s="320" customFormat="1" ht="32.25" customHeight="1">
      <c r="A247" s="117" t="s">
        <v>410</v>
      </c>
      <c r="B247" s="29" t="s">
        <v>411</v>
      </c>
      <c r="C247" s="29" t="s">
        <v>162</v>
      </c>
      <c r="D247" s="29" t="s">
        <v>338</v>
      </c>
      <c r="E247" s="29" t="s">
        <v>432</v>
      </c>
      <c r="F247" s="186">
        <f>G247+H247</f>
        <v>7551.383379999999</v>
      </c>
      <c r="G247" s="187">
        <f>G248+G279+G272</f>
        <v>6590.67682</v>
      </c>
      <c r="H247" s="187">
        <f>H248+H279+H272</f>
        <v>960.70656</v>
      </c>
      <c r="I247" s="32"/>
      <c r="J247" s="32"/>
      <c r="K247" s="32"/>
      <c r="L247" s="32"/>
    </row>
    <row r="248" spans="1:12" s="111" customFormat="1" ht="16.5" customHeight="1">
      <c r="A248" s="64" t="s">
        <v>383</v>
      </c>
      <c r="B248" s="61" t="s">
        <v>411</v>
      </c>
      <c r="C248" s="61" t="s">
        <v>163</v>
      </c>
      <c r="D248" s="61" t="s">
        <v>338</v>
      </c>
      <c r="E248" s="61" t="s">
        <v>432</v>
      </c>
      <c r="F248" s="180">
        <f t="shared" si="6"/>
        <v>3948.5851399999997</v>
      </c>
      <c r="G248" s="120">
        <f>G249+G256+G259+G264+G269</f>
        <v>2989.5738199999996</v>
      </c>
      <c r="H248" s="120">
        <f>H249+H259</f>
        <v>959.01132</v>
      </c>
      <c r="I248" s="27"/>
      <c r="J248" s="27"/>
      <c r="K248" s="27"/>
      <c r="L248" s="27"/>
    </row>
    <row r="249" spans="1:12" s="106" customFormat="1" ht="17.25" customHeight="1">
      <c r="A249" s="60" t="s">
        <v>384</v>
      </c>
      <c r="B249" s="22" t="s">
        <v>411</v>
      </c>
      <c r="C249" s="22" t="s">
        <v>163</v>
      </c>
      <c r="D249" s="22" t="s">
        <v>32</v>
      </c>
      <c r="E249" s="22" t="s">
        <v>432</v>
      </c>
      <c r="F249" s="181">
        <f t="shared" si="6"/>
        <v>2137.89155</v>
      </c>
      <c r="G249" s="119">
        <f>G250+G253</f>
        <v>2137.89155</v>
      </c>
      <c r="H249" s="119">
        <f>H250</f>
        <v>0</v>
      </c>
      <c r="I249" s="66"/>
      <c r="J249" s="66"/>
      <c r="K249" s="66"/>
      <c r="L249" s="66"/>
    </row>
    <row r="250" spans="1:12" s="106" customFormat="1" ht="33.75" customHeight="1">
      <c r="A250" s="60" t="s">
        <v>602</v>
      </c>
      <c r="B250" s="22" t="s">
        <v>411</v>
      </c>
      <c r="C250" s="22" t="s">
        <v>163</v>
      </c>
      <c r="D250" s="22" t="s">
        <v>32</v>
      </c>
      <c r="E250" s="22" t="s">
        <v>432</v>
      </c>
      <c r="F250" s="181">
        <f t="shared" si="6"/>
        <v>1052.6</v>
      </c>
      <c r="G250" s="119">
        <f>G251</f>
        <v>1052.6</v>
      </c>
      <c r="H250" s="119">
        <f>H252</f>
        <v>0</v>
      </c>
      <c r="I250" s="66"/>
      <c r="J250" s="66"/>
      <c r="K250" s="66"/>
      <c r="L250" s="66"/>
    </row>
    <row r="251" spans="1:12" s="106" customFormat="1" ht="33.75" customHeight="1">
      <c r="A251" s="60" t="s">
        <v>202</v>
      </c>
      <c r="B251" s="22" t="s">
        <v>411</v>
      </c>
      <c r="C251" s="22" t="s">
        <v>163</v>
      </c>
      <c r="D251" s="22" t="s">
        <v>32</v>
      </c>
      <c r="E251" s="22" t="s">
        <v>170</v>
      </c>
      <c r="F251" s="181">
        <f t="shared" si="6"/>
        <v>1052.6</v>
      </c>
      <c r="G251" s="119">
        <f>G252</f>
        <v>1052.6</v>
      </c>
      <c r="H251" s="119"/>
      <c r="I251" s="66"/>
      <c r="J251" s="66"/>
      <c r="K251" s="66"/>
      <c r="L251" s="66"/>
    </row>
    <row r="252" spans="1:12" s="106" customFormat="1" ht="48.75" customHeight="1">
      <c r="A252" s="94" t="s">
        <v>203</v>
      </c>
      <c r="B252" s="22" t="s">
        <v>411</v>
      </c>
      <c r="C252" s="22" t="s">
        <v>163</v>
      </c>
      <c r="D252" s="22" t="s">
        <v>32</v>
      </c>
      <c r="E252" s="22" t="s">
        <v>204</v>
      </c>
      <c r="F252" s="181">
        <f t="shared" si="6"/>
        <v>1052.6</v>
      </c>
      <c r="G252" s="119">
        <f>645.5+332.6-290+484.5-120</f>
        <v>1052.6</v>
      </c>
      <c r="H252" s="119"/>
      <c r="I252" s="66"/>
      <c r="J252" s="66"/>
      <c r="K252" s="66"/>
      <c r="L252" s="66"/>
    </row>
    <row r="253" spans="1:12" s="106" customFormat="1" ht="33" customHeight="1">
      <c r="A253" s="60" t="s">
        <v>514</v>
      </c>
      <c r="B253" s="22" t="s">
        <v>411</v>
      </c>
      <c r="C253" s="22" t="s">
        <v>163</v>
      </c>
      <c r="D253" s="22" t="s">
        <v>100</v>
      </c>
      <c r="E253" s="22" t="s">
        <v>432</v>
      </c>
      <c r="F253" s="181">
        <f t="shared" si="6"/>
        <v>1085.29155</v>
      </c>
      <c r="G253" s="119">
        <f>G254</f>
        <v>1085.29155</v>
      </c>
      <c r="H253" s="119"/>
      <c r="I253" s="66"/>
      <c r="J253" s="66"/>
      <c r="K253" s="66"/>
      <c r="L253" s="66"/>
    </row>
    <row r="254" spans="1:12" s="106" customFormat="1" ht="31.5" customHeight="1">
      <c r="A254" s="60" t="s">
        <v>202</v>
      </c>
      <c r="B254" s="22" t="s">
        <v>411</v>
      </c>
      <c r="C254" s="22" t="s">
        <v>163</v>
      </c>
      <c r="D254" s="22" t="s">
        <v>100</v>
      </c>
      <c r="E254" s="22" t="s">
        <v>170</v>
      </c>
      <c r="F254" s="181">
        <f t="shared" si="6"/>
        <v>1085.29155</v>
      </c>
      <c r="G254" s="119">
        <f>G255</f>
        <v>1085.29155</v>
      </c>
      <c r="H254" s="119"/>
      <c r="I254" s="66"/>
      <c r="J254" s="66"/>
      <c r="K254" s="66"/>
      <c r="L254" s="66"/>
    </row>
    <row r="255" spans="1:12" s="106" customFormat="1" ht="48" customHeight="1">
      <c r="A255" s="94" t="s">
        <v>203</v>
      </c>
      <c r="B255" s="22" t="s">
        <v>411</v>
      </c>
      <c r="C255" s="22" t="s">
        <v>163</v>
      </c>
      <c r="D255" s="22" t="s">
        <v>100</v>
      </c>
      <c r="E255" s="22" t="s">
        <v>204</v>
      </c>
      <c r="F255" s="181">
        <f t="shared" si="6"/>
        <v>1085.29155</v>
      </c>
      <c r="G255" s="119">
        <f>619.1+400+19.34227+21.84928+71-471+130+270+100-75</f>
        <v>1085.29155</v>
      </c>
      <c r="H255" s="119"/>
      <c r="I255" s="66"/>
      <c r="J255" s="66"/>
      <c r="K255" s="66"/>
      <c r="L255" s="66"/>
    </row>
    <row r="256" spans="1:12" s="106" customFormat="1" ht="48" customHeight="1">
      <c r="A256" s="87" t="s">
        <v>799</v>
      </c>
      <c r="B256" s="61" t="s">
        <v>411</v>
      </c>
      <c r="C256" s="61" t="s">
        <v>163</v>
      </c>
      <c r="D256" s="61" t="s">
        <v>800</v>
      </c>
      <c r="E256" s="61" t="s">
        <v>432</v>
      </c>
      <c r="F256" s="180">
        <f t="shared" si="6"/>
        <v>556.49527</v>
      </c>
      <c r="G256" s="120">
        <f>G257</f>
        <v>556.49527</v>
      </c>
      <c r="H256" s="120"/>
      <c r="I256" s="66"/>
      <c r="J256" s="66"/>
      <c r="K256" s="66"/>
      <c r="L256" s="66"/>
    </row>
    <row r="257" spans="1:12" s="106" customFormat="1" ht="36" customHeight="1">
      <c r="A257" s="60" t="s">
        <v>202</v>
      </c>
      <c r="B257" s="22" t="s">
        <v>411</v>
      </c>
      <c r="C257" s="22" t="s">
        <v>163</v>
      </c>
      <c r="D257" s="22" t="s">
        <v>800</v>
      </c>
      <c r="E257" s="22" t="s">
        <v>170</v>
      </c>
      <c r="F257" s="181">
        <f t="shared" si="6"/>
        <v>556.49527</v>
      </c>
      <c r="G257" s="119">
        <f>G258</f>
        <v>556.49527</v>
      </c>
      <c r="H257" s="119"/>
      <c r="I257" s="66"/>
      <c r="J257" s="66"/>
      <c r="K257" s="66"/>
      <c r="L257" s="66"/>
    </row>
    <row r="258" spans="1:12" s="106" customFormat="1" ht="48" customHeight="1">
      <c r="A258" s="94" t="s">
        <v>203</v>
      </c>
      <c r="B258" s="22" t="s">
        <v>411</v>
      </c>
      <c r="C258" s="22" t="s">
        <v>163</v>
      </c>
      <c r="D258" s="22" t="s">
        <v>800</v>
      </c>
      <c r="E258" s="22" t="s">
        <v>204</v>
      </c>
      <c r="F258" s="181">
        <f t="shared" si="6"/>
        <v>556.49527</v>
      </c>
      <c r="G258" s="119">
        <f>5.568+8.13+13.55491+27.10982+33.61446+13.11601+13.11601+13.55491+13.55491+13.11601+13.55491+13.11601+13.55491+80.45164+13.55491+13.11601+53.78072+13.55491+187.37621</f>
        <v>556.49527</v>
      </c>
      <c r="H258" s="119"/>
      <c r="I258" s="66"/>
      <c r="J258" s="66"/>
      <c r="K258" s="66"/>
      <c r="L258" s="66"/>
    </row>
    <row r="259" spans="1:12" ht="81.75" customHeight="1">
      <c r="A259" s="64" t="s">
        <v>603</v>
      </c>
      <c r="B259" s="61" t="s">
        <v>411</v>
      </c>
      <c r="C259" s="61" t="s">
        <v>163</v>
      </c>
      <c r="D259" s="61" t="s">
        <v>604</v>
      </c>
      <c r="E259" s="61" t="s">
        <v>432</v>
      </c>
      <c r="F259" s="180">
        <f t="shared" si="6"/>
        <v>968.69832</v>
      </c>
      <c r="G259" s="120">
        <f>G260</f>
        <v>9.687</v>
      </c>
      <c r="H259" s="120">
        <f>H260</f>
        <v>959.01132</v>
      </c>
      <c r="I259" s="66"/>
      <c r="J259" s="66"/>
      <c r="K259" s="66"/>
      <c r="L259" s="66"/>
    </row>
    <row r="260" spans="1:12" ht="63" customHeight="1">
      <c r="A260" s="94" t="s">
        <v>605</v>
      </c>
      <c r="B260" s="22" t="s">
        <v>411</v>
      </c>
      <c r="C260" s="22" t="s">
        <v>163</v>
      </c>
      <c r="D260" s="22" t="s">
        <v>604</v>
      </c>
      <c r="E260" s="22" t="s">
        <v>432</v>
      </c>
      <c r="F260" s="181">
        <f t="shared" si="6"/>
        <v>968.69832</v>
      </c>
      <c r="G260" s="119">
        <f>G261</f>
        <v>9.687</v>
      </c>
      <c r="H260" s="119">
        <f>H261</f>
        <v>959.01132</v>
      </c>
      <c r="I260" s="66"/>
      <c r="J260" s="66"/>
      <c r="K260" s="66"/>
      <c r="L260" s="66"/>
    </row>
    <row r="261" spans="1:12" ht="24" customHeight="1">
      <c r="A261" s="60" t="s">
        <v>207</v>
      </c>
      <c r="B261" s="22" t="s">
        <v>411</v>
      </c>
      <c r="C261" s="22" t="s">
        <v>163</v>
      </c>
      <c r="D261" s="22" t="s">
        <v>604</v>
      </c>
      <c r="E261" s="22" t="s">
        <v>208</v>
      </c>
      <c r="F261" s="181">
        <f t="shared" si="6"/>
        <v>968.69832</v>
      </c>
      <c r="G261" s="119">
        <f>G263</f>
        <v>9.687</v>
      </c>
      <c r="H261" s="119">
        <f>H262</f>
        <v>959.01132</v>
      </c>
      <c r="I261" s="66"/>
      <c r="J261" s="66"/>
      <c r="K261" s="66"/>
      <c r="L261" s="66"/>
    </row>
    <row r="262" spans="1:12" ht="63" customHeight="1">
      <c r="A262" s="60" t="s">
        <v>756</v>
      </c>
      <c r="B262" s="22" t="s">
        <v>411</v>
      </c>
      <c r="C262" s="22" t="s">
        <v>163</v>
      </c>
      <c r="D262" s="22" t="s">
        <v>606</v>
      </c>
      <c r="E262" s="22" t="s">
        <v>481</v>
      </c>
      <c r="F262" s="181">
        <f t="shared" si="6"/>
        <v>959.01132</v>
      </c>
      <c r="G262" s="119"/>
      <c r="H262" s="119">
        <f>216.52843+742.48289</f>
        <v>959.01132</v>
      </c>
      <c r="I262" s="66"/>
      <c r="J262" s="66"/>
      <c r="K262" s="66"/>
      <c r="L262" s="66"/>
    </row>
    <row r="263" spans="1:12" ht="63" customHeight="1">
      <c r="A263" s="60" t="s">
        <v>757</v>
      </c>
      <c r="B263" s="22" t="s">
        <v>411</v>
      </c>
      <c r="C263" s="22" t="s">
        <v>163</v>
      </c>
      <c r="D263" s="22" t="s">
        <v>787</v>
      </c>
      <c r="E263" s="22" t="s">
        <v>481</v>
      </c>
      <c r="F263" s="181">
        <f t="shared" si="6"/>
        <v>9.687</v>
      </c>
      <c r="G263" s="119">
        <f>20-10.313</f>
        <v>9.687</v>
      </c>
      <c r="H263" s="119"/>
      <c r="I263" s="66"/>
      <c r="J263" s="66"/>
      <c r="K263" s="66"/>
      <c r="L263" s="66"/>
    </row>
    <row r="264" spans="1:12" s="106" customFormat="1" ht="33" customHeight="1">
      <c r="A264" s="87" t="s">
        <v>164</v>
      </c>
      <c r="B264" s="61" t="s">
        <v>411</v>
      </c>
      <c r="C264" s="61" t="s">
        <v>163</v>
      </c>
      <c r="D264" s="61" t="s">
        <v>16</v>
      </c>
      <c r="E264" s="61" t="s">
        <v>432</v>
      </c>
      <c r="F264" s="180">
        <f t="shared" si="6"/>
        <v>275</v>
      </c>
      <c r="G264" s="120">
        <f>G265</f>
        <v>275</v>
      </c>
      <c r="H264" s="120"/>
      <c r="I264" s="66"/>
      <c r="J264" s="66"/>
      <c r="K264" s="66"/>
      <c r="L264" s="66"/>
    </row>
    <row r="265" spans="1:12" s="106" customFormat="1" ht="33" customHeight="1">
      <c r="A265" s="94" t="s">
        <v>165</v>
      </c>
      <c r="B265" s="22" t="s">
        <v>411</v>
      </c>
      <c r="C265" s="22" t="s">
        <v>163</v>
      </c>
      <c r="D265" s="22" t="s">
        <v>17</v>
      </c>
      <c r="E265" s="22" t="s">
        <v>432</v>
      </c>
      <c r="F265" s="181">
        <f t="shared" si="6"/>
        <v>275</v>
      </c>
      <c r="G265" s="119">
        <f>G266</f>
        <v>275</v>
      </c>
      <c r="H265" s="119"/>
      <c r="I265" s="66"/>
      <c r="J265" s="66"/>
      <c r="K265" s="66"/>
      <c r="L265" s="66"/>
    </row>
    <row r="266" spans="1:12" s="106" customFormat="1" ht="108.75" customHeight="1">
      <c r="A266" s="79" t="s">
        <v>607</v>
      </c>
      <c r="B266" s="107" t="s">
        <v>411</v>
      </c>
      <c r="C266" s="107" t="s">
        <v>163</v>
      </c>
      <c r="D266" s="107" t="s">
        <v>608</v>
      </c>
      <c r="E266" s="107" t="s">
        <v>432</v>
      </c>
      <c r="F266" s="183">
        <f t="shared" si="6"/>
        <v>275</v>
      </c>
      <c r="G266" s="184">
        <f>G267</f>
        <v>275</v>
      </c>
      <c r="H266" s="184"/>
      <c r="I266" s="66"/>
      <c r="J266" s="66"/>
      <c r="K266" s="66"/>
      <c r="L266" s="66"/>
    </row>
    <row r="267" spans="1:12" s="106" customFormat="1" ht="36" customHeight="1">
      <c r="A267" s="60" t="s">
        <v>202</v>
      </c>
      <c r="B267" s="22" t="s">
        <v>411</v>
      </c>
      <c r="C267" s="22" t="s">
        <v>163</v>
      </c>
      <c r="D267" s="22" t="s">
        <v>608</v>
      </c>
      <c r="E267" s="22" t="s">
        <v>170</v>
      </c>
      <c r="F267" s="181">
        <f t="shared" si="6"/>
        <v>275</v>
      </c>
      <c r="G267" s="119">
        <f>G268</f>
        <v>275</v>
      </c>
      <c r="H267" s="119"/>
      <c r="I267" s="66"/>
      <c r="J267" s="66"/>
      <c r="K267" s="66"/>
      <c r="L267" s="66"/>
    </row>
    <row r="268" spans="1:12" s="106" customFormat="1" ht="48" customHeight="1">
      <c r="A268" s="94" t="s">
        <v>203</v>
      </c>
      <c r="B268" s="22" t="s">
        <v>411</v>
      </c>
      <c r="C268" s="22" t="s">
        <v>163</v>
      </c>
      <c r="D268" s="22" t="s">
        <v>608</v>
      </c>
      <c r="E268" s="22" t="s">
        <v>204</v>
      </c>
      <c r="F268" s="181">
        <f t="shared" si="6"/>
        <v>275</v>
      </c>
      <c r="G268" s="119">
        <f>25+75+175</f>
        <v>275</v>
      </c>
      <c r="H268" s="119"/>
      <c r="I268" s="66"/>
      <c r="J268" s="66"/>
      <c r="K268" s="66"/>
      <c r="L268" s="66"/>
    </row>
    <row r="269" spans="1:12" s="111" customFormat="1" ht="79.5" customHeight="1">
      <c r="A269" s="87" t="s">
        <v>559</v>
      </c>
      <c r="B269" s="61" t="s">
        <v>411</v>
      </c>
      <c r="C269" s="61" t="s">
        <v>163</v>
      </c>
      <c r="D269" s="61" t="s">
        <v>557</v>
      </c>
      <c r="E269" s="61" t="s">
        <v>432</v>
      </c>
      <c r="F269" s="180">
        <f t="shared" si="6"/>
        <v>10.5</v>
      </c>
      <c r="G269" s="120">
        <f>G270</f>
        <v>10.5</v>
      </c>
      <c r="H269" s="120"/>
      <c r="I269" s="27"/>
      <c r="J269" s="27"/>
      <c r="K269" s="27"/>
      <c r="L269" s="27"/>
    </row>
    <row r="270" spans="1:12" s="106" customFormat="1" ht="39" customHeight="1">
      <c r="A270" s="60" t="s">
        <v>202</v>
      </c>
      <c r="B270" s="22" t="s">
        <v>411</v>
      </c>
      <c r="C270" s="22" t="s">
        <v>163</v>
      </c>
      <c r="D270" s="22" t="s">
        <v>709</v>
      </c>
      <c r="E270" s="22" t="s">
        <v>170</v>
      </c>
      <c r="F270" s="181">
        <f>G270</f>
        <v>10.5</v>
      </c>
      <c r="G270" s="119">
        <f>G271</f>
        <v>10.5</v>
      </c>
      <c r="H270" s="119"/>
      <c r="I270" s="66"/>
      <c r="J270" s="66"/>
      <c r="K270" s="66"/>
      <c r="L270" s="66"/>
    </row>
    <row r="271" spans="1:12" s="106" customFormat="1" ht="48" customHeight="1">
      <c r="A271" s="94" t="s">
        <v>203</v>
      </c>
      <c r="B271" s="22" t="s">
        <v>411</v>
      </c>
      <c r="C271" s="22" t="s">
        <v>163</v>
      </c>
      <c r="D271" s="22" t="s">
        <v>709</v>
      </c>
      <c r="E271" s="22" t="s">
        <v>204</v>
      </c>
      <c r="F271" s="181">
        <f>G271</f>
        <v>10.5</v>
      </c>
      <c r="G271" s="119">
        <f>20-9.5</f>
        <v>10.5</v>
      </c>
      <c r="H271" s="119"/>
      <c r="I271" s="66"/>
      <c r="J271" s="66"/>
      <c r="K271" s="66"/>
      <c r="L271" s="66"/>
    </row>
    <row r="272" spans="1:12" s="111" customFormat="1" ht="17.25" customHeight="1">
      <c r="A272" s="87" t="s">
        <v>416</v>
      </c>
      <c r="B272" s="61" t="s">
        <v>411</v>
      </c>
      <c r="C272" s="61" t="s">
        <v>168</v>
      </c>
      <c r="D272" s="61" t="s">
        <v>338</v>
      </c>
      <c r="E272" s="61" t="s">
        <v>432</v>
      </c>
      <c r="F272" s="180">
        <f t="shared" si="6"/>
        <v>15</v>
      </c>
      <c r="G272" s="120">
        <f>G273+G276</f>
        <v>15</v>
      </c>
      <c r="H272" s="120">
        <f>H273+H276</f>
        <v>0</v>
      </c>
      <c r="I272" s="27"/>
      <c r="J272" s="27"/>
      <c r="K272" s="27"/>
      <c r="L272" s="27"/>
    </row>
    <row r="273" spans="1:12" s="106" customFormat="1" ht="17.25" customHeight="1">
      <c r="A273" s="94" t="s">
        <v>417</v>
      </c>
      <c r="B273" s="22" t="s">
        <v>411</v>
      </c>
      <c r="C273" s="22" t="s">
        <v>168</v>
      </c>
      <c r="D273" s="22" t="s">
        <v>33</v>
      </c>
      <c r="E273" s="22" t="s">
        <v>432</v>
      </c>
      <c r="F273" s="181">
        <f t="shared" si="6"/>
        <v>15</v>
      </c>
      <c r="G273" s="119">
        <f>G274</f>
        <v>15</v>
      </c>
      <c r="H273" s="119">
        <f>H274</f>
        <v>0</v>
      </c>
      <c r="I273" s="66"/>
      <c r="J273" s="66"/>
      <c r="K273" s="66"/>
      <c r="L273" s="66"/>
    </row>
    <row r="274" spans="1:12" s="106" customFormat="1" ht="34.5" customHeight="1">
      <c r="A274" s="60" t="s">
        <v>202</v>
      </c>
      <c r="B274" s="22" t="s">
        <v>411</v>
      </c>
      <c r="C274" s="22" t="s">
        <v>168</v>
      </c>
      <c r="D274" s="22" t="s">
        <v>33</v>
      </c>
      <c r="E274" s="22" t="s">
        <v>170</v>
      </c>
      <c r="F274" s="181">
        <f t="shared" si="6"/>
        <v>15</v>
      </c>
      <c r="G274" s="119">
        <f>G275</f>
        <v>15</v>
      </c>
      <c r="H274" s="119">
        <f>H275</f>
        <v>0</v>
      </c>
      <c r="I274" s="66"/>
      <c r="J274" s="66"/>
      <c r="K274" s="66"/>
      <c r="L274" s="66"/>
    </row>
    <row r="275" spans="1:12" s="106" customFormat="1" ht="49.5" customHeight="1">
      <c r="A275" s="94" t="s">
        <v>203</v>
      </c>
      <c r="B275" s="22" t="s">
        <v>411</v>
      </c>
      <c r="C275" s="22" t="s">
        <v>168</v>
      </c>
      <c r="D275" s="22" t="s">
        <v>33</v>
      </c>
      <c r="E275" s="22" t="s">
        <v>204</v>
      </c>
      <c r="F275" s="181">
        <f t="shared" si="6"/>
        <v>15</v>
      </c>
      <c r="G275" s="119">
        <f>90-75</f>
        <v>15</v>
      </c>
      <c r="H275" s="119"/>
      <c r="I275" s="66"/>
      <c r="J275" s="66"/>
      <c r="K275" s="66"/>
      <c r="L275" s="66"/>
    </row>
    <row r="276" spans="1:12" s="106" customFormat="1" ht="17.25" customHeight="1" hidden="1">
      <c r="A276" s="94" t="s">
        <v>418</v>
      </c>
      <c r="B276" s="22" t="s">
        <v>411</v>
      </c>
      <c r="C276" s="22" t="s">
        <v>168</v>
      </c>
      <c r="D276" s="22" t="s">
        <v>34</v>
      </c>
      <c r="E276" s="22" t="s">
        <v>432</v>
      </c>
      <c r="F276" s="181">
        <f t="shared" si="6"/>
        <v>0</v>
      </c>
      <c r="G276" s="119">
        <f>G277</f>
        <v>0</v>
      </c>
      <c r="H276" s="119">
        <f>H277</f>
        <v>0</v>
      </c>
      <c r="I276" s="66"/>
      <c r="J276" s="66"/>
      <c r="K276" s="66"/>
      <c r="L276" s="66"/>
    </row>
    <row r="277" spans="1:12" s="106" customFormat="1" ht="37.5" customHeight="1" hidden="1">
      <c r="A277" s="60" t="s">
        <v>202</v>
      </c>
      <c r="B277" s="22" t="s">
        <v>411</v>
      </c>
      <c r="C277" s="22" t="s">
        <v>168</v>
      </c>
      <c r="D277" s="22" t="s">
        <v>34</v>
      </c>
      <c r="E277" s="22" t="s">
        <v>170</v>
      </c>
      <c r="F277" s="181">
        <f t="shared" si="6"/>
        <v>0</v>
      </c>
      <c r="G277" s="119">
        <f>G278</f>
        <v>0</v>
      </c>
      <c r="H277" s="119">
        <f>H278</f>
        <v>0</v>
      </c>
      <c r="I277" s="66"/>
      <c r="J277" s="66"/>
      <c r="K277" s="66"/>
      <c r="L277" s="66"/>
    </row>
    <row r="278" spans="1:12" s="106" customFormat="1" ht="48" customHeight="1" hidden="1">
      <c r="A278" s="94" t="s">
        <v>203</v>
      </c>
      <c r="B278" s="22" t="s">
        <v>411</v>
      </c>
      <c r="C278" s="22" t="s">
        <v>168</v>
      </c>
      <c r="D278" s="22" t="s">
        <v>34</v>
      </c>
      <c r="E278" s="22" t="s">
        <v>204</v>
      </c>
      <c r="F278" s="181">
        <f t="shared" si="6"/>
        <v>0</v>
      </c>
      <c r="G278" s="119">
        <f>100-100</f>
        <v>0</v>
      </c>
      <c r="H278" s="119"/>
      <c r="I278" s="66"/>
      <c r="J278" s="66"/>
      <c r="K278" s="66"/>
      <c r="L278" s="66"/>
    </row>
    <row r="279" spans="1:12" s="106" customFormat="1" ht="34.5" customHeight="1">
      <c r="A279" s="60" t="s">
        <v>387</v>
      </c>
      <c r="B279" s="22" t="s">
        <v>411</v>
      </c>
      <c r="C279" s="22" t="s">
        <v>411</v>
      </c>
      <c r="D279" s="22" t="s">
        <v>338</v>
      </c>
      <c r="E279" s="22" t="s">
        <v>432</v>
      </c>
      <c r="F279" s="181">
        <f t="shared" si="6"/>
        <v>3587.79824</v>
      </c>
      <c r="G279" s="119">
        <f>G280</f>
        <v>3586.103</v>
      </c>
      <c r="H279" s="119">
        <f>H280+H287</f>
        <v>1.69524</v>
      </c>
      <c r="I279" s="66"/>
      <c r="J279" s="66"/>
      <c r="K279" s="66"/>
      <c r="L279" s="66"/>
    </row>
    <row r="280" spans="1:12" s="106" customFormat="1" ht="33.75" customHeight="1">
      <c r="A280" s="60" t="s">
        <v>164</v>
      </c>
      <c r="B280" s="22" t="s">
        <v>411</v>
      </c>
      <c r="C280" s="22" t="s">
        <v>411</v>
      </c>
      <c r="D280" s="22" t="s">
        <v>17</v>
      </c>
      <c r="E280" s="22" t="s">
        <v>432</v>
      </c>
      <c r="F280" s="181">
        <f t="shared" si="6"/>
        <v>3586.103</v>
      </c>
      <c r="G280" s="119">
        <f>G281</f>
        <v>3586.103</v>
      </c>
      <c r="H280" s="119">
        <f>H281</f>
        <v>0</v>
      </c>
      <c r="I280" s="66"/>
      <c r="J280" s="66"/>
      <c r="K280" s="66"/>
      <c r="L280" s="66"/>
    </row>
    <row r="281" spans="1:12" s="111" customFormat="1" ht="48" customHeight="1">
      <c r="A281" s="64" t="s">
        <v>165</v>
      </c>
      <c r="B281" s="61" t="s">
        <v>411</v>
      </c>
      <c r="C281" s="61" t="s">
        <v>411</v>
      </c>
      <c r="D281" s="61" t="s">
        <v>20</v>
      </c>
      <c r="E281" s="61" t="s">
        <v>432</v>
      </c>
      <c r="F281" s="180">
        <f t="shared" si="6"/>
        <v>3586.103</v>
      </c>
      <c r="G281" s="120">
        <f>G282</f>
        <v>3586.103</v>
      </c>
      <c r="H281" s="120">
        <f>H282</f>
        <v>0</v>
      </c>
      <c r="I281" s="27"/>
      <c r="J281" s="27"/>
      <c r="K281" s="27"/>
      <c r="L281" s="27"/>
    </row>
    <row r="282" spans="1:12" s="106" customFormat="1" ht="48" customHeight="1">
      <c r="A282" s="60" t="s">
        <v>412</v>
      </c>
      <c r="B282" s="22" t="s">
        <v>411</v>
      </c>
      <c r="C282" s="22" t="s">
        <v>411</v>
      </c>
      <c r="D282" s="22" t="s">
        <v>20</v>
      </c>
      <c r="E282" s="22" t="s">
        <v>432</v>
      </c>
      <c r="F282" s="181">
        <f t="shared" si="6"/>
        <v>3586.103</v>
      </c>
      <c r="G282" s="119">
        <f>G283+G285</f>
        <v>3586.103</v>
      </c>
      <c r="H282" s="119">
        <f>SUM(H283:H286)</f>
        <v>0</v>
      </c>
      <c r="I282" s="66"/>
      <c r="J282" s="66"/>
      <c r="K282" s="66"/>
      <c r="L282" s="66"/>
    </row>
    <row r="283" spans="1:12" s="106" customFormat="1" ht="96.75" customHeight="1">
      <c r="A283" s="60" t="s">
        <v>199</v>
      </c>
      <c r="B283" s="22" t="s">
        <v>411</v>
      </c>
      <c r="C283" s="22" t="s">
        <v>411</v>
      </c>
      <c r="D283" s="22" t="s">
        <v>20</v>
      </c>
      <c r="E283" s="22" t="s">
        <v>166</v>
      </c>
      <c r="F283" s="181">
        <f t="shared" si="6"/>
        <v>3234.81</v>
      </c>
      <c r="G283" s="119">
        <f>G284</f>
        <v>3234.81</v>
      </c>
      <c r="H283" s="119"/>
      <c r="I283" s="66"/>
      <c r="J283" s="66"/>
      <c r="K283" s="66"/>
      <c r="L283" s="66"/>
    </row>
    <row r="284" spans="1:12" s="106" customFormat="1" ht="34.5" customHeight="1">
      <c r="A284" s="94" t="s">
        <v>201</v>
      </c>
      <c r="B284" s="22" t="s">
        <v>411</v>
      </c>
      <c r="C284" s="22" t="s">
        <v>411</v>
      </c>
      <c r="D284" s="22" t="s">
        <v>20</v>
      </c>
      <c r="E284" s="22" t="s">
        <v>200</v>
      </c>
      <c r="F284" s="181">
        <f t="shared" si="6"/>
        <v>3234.81</v>
      </c>
      <c r="G284" s="119">
        <f>2484.49+20+750.32-20</f>
        <v>3234.81</v>
      </c>
      <c r="H284" s="119"/>
      <c r="I284" s="66"/>
      <c r="J284" s="66"/>
      <c r="K284" s="66"/>
      <c r="L284" s="66"/>
    </row>
    <row r="285" spans="1:12" s="106" customFormat="1" ht="32.25" customHeight="1">
      <c r="A285" s="60" t="s">
        <v>202</v>
      </c>
      <c r="B285" s="22" t="s">
        <v>411</v>
      </c>
      <c r="C285" s="22" t="s">
        <v>411</v>
      </c>
      <c r="D285" s="22" t="s">
        <v>20</v>
      </c>
      <c r="E285" s="22" t="s">
        <v>170</v>
      </c>
      <c r="F285" s="181">
        <f t="shared" si="6"/>
        <v>351.293</v>
      </c>
      <c r="G285" s="119">
        <f>G286</f>
        <v>351.293</v>
      </c>
      <c r="H285" s="119"/>
      <c r="I285" s="66"/>
      <c r="J285" s="66"/>
      <c r="K285" s="66"/>
      <c r="L285" s="66"/>
    </row>
    <row r="286" spans="1:12" s="106" customFormat="1" ht="50.25" customHeight="1">
      <c r="A286" s="94" t="s">
        <v>203</v>
      </c>
      <c r="B286" s="22" t="s">
        <v>411</v>
      </c>
      <c r="C286" s="22" t="s">
        <v>411</v>
      </c>
      <c r="D286" s="22" t="s">
        <v>20</v>
      </c>
      <c r="E286" s="22" t="s">
        <v>204</v>
      </c>
      <c r="F286" s="181">
        <f t="shared" si="6"/>
        <v>351.293</v>
      </c>
      <c r="G286" s="119">
        <f>97.993-10+20+337-93.7</f>
        <v>351.293</v>
      </c>
      <c r="H286" s="119"/>
      <c r="I286" s="66"/>
      <c r="J286" s="66"/>
      <c r="K286" s="66"/>
      <c r="L286" s="66"/>
    </row>
    <row r="287" spans="1:12" s="111" customFormat="1" ht="78" customHeight="1">
      <c r="A287" s="87" t="s">
        <v>784</v>
      </c>
      <c r="B287" s="61" t="s">
        <v>411</v>
      </c>
      <c r="C287" s="61" t="s">
        <v>411</v>
      </c>
      <c r="D287" s="61" t="s">
        <v>35</v>
      </c>
      <c r="E287" s="61" t="s">
        <v>432</v>
      </c>
      <c r="F287" s="180">
        <f t="shared" si="6"/>
        <v>1.69524</v>
      </c>
      <c r="G287" s="120"/>
      <c r="H287" s="120">
        <f>H288+H290</f>
        <v>1.69524</v>
      </c>
      <c r="I287" s="27"/>
      <c r="J287" s="27"/>
      <c r="K287" s="27"/>
      <c r="L287" s="27"/>
    </row>
    <row r="288" spans="1:12" s="106" customFormat="1" ht="94.5" customHeight="1">
      <c r="A288" s="94" t="s">
        <v>385</v>
      </c>
      <c r="B288" s="22" t="s">
        <v>411</v>
      </c>
      <c r="C288" s="22" t="s">
        <v>411</v>
      </c>
      <c r="D288" s="22" t="s">
        <v>35</v>
      </c>
      <c r="E288" s="22" t="s">
        <v>166</v>
      </c>
      <c r="F288" s="181">
        <f t="shared" si="6"/>
        <v>1.69524</v>
      </c>
      <c r="G288" s="119"/>
      <c r="H288" s="119">
        <f>H289</f>
        <v>1.69524</v>
      </c>
      <c r="I288" s="66"/>
      <c r="J288" s="66"/>
      <c r="K288" s="66"/>
      <c r="L288" s="66"/>
    </row>
    <row r="289" spans="1:12" s="106" customFormat="1" ht="34.5" customHeight="1">
      <c r="A289" s="94" t="s">
        <v>201</v>
      </c>
      <c r="B289" s="22" t="s">
        <v>411</v>
      </c>
      <c r="C289" s="22" t="s">
        <v>411</v>
      </c>
      <c r="D289" s="22" t="s">
        <v>35</v>
      </c>
      <c r="E289" s="22" t="s">
        <v>200</v>
      </c>
      <c r="F289" s="181">
        <f t="shared" si="6"/>
        <v>1.69524</v>
      </c>
      <c r="G289" s="119"/>
      <c r="H289" s="119">
        <v>1.69524</v>
      </c>
      <c r="I289" s="66"/>
      <c r="J289" s="66"/>
      <c r="K289" s="66"/>
      <c r="L289" s="66"/>
    </row>
    <row r="290" spans="1:12" ht="34.5" customHeight="1" hidden="1">
      <c r="A290" s="94" t="s">
        <v>202</v>
      </c>
      <c r="B290" s="22" t="s">
        <v>411</v>
      </c>
      <c r="C290" s="22" t="s">
        <v>411</v>
      </c>
      <c r="D290" s="22" t="s">
        <v>35</v>
      </c>
      <c r="E290" s="22" t="s">
        <v>170</v>
      </c>
      <c r="F290" s="181">
        <f t="shared" si="6"/>
        <v>0</v>
      </c>
      <c r="G290" s="119"/>
      <c r="H290" s="119">
        <f>H291</f>
        <v>0</v>
      </c>
      <c r="I290" s="66"/>
      <c r="J290" s="66"/>
      <c r="K290" s="66"/>
      <c r="L290" s="66"/>
    </row>
    <row r="291" spans="1:12" ht="51" customHeight="1" hidden="1">
      <c r="A291" s="94" t="s">
        <v>203</v>
      </c>
      <c r="B291" s="22" t="s">
        <v>411</v>
      </c>
      <c r="C291" s="22" t="s">
        <v>411</v>
      </c>
      <c r="D291" s="22" t="s">
        <v>35</v>
      </c>
      <c r="E291" s="22" t="s">
        <v>204</v>
      </c>
      <c r="F291" s="181">
        <f t="shared" si="6"/>
        <v>0</v>
      </c>
      <c r="G291" s="119"/>
      <c r="H291" s="119">
        <v>0</v>
      </c>
      <c r="I291" s="66"/>
      <c r="J291" s="66"/>
      <c r="K291" s="66"/>
      <c r="L291" s="66"/>
    </row>
    <row r="292" spans="1:12" s="320" customFormat="1" ht="20.25" customHeight="1">
      <c r="A292" s="117" t="s">
        <v>413</v>
      </c>
      <c r="B292" s="29" t="s">
        <v>414</v>
      </c>
      <c r="C292" s="29" t="s">
        <v>162</v>
      </c>
      <c r="D292" s="29" t="s">
        <v>338</v>
      </c>
      <c r="E292" s="29" t="s">
        <v>432</v>
      </c>
      <c r="F292" s="186">
        <f>G292+H292</f>
        <v>548535.6818700001</v>
      </c>
      <c r="G292" s="187">
        <f>G293+G310+G335+G348+G366+G386+G371</f>
        <v>316848.99468000006</v>
      </c>
      <c r="H292" s="187">
        <f>H293+H310+H366+H386+H371+H348</f>
        <v>231686.68719</v>
      </c>
      <c r="I292" s="32">
        <v>171930.718</v>
      </c>
      <c r="J292" s="32">
        <v>230546.269</v>
      </c>
      <c r="K292" s="324">
        <f>I292-G292</f>
        <v>-144918.27668000007</v>
      </c>
      <c r="L292" s="324">
        <f>J292-H292</f>
        <v>-1140.4181899999967</v>
      </c>
    </row>
    <row r="293" spans="1:12" ht="18.75" customHeight="1">
      <c r="A293" s="60" t="s">
        <v>423</v>
      </c>
      <c r="B293" s="22" t="s">
        <v>414</v>
      </c>
      <c r="C293" s="22" t="s">
        <v>161</v>
      </c>
      <c r="D293" s="22" t="s">
        <v>338</v>
      </c>
      <c r="E293" s="22" t="s">
        <v>432</v>
      </c>
      <c r="F293" s="181">
        <f t="shared" si="6"/>
        <v>118336.94755000001</v>
      </c>
      <c r="G293" s="119">
        <f>G294+G301</f>
        <v>70291.41955</v>
      </c>
      <c r="H293" s="119">
        <f>H307</f>
        <v>48045.528</v>
      </c>
      <c r="I293" s="66"/>
      <c r="J293" s="66"/>
      <c r="K293" s="66"/>
      <c r="L293" s="66"/>
    </row>
    <row r="294" spans="1:8" s="27" customFormat="1" ht="49.5" customHeight="1">
      <c r="A294" s="64" t="s">
        <v>496</v>
      </c>
      <c r="B294" s="61" t="s">
        <v>414</v>
      </c>
      <c r="C294" s="61" t="s">
        <v>161</v>
      </c>
      <c r="D294" s="61" t="s">
        <v>37</v>
      </c>
      <c r="E294" s="61" t="s">
        <v>432</v>
      </c>
      <c r="F294" s="180">
        <f t="shared" si="6"/>
        <v>70291.41955</v>
      </c>
      <c r="G294" s="120">
        <f>G295</f>
        <v>70291.41955</v>
      </c>
      <c r="H294" s="120">
        <f>H295</f>
        <v>0</v>
      </c>
    </row>
    <row r="295" spans="1:12" s="106" customFormat="1" ht="48" customHeight="1">
      <c r="A295" s="65" t="s">
        <v>275</v>
      </c>
      <c r="B295" s="22" t="s">
        <v>414</v>
      </c>
      <c r="C295" s="22" t="s">
        <v>161</v>
      </c>
      <c r="D295" s="22" t="s">
        <v>50</v>
      </c>
      <c r="E295" s="22" t="s">
        <v>432</v>
      </c>
      <c r="F295" s="181">
        <f t="shared" si="6"/>
        <v>70291.41955</v>
      </c>
      <c r="G295" s="119">
        <f>G296+G298</f>
        <v>70291.41955</v>
      </c>
      <c r="H295" s="119">
        <f>SUM(H297:H300)</f>
        <v>0</v>
      </c>
      <c r="I295" s="66"/>
      <c r="J295" s="66"/>
      <c r="K295" s="66"/>
      <c r="L295" s="66"/>
    </row>
    <row r="296" spans="1:12" s="106" customFormat="1" ht="50.25" customHeight="1">
      <c r="A296" s="60" t="s">
        <v>225</v>
      </c>
      <c r="B296" s="22" t="s">
        <v>414</v>
      </c>
      <c r="C296" s="22" t="s">
        <v>161</v>
      </c>
      <c r="D296" s="22" t="s">
        <v>52</v>
      </c>
      <c r="E296" s="22" t="s">
        <v>226</v>
      </c>
      <c r="F296" s="181">
        <f t="shared" si="6"/>
        <v>840</v>
      </c>
      <c r="G296" s="119">
        <f>G297</f>
        <v>840</v>
      </c>
      <c r="H296" s="119">
        <f>H297</f>
        <v>0</v>
      </c>
      <c r="I296" s="66"/>
      <c r="J296" s="66"/>
      <c r="K296" s="66"/>
      <c r="L296" s="66"/>
    </row>
    <row r="297" spans="1:12" s="106" customFormat="1" ht="19.5" customHeight="1">
      <c r="A297" s="60" t="s">
        <v>227</v>
      </c>
      <c r="B297" s="22" t="s">
        <v>414</v>
      </c>
      <c r="C297" s="22" t="s">
        <v>161</v>
      </c>
      <c r="D297" s="22" t="s">
        <v>51</v>
      </c>
      <c r="E297" s="22" t="s">
        <v>304</v>
      </c>
      <c r="F297" s="181">
        <f t="shared" si="6"/>
        <v>840</v>
      </c>
      <c r="G297" s="119">
        <v>840</v>
      </c>
      <c r="H297" s="119"/>
      <c r="I297" s="66"/>
      <c r="J297" s="66"/>
      <c r="K297" s="66"/>
      <c r="L297" s="66"/>
    </row>
    <row r="298" spans="1:12" s="106" customFormat="1" ht="66" customHeight="1">
      <c r="A298" s="60" t="s">
        <v>415</v>
      </c>
      <c r="B298" s="22" t="s">
        <v>414</v>
      </c>
      <c r="C298" s="22" t="s">
        <v>161</v>
      </c>
      <c r="D298" s="22" t="s">
        <v>52</v>
      </c>
      <c r="E298" s="22" t="s">
        <v>432</v>
      </c>
      <c r="F298" s="181">
        <f t="shared" si="6"/>
        <v>69451.41955</v>
      </c>
      <c r="G298" s="119">
        <f>G299</f>
        <v>69451.41955</v>
      </c>
      <c r="H298" s="119">
        <f>SUM(H299:H300)</f>
        <v>0</v>
      </c>
      <c r="I298" s="66"/>
      <c r="J298" s="66"/>
      <c r="K298" s="66"/>
      <c r="L298" s="66"/>
    </row>
    <row r="299" spans="1:12" s="106" customFormat="1" ht="48" customHeight="1">
      <c r="A299" s="60" t="s">
        <v>225</v>
      </c>
      <c r="B299" s="22" t="s">
        <v>414</v>
      </c>
      <c r="C299" s="22" t="s">
        <v>161</v>
      </c>
      <c r="D299" s="22" t="s">
        <v>53</v>
      </c>
      <c r="E299" s="22" t="s">
        <v>226</v>
      </c>
      <c r="F299" s="181">
        <f t="shared" si="6"/>
        <v>69451.41955</v>
      </c>
      <c r="G299" s="119">
        <f>G300</f>
        <v>69451.41955</v>
      </c>
      <c r="H299" s="119"/>
      <c r="I299" s="66"/>
      <c r="J299" s="66"/>
      <c r="K299" s="66"/>
      <c r="L299" s="66"/>
    </row>
    <row r="300" spans="1:12" s="106" customFormat="1" ht="15.75" customHeight="1">
      <c r="A300" s="60" t="s">
        <v>227</v>
      </c>
      <c r="B300" s="22" t="s">
        <v>414</v>
      </c>
      <c r="C300" s="22" t="s">
        <v>161</v>
      </c>
      <c r="D300" s="22" t="s">
        <v>53</v>
      </c>
      <c r="E300" s="22" t="s">
        <v>304</v>
      </c>
      <c r="F300" s="181">
        <f t="shared" si="6"/>
        <v>69451.41955</v>
      </c>
      <c r="G300" s="119">
        <f>25796.6+9000+2000+11611.95+5717.64+2271.60247+1000-2000+14053.62708</f>
        <v>69451.41955</v>
      </c>
      <c r="H300" s="119"/>
      <c r="I300" s="66">
        <v>27055.954</v>
      </c>
      <c r="J300" s="114">
        <f>I300-G300</f>
        <v>-42395.46555000001</v>
      </c>
      <c r="K300" s="66"/>
      <c r="L300" s="66"/>
    </row>
    <row r="301" spans="1:12" ht="35.25" customHeight="1" hidden="1">
      <c r="A301" s="79" t="s">
        <v>609</v>
      </c>
      <c r="B301" s="107" t="s">
        <v>414</v>
      </c>
      <c r="C301" s="107" t="s">
        <v>161</v>
      </c>
      <c r="D301" s="107" t="s">
        <v>338</v>
      </c>
      <c r="E301" s="107" t="s">
        <v>432</v>
      </c>
      <c r="F301" s="183">
        <f>G301</f>
        <v>0</v>
      </c>
      <c r="G301" s="184">
        <f>G302</f>
        <v>0</v>
      </c>
      <c r="H301" s="184"/>
      <c r="I301" s="66"/>
      <c r="J301" s="66"/>
      <c r="K301" s="66"/>
      <c r="L301" s="66"/>
    </row>
    <row r="302" spans="1:12" ht="30" customHeight="1" hidden="1">
      <c r="A302" s="60" t="s">
        <v>610</v>
      </c>
      <c r="B302" s="22" t="s">
        <v>414</v>
      </c>
      <c r="C302" s="22" t="s">
        <v>161</v>
      </c>
      <c r="D302" s="22" t="s">
        <v>611</v>
      </c>
      <c r="E302" s="22" t="s">
        <v>432</v>
      </c>
      <c r="F302" s="181">
        <f>G302</f>
        <v>0</v>
      </c>
      <c r="G302" s="119">
        <f>G303</f>
        <v>0</v>
      </c>
      <c r="H302" s="119"/>
      <c r="I302" s="66"/>
      <c r="J302" s="66"/>
      <c r="K302" s="66"/>
      <c r="L302" s="66"/>
    </row>
    <row r="303" spans="1:12" ht="51" customHeight="1" hidden="1">
      <c r="A303" s="60" t="s">
        <v>225</v>
      </c>
      <c r="B303" s="22" t="s">
        <v>414</v>
      </c>
      <c r="C303" s="22" t="s">
        <v>161</v>
      </c>
      <c r="D303" s="22" t="s">
        <v>611</v>
      </c>
      <c r="E303" s="22" t="s">
        <v>226</v>
      </c>
      <c r="F303" s="181">
        <f>G303</f>
        <v>0</v>
      </c>
      <c r="G303" s="119">
        <f>G304</f>
        <v>0</v>
      </c>
      <c r="H303" s="119"/>
      <c r="I303" s="66"/>
      <c r="J303" s="66"/>
      <c r="K303" s="66"/>
      <c r="L303" s="66"/>
    </row>
    <row r="304" spans="1:12" ht="22.5" customHeight="1" hidden="1">
      <c r="A304" s="60" t="s">
        <v>227</v>
      </c>
      <c r="B304" s="22" t="s">
        <v>414</v>
      </c>
      <c r="C304" s="22" t="s">
        <v>161</v>
      </c>
      <c r="D304" s="22" t="s">
        <v>611</v>
      </c>
      <c r="E304" s="22" t="s">
        <v>304</v>
      </c>
      <c r="F304" s="181">
        <f>G304</f>
        <v>0</v>
      </c>
      <c r="G304" s="119"/>
      <c r="H304" s="119"/>
      <c r="I304" s="66"/>
      <c r="J304" s="66"/>
      <c r="K304" s="66"/>
      <c r="L304" s="66"/>
    </row>
    <row r="305" spans="1:12" s="106" customFormat="1" ht="46.5" customHeight="1">
      <c r="A305" s="64" t="s">
        <v>496</v>
      </c>
      <c r="B305" s="61" t="s">
        <v>414</v>
      </c>
      <c r="C305" s="61" t="s">
        <v>161</v>
      </c>
      <c r="D305" s="61" t="s">
        <v>37</v>
      </c>
      <c r="E305" s="61" t="s">
        <v>432</v>
      </c>
      <c r="F305" s="180">
        <f>G305+H305</f>
        <v>48045.528</v>
      </c>
      <c r="G305" s="120">
        <v>0</v>
      </c>
      <c r="H305" s="120">
        <f>H306</f>
        <v>48045.528</v>
      </c>
      <c r="I305" s="66"/>
      <c r="J305" s="66"/>
      <c r="K305" s="66"/>
      <c r="L305" s="66"/>
    </row>
    <row r="306" spans="1:12" s="106" customFormat="1" ht="54.75" customHeight="1">
      <c r="A306" s="65" t="s">
        <v>275</v>
      </c>
      <c r="B306" s="22" t="s">
        <v>414</v>
      </c>
      <c r="C306" s="22" t="s">
        <v>161</v>
      </c>
      <c r="D306" s="22" t="s">
        <v>50</v>
      </c>
      <c r="E306" s="22" t="s">
        <v>432</v>
      </c>
      <c r="F306" s="181">
        <f>G306+H306</f>
        <v>48045.528</v>
      </c>
      <c r="G306" s="119">
        <v>0</v>
      </c>
      <c r="H306" s="119">
        <f>H307</f>
        <v>48045.528</v>
      </c>
      <c r="I306" s="66"/>
      <c r="J306" s="66"/>
      <c r="K306" s="66"/>
      <c r="L306" s="66"/>
    </row>
    <row r="307" spans="1:12" s="111" customFormat="1" ht="81" customHeight="1">
      <c r="A307" s="64" t="s">
        <v>419</v>
      </c>
      <c r="B307" s="61" t="s">
        <v>414</v>
      </c>
      <c r="C307" s="121" t="s">
        <v>161</v>
      </c>
      <c r="D307" s="61" t="s">
        <v>54</v>
      </c>
      <c r="E307" s="61" t="s">
        <v>432</v>
      </c>
      <c r="F307" s="180">
        <f t="shared" si="6"/>
        <v>48045.528</v>
      </c>
      <c r="G307" s="120">
        <f>G308</f>
        <v>0</v>
      </c>
      <c r="H307" s="120">
        <f>H308</f>
        <v>48045.528</v>
      </c>
      <c r="I307" s="27"/>
      <c r="J307" s="27"/>
      <c r="K307" s="27"/>
      <c r="L307" s="27"/>
    </row>
    <row r="308" spans="1:12" s="106" customFormat="1" ht="51" customHeight="1">
      <c r="A308" s="60" t="s">
        <v>225</v>
      </c>
      <c r="B308" s="22" t="s">
        <v>414</v>
      </c>
      <c r="C308" s="22" t="s">
        <v>161</v>
      </c>
      <c r="D308" s="22" t="s">
        <v>54</v>
      </c>
      <c r="E308" s="22" t="s">
        <v>226</v>
      </c>
      <c r="F308" s="181">
        <f t="shared" si="6"/>
        <v>48045.528</v>
      </c>
      <c r="G308" s="119">
        <v>0</v>
      </c>
      <c r="H308" s="119">
        <f>H309</f>
        <v>48045.528</v>
      </c>
      <c r="I308" s="66"/>
      <c r="J308" s="66"/>
      <c r="K308" s="66"/>
      <c r="L308" s="66"/>
    </row>
    <row r="309" spans="1:12" s="106" customFormat="1" ht="18.75" customHeight="1">
      <c r="A309" s="60" t="s">
        <v>227</v>
      </c>
      <c r="B309" s="22" t="s">
        <v>414</v>
      </c>
      <c r="C309" s="22" t="s">
        <v>161</v>
      </c>
      <c r="D309" s="22" t="s">
        <v>54</v>
      </c>
      <c r="E309" s="22" t="s">
        <v>304</v>
      </c>
      <c r="F309" s="181">
        <f t="shared" si="6"/>
        <v>48045.528</v>
      </c>
      <c r="G309" s="119">
        <v>0</v>
      </c>
      <c r="H309" s="119">
        <v>48045.528</v>
      </c>
      <c r="I309" s="66"/>
      <c r="J309" s="66"/>
      <c r="K309" s="66"/>
      <c r="L309" s="66"/>
    </row>
    <row r="310" spans="1:12" ht="17.25" customHeight="1">
      <c r="A310" s="60" t="s">
        <v>468</v>
      </c>
      <c r="B310" s="22" t="s">
        <v>414</v>
      </c>
      <c r="C310" s="22" t="s">
        <v>163</v>
      </c>
      <c r="D310" s="22" t="s">
        <v>338</v>
      </c>
      <c r="E310" s="22" t="s">
        <v>432</v>
      </c>
      <c r="F310" s="181">
        <f>G310+H310</f>
        <v>340683.51788000006</v>
      </c>
      <c r="G310" s="119">
        <f>G311</f>
        <v>162216.00788000002</v>
      </c>
      <c r="H310" s="119">
        <f>H311+H335+H345</f>
        <v>178467.51</v>
      </c>
      <c r="I310" s="66">
        <v>74724</v>
      </c>
      <c r="J310" s="66">
        <v>180958.211</v>
      </c>
      <c r="K310" s="114">
        <f>I310-G310</f>
        <v>-87492.00788000002</v>
      </c>
      <c r="L310" s="66"/>
    </row>
    <row r="311" spans="1:12" s="111" customFormat="1" ht="48" customHeight="1">
      <c r="A311" s="64" t="s">
        <v>496</v>
      </c>
      <c r="B311" s="61" t="s">
        <v>414</v>
      </c>
      <c r="C311" s="61" t="s">
        <v>163</v>
      </c>
      <c r="D311" s="61" t="s">
        <v>37</v>
      </c>
      <c r="E311" s="61" t="s">
        <v>432</v>
      </c>
      <c r="F311" s="180">
        <f t="shared" si="6"/>
        <v>162216.00788000002</v>
      </c>
      <c r="G311" s="120">
        <f>G312+G319+G326</f>
        <v>162216.00788000002</v>
      </c>
      <c r="H311" s="120">
        <f>H312+H316+H319+H323+H326</f>
        <v>0</v>
      </c>
      <c r="I311" s="27"/>
      <c r="J311" s="27"/>
      <c r="K311" s="27"/>
      <c r="L311" s="27"/>
    </row>
    <row r="312" spans="1:12" s="106" customFormat="1" ht="39.75" customHeight="1">
      <c r="A312" s="65" t="s">
        <v>500</v>
      </c>
      <c r="B312" s="22" t="s">
        <v>414</v>
      </c>
      <c r="C312" s="22" t="s">
        <v>163</v>
      </c>
      <c r="D312" s="22" t="s">
        <v>55</v>
      </c>
      <c r="E312" s="22" t="s">
        <v>432</v>
      </c>
      <c r="F312" s="181">
        <f t="shared" si="6"/>
        <v>159408.00788000002</v>
      </c>
      <c r="G312" s="119">
        <f>G313+G316</f>
        <v>159408.00788000002</v>
      </c>
      <c r="H312" s="119">
        <f>H313</f>
        <v>0</v>
      </c>
      <c r="I312" s="66"/>
      <c r="J312" s="66"/>
      <c r="K312" s="66"/>
      <c r="L312" s="66"/>
    </row>
    <row r="313" spans="1:12" s="106" customFormat="1" ht="34.5" customHeight="1">
      <c r="A313" s="60" t="s">
        <v>270</v>
      </c>
      <c r="B313" s="22" t="s">
        <v>414</v>
      </c>
      <c r="C313" s="22" t="s">
        <v>163</v>
      </c>
      <c r="D313" s="22" t="s">
        <v>56</v>
      </c>
      <c r="E313" s="22" t="s">
        <v>432</v>
      </c>
      <c r="F313" s="181">
        <f t="shared" si="6"/>
        <v>1170</v>
      </c>
      <c r="G313" s="119">
        <f>G314</f>
        <v>1170</v>
      </c>
      <c r="H313" s="119">
        <f>H315</f>
        <v>0</v>
      </c>
      <c r="I313" s="66"/>
      <c r="J313" s="66"/>
      <c r="K313" s="66"/>
      <c r="L313" s="66"/>
    </row>
    <row r="314" spans="1:12" s="106" customFormat="1" ht="50.25" customHeight="1">
      <c r="A314" s="60" t="s">
        <v>225</v>
      </c>
      <c r="B314" s="22" t="s">
        <v>414</v>
      </c>
      <c r="C314" s="22" t="s">
        <v>163</v>
      </c>
      <c r="D314" s="22" t="s">
        <v>57</v>
      </c>
      <c r="E314" s="22" t="s">
        <v>226</v>
      </c>
      <c r="F314" s="181">
        <f t="shared" si="6"/>
        <v>1170</v>
      </c>
      <c r="G314" s="119">
        <f>G315</f>
        <v>1170</v>
      </c>
      <c r="H314" s="119"/>
      <c r="I314" s="66"/>
      <c r="J314" s="66"/>
      <c r="K314" s="66"/>
      <c r="L314" s="66"/>
    </row>
    <row r="315" spans="1:12" s="106" customFormat="1" ht="19.5" customHeight="1">
      <c r="A315" s="60" t="s">
        <v>227</v>
      </c>
      <c r="B315" s="22" t="s">
        <v>414</v>
      </c>
      <c r="C315" s="22" t="s">
        <v>163</v>
      </c>
      <c r="D315" s="22" t="s">
        <v>57</v>
      </c>
      <c r="E315" s="22" t="s">
        <v>304</v>
      </c>
      <c r="F315" s="181">
        <f t="shared" si="6"/>
        <v>1170</v>
      </c>
      <c r="G315" s="119">
        <f>700+470</f>
        <v>1170</v>
      </c>
      <c r="H315" s="119"/>
      <c r="I315" s="66"/>
      <c r="J315" s="66"/>
      <c r="K315" s="66"/>
      <c r="L315" s="66"/>
    </row>
    <row r="316" spans="1:12" s="106" customFormat="1" ht="50.25" customHeight="1">
      <c r="A316" s="60" t="s">
        <v>271</v>
      </c>
      <c r="B316" s="22" t="s">
        <v>414</v>
      </c>
      <c r="C316" s="22" t="s">
        <v>163</v>
      </c>
      <c r="D316" s="22" t="s">
        <v>56</v>
      </c>
      <c r="E316" s="22" t="s">
        <v>432</v>
      </c>
      <c r="F316" s="181">
        <f t="shared" si="6"/>
        <v>158238.00788000002</v>
      </c>
      <c r="G316" s="119">
        <f>G317</f>
        <v>158238.00788000002</v>
      </c>
      <c r="H316" s="119">
        <f>SUM(H317:H318)</f>
        <v>0</v>
      </c>
      <c r="I316" s="66"/>
      <c r="J316" s="66"/>
      <c r="K316" s="66"/>
      <c r="L316" s="66"/>
    </row>
    <row r="317" spans="1:12" s="106" customFormat="1" ht="49.5" customHeight="1">
      <c r="A317" s="60" t="s">
        <v>225</v>
      </c>
      <c r="B317" s="22" t="s">
        <v>414</v>
      </c>
      <c r="C317" s="22" t="s">
        <v>163</v>
      </c>
      <c r="D317" s="22" t="s">
        <v>58</v>
      </c>
      <c r="E317" s="22" t="s">
        <v>226</v>
      </c>
      <c r="F317" s="181">
        <f t="shared" si="6"/>
        <v>158238.00788000002</v>
      </c>
      <c r="G317" s="119">
        <f>G318</f>
        <v>158238.00788000002</v>
      </c>
      <c r="H317" s="119"/>
      <c r="I317" s="66"/>
      <c r="J317" s="66"/>
      <c r="K317" s="66"/>
      <c r="L317" s="66"/>
    </row>
    <row r="318" spans="1:12" s="106" customFormat="1" ht="19.5" customHeight="1">
      <c r="A318" s="60" t="s">
        <v>227</v>
      </c>
      <c r="B318" s="22" t="s">
        <v>414</v>
      </c>
      <c r="C318" s="22" t="s">
        <v>163</v>
      </c>
      <c r="D318" s="22" t="s">
        <v>58</v>
      </c>
      <c r="E318" s="22" t="s">
        <v>304</v>
      </c>
      <c r="F318" s="181">
        <f t="shared" si="6"/>
        <v>158238.00788000002</v>
      </c>
      <c r="G318" s="119">
        <f>66719.69615+5319.52811+3476-71+471-130.39903+10083.4+20118.39+10000+3731.75697+3000-2915.42308+33.142+38401.91676</f>
        <v>158238.00788000002</v>
      </c>
      <c r="H318" s="119"/>
      <c r="I318" s="66"/>
      <c r="J318" s="66"/>
      <c r="K318" s="66"/>
      <c r="L318" s="66"/>
    </row>
    <row r="319" spans="1:12" s="106" customFormat="1" ht="33" customHeight="1">
      <c r="A319" s="65" t="s">
        <v>276</v>
      </c>
      <c r="B319" s="22" t="s">
        <v>414</v>
      </c>
      <c r="C319" s="22" t="s">
        <v>163</v>
      </c>
      <c r="D319" s="22" t="s">
        <v>59</v>
      </c>
      <c r="E319" s="22" t="s">
        <v>432</v>
      </c>
      <c r="F319" s="181">
        <f t="shared" si="6"/>
        <v>2808</v>
      </c>
      <c r="G319" s="119">
        <f>G320+G323</f>
        <v>2808</v>
      </c>
      <c r="H319" s="119">
        <f>H320+H323</f>
        <v>0</v>
      </c>
      <c r="I319" s="66"/>
      <c r="J319" s="66"/>
      <c r="K319" s="66"/>
      <c r="L319" s="66"/>
    </row>
    <row r="320" spans="1:12" s="106" customFormat="1" ht="32.25" customHeight="1">
      <c r="A320" s="64" t="s">
        <v>277</v>
      </c>
      <c r="B320" s="22" t="s">
        <v>414</v>
      </c>
      <c r="C320" s="22" t="s">
        <v>163</v>
      </c>
      <c r="D320" s="22" t="s">
        <v>60</v>
      </c>
      <c r="E320" s="22" t="s">
        <v>432</v>
      </c>
      <c r="F320" s="181">
        <f aca="true" t="shared" si="9" ref="F320:F442">G320+H320</f>
        <v>258</v>
      </c>
      <c r="G320" s="119">
        <f>G321</f>
        <v>258</v>
      </c>
      <c r="H320" s="119">
        <f>H322</f>
        <v>0</v>
      </c>
      <c r="I320" s="66"/>
      <c r="J320" s="66"/>
      <c r="K320" s="66"/>
      <c r="L320" s="66"/>
    </row>
    <row r="321" spans="1:12" s="106" customFormat="1" ht="48.75" customHeight="1">
      <c r="A321" s="60" t="s">
        <v>225</v>
      </c>
      <c r="B321" s="22" t="s">
        <v>414</v>
      </c>
      <c r="C321" s="22" t="s">
        <v>163</v>
      </c>
      <c r="D321" s="22" t="s">
        <v>61</v>
      </c>
      <c r="E321" s="22" t="s">
        <v>226</v>
      </c>
      <c r="F321" s="181">
        <f t="shared" si="9"/>
        <v>258</v>
      </c>
      <c r="G321" s="119">
        <f>G322</f>
        <v>258</v>
      </c>
      <c r="H321" s="119"/>
      <c r="I321" s="66"/>
      <c r="J321" s="66"/>
      <c r="K321" s="66"/>
      <c r="L321" s="66"/>
    </row>
    <row r="322" spans="1:12" s="106" customFormat="1" ht="15.75" customHeight="1">
      <c r="A322" s="60" t="s">
        <v>227</v>
      </c>
      <c r="B322" s="22" t="s">
        <v>414</v>
      </c>
      <c r="C322" s="22" t="s">
        <v>163</v>
      </c>
      <c r="D322" s="22" t="s">
        <v>62</v>
      </c>
      <c r="E322" s="22" t="s">
        <v>304</v>
      </c>
      <c r="F322" s="181">
        <f t="shared" si="9"/>
        <v>258</v>
      </c>
      <c r="G322" s="119">
        <f>250+8</f>
        <v>258</v>
      </c>
      <c r="H322" s="119"/>
      <c r="I322" s="66"/>
      <c r="J322" s="66"/>
      <c r="K322" s="66"/>
      <c r="L322" s="66"/>
    </row>
    <row r="323" spans="1:12" s="106" customFormat="1" ht="33" customHeight="1">
      <c r="A323" s="64" t="s">
        <v>272</v>
      </c>
      <c r="B323" s="22" t="s">
        <v>414</v>
      </c>
      <c r="C323" s="22" t="s">
        <v>163</v>
      </c>
      <c r="D323" s="22" t="s">
        <v>60</v>
      </c>
      <c r="E323" s="22" t="s">
        <v>432</v>
      </c>
      <c r="F323" s="181">
        <f t="shared" si="9"/>
        <v>2550</v>
      </c>
      <c r="G323" s="119">
        <f>G324</f>
        <v>2550</v>
      </c>
      <c r="H323" s="119">
        <f>H325</f>
        <v>0</v>
      </c>
      <c r="I323" s="66"/>
      <c r="J323" s="66"/>
      <c r="K323" s="66"/>
      <c r="L323" s="66"/>
    </row>
    <row r="324" spans="1:12" s="106" customFormat="1" ht="50.25" customHeight="1">
      <c r="A324" s="60" t="s">
        <v>225</v>
      </c>
      <c r="B324" s="22" t="s">
        <v>414</v>
      </c>
      <c r="C324" s="22" t="s">
        <v>163</v>
      </c>
      <c r="D324" s="22" t="s">
        <v>62</v>
      </c>
      <c r="E324" s="22" t="s">
        <v>226</v>
      </c>
      <c r="F324" s="181">
        <f t="shared" si="9"/>
        <v>2550</v>
      </c>
      <c r="G324" s="119">
        <f>G325</f>
        <v>2550</v>
      </c>
      <c r="H324" s="119"/>
      <c r="I324" s="66"/>
      <c r="J324" s="66"/>
      <c r="K324" s="66"/>
      <c r="L324" s="66"/>
    </row>
    <row r="325" spans="1:12" s="106" customFormat="1" ht="21.75" customHeight="1">
      <c r="A325" s="60" t="s">
        <v>227</v>
      </c>
      <c r="B325" s="22" t="s">
        <v>414</v>
      </c>
      <c r="C325" s="22" t="s">
        <v>163</v>
      </c>
      <c r="D325" s="22" t="s">
        <v>62</v>
      </c>
      <c r="E325" s="22" t="s">
        <v>304</v>
      </c>
      <c r="F325" s="181">
        <f t="shared" si="9"/>
        <v>2550</v>
      </c>
      <c r="G325" s="119">
        <f>750+300+1500</f>
        <v>2550</v>
      </c>
      <c r="H325" s="119"/>
      <c r="I325" s="66"/>
      <c r="J325" s="66"/>
      <c r="K325" s="66"/>
      <c r="L325" s="66"/>
    </row>
    <row r="326" spans="1:12" ht="33" customHeight="1" hidden="1">
      <c r="A326" s="65" t="s">
        <v>306</v>
      </c>
      <c r="B326" s="22" t="s">
        <v>414</v>
      </c>
      <c r="C326" s="22" t="s">
        <v>163</v>
      </c>
      <c r="D326" s="22" t="s">
        <v>63</v>
      </c>
      <c r="E326" s="22" t="s">
        <v>432</v>
      </c>
      <c r="F326" s="181">
        <f t="shared" si="9"/>
        <v>0</v>
      </c>
      <c r="G326" s="119">
        <f>G327</f>
        <v>0</v>
      </c>
      <c r="H326" s="119">
        <f>H327+H330+H332</f>
        <v>0</v>
      </c>
      <c r="I326" s="66"/>
      <c r="J326" s="66"/>
      <c r="K326" s="66"/>
      <c r="L326" s="66"/>
    </row>
    <row r="327" spans="1:12" ht="33.75" customHeight="1" hidden="1">
      <c r="A327" s="60" t="s">
        <v>140</v>
      </c>
      <c r="B327" s="22" t="s">
        <v>414</v>
      </c>
      <c r="C327" s="22" t="s">
        <v>163</v>
      </c>
      <c r="D327" s="22" t="s">
        <v>64</v>
      </c>
      <c r="E327" s="22" t="s">
        <v>432</v>
      </c>
      <c r="F327" s="181">
        <f t="shared" si="9"/>
        <v>0</v>
      </c>
      <c r="G327" s="119">
        <f>G328</f>
        <v>0</v>
      </c>
      <c r="H327" s="119"/>
      <c r="I327" s="66"/>
      <c r="J327" s="66"/>
      <c r="K327" s="66"/>
      <c r="L327" s="66"/>
    </row>
    <row r="328" spans="1:12" ht="50.25" customHeight="1" hidden="1">
      <c r="A328" s="60" t="s">
        <v>225</v>
      </c>
      <c r="B328" s="22" t="s">
        <v>414</v>
      </c>
      <c r="C328" s="22" t="s">
        <v>163</v>
      </c>
      <c r="D328" s="22" t="s">
        <v>64</v>
      </c>
      <c r="E328" s="22" t="s">
        <v>226</v>
      </c>
      <c r="F328" s="181">
        <f t="shared" si="9"/>
        <v>0</v>
      </c>
      <c r="G328" s="119">
        <f>G329+G330+G331+G332</f>
        <v>0</v>
      </c>
      <c r="H328" s="119"/>
      <c r="I328" s="66"/>
      <c r="J328" s="66"/>
      <c r="K328" s="66"/>
      <c r="L328" s="66"/>
    </row>
    <row r="329" spans="1:12" ht="35.25" customHeight="1" hidden="1">
      <c r="A329" s="60" t="s">
        <v>134</v>
      </c>
      <c r="B329" s="22" t="s">
        <v>414</v>
      </c>
      <c r="C329" s="22" t="s">
        <v>163</v>
      </c>
      <c r="D329" s="22" t="s">
        <v>65</v>
      </c>
      <c r="E329" s="22" t="s">
        <v>304</v>
      </c>
      <c r="F329" s="181">
        <f t="shared" si="9"/>
        <v>0</v>
      </c>
      <c r="G329" s="119"/>
      <c r="H329" s="119"/>
      <c r="I329" s="66"/>
      <c r="J329" s="66"/>
      <c r="K329" s="66"/>
      <c r="L329" s="66"/>
    </row>
    <row r="330" spans="1:12" ht="27" hidden="1">
      <c r="A330" s="25" t="s">
        <v>135</v>
      </c>
      <c r="B330" s="22" t="s">
        <v>414</v>
      </c>
      <c r="C330" s="22" t="s">
        <v>163</v>
      </c>
      <c r="D330" s="22" t="s">
        <v>66</v>
      </c>
      <c r="E330" s="22" t="s">
        <v>304</v>
      </c>
      <c r="F330" s="119">
        <f t="shared" si="9"/>
        <v>0</v>
      </c>
      <c r="G330" s="119"/>
      <c r="H330" s="188"/>
      <c r="I330" s="66"/>
      <c r="J330" s="66"/>
      <c r="K330" s="66"/>
      <c r="L330" s="66"/>
    </row>
    <row r="331" spans="1:12" ht="31.5" customHeight="1" hidden="1">
      <c r="A331" s="60" t="s">
        <v>228</v>
      </c>
      <c r="B331" s="22" t="s">
        <v>414</v>
      </c>
      <c r="C331" s="22" t="s">
        <v>163</v>
      </c>
      <c r="D331" s="22" t="s">
        <v>67</v>
      </c>
      <c r="E331" s="22" t="s">
        <v>304</v>
      </c>
      <c r="F331" s="181">
        <f t="shared" si="9"/>
        <v>0</v>
      </c>
      <c r="G331" s="119"/>
      <c r="H331" s="119"/>
      <c r="I331" s="66"/>
      <c r="J331" s="66"/>
      <c r="K331" s="66"/>
      <c r="L331" s="66"/>
    </row>
    <row r="332" spans="1:12" ht="34.5" customHeight="1" hidden="1">
      <c r="A332" s="60" t="s">
        <v>229</v>
      </c>
      <c r="B332" s="22" t="s">
        <v>414</v>
      </c>
      <c r="C332" s="22" t="s">
        <v>163</v>
      </c>
      <c r="D332" s="22" t="s">
        <v>68</v>
      </c>
      <c r="E332" s="22" t="s">
        <v>304</v>
      </c>
      <c r="F332" s="181">
        <f t="shared" si="9"/>
        <v>0</v>
      </c>
      <c r="G332" s="119"/>
      <c r="H332" s="119"/>
      <c r="I332" s="66"/>
      <c r="J332" s="66"/>
      <c r="K332" s="66"/>
      <c r="L332" s="66"/>
    </row>
    <row r="333" spans="1:12" s="106" customFormat="1" ht="48.75" customHeight="1">
      <c r="A333" s="64" t="s">
        <v>497</v>
      </c>
      <c r="B333" s="61" t="s">
        <v>414</v>
      </c>
      <c r="C333" s="61" t="s">
        <v>163</v>
      </c>
      <c r="D333" s="61" t="s">
        <v>37</v>
      </c>
      <c r="E333" s="61" t="s">
        <v>432</v>
      </c>
      <c r="F333" s="181">
        <f t="shared" si="9"/>
        <v>172100.73</v>
      </c>
      <c r="G333" s="119">
        <f>G334</f>
        <v>0</v>
      </c>
      <c r="H333" s="119">
        <f>H334</f>
        <v>172100.73</v>
      </c>
      <c r="I333" s="66"/>
      <c r="J333" s="66"/>
      <c r="K333" s="66"/>
      <c r="L333" s="66"/>
    </row>
    <row r="334" spans="1:12" s="106" customFormat="1" ht="49.5" customHeight="1">
      <c r="A334" s="65" t="s">
        <v>500</v>
      </c>
      <c r="B334" s="22" t="s">
        <v>414</v>
      </c>
      <c r="C334" s="22" t="s">
        <v>163</v>
      </c>
      <c r="D334" s="22" t="s">
        <v>55</v>
      </c>
      <c r="E334" s="22" t="s">
        <v>432</v>
      </c>
      <c r="F334" s="181">
        <f t="shared" si="9"/>
        <v>172100.73</v>
      </c>
      <c r="G334" s="119">
        <f>G335</f>
        <v>0</v>
      </c>
      <c r="H334" s="119">
        <f>H335</f>
        <v>172100.73</v>
      </c>
      <c r="I334" s="66"/>
      <c r="J334" s="66"/>
      <c r="K334" s="66"/>
      <c r="L334" s="66"/>
    </row>
    <row r="335" spans="1:12" s="111" customFormat="1" ht="16.5" customHeight="1">
      <c r="A335" s="64" t="s">
        <v>182</v>
      </c>
      <c r="B335" s="61" t="s">
        <v>414</v>
      </c>
      <c r="C335" s="61" t="s">
        <v>163</v>
      </c>
      <c r="D335" s="61" t="s">
        <v>37</v>
      </c>
      <c r="E335" s="61" t="s">
        <v>432</v>
      </c>
      <c r="F335" s="180">
        <f t="shared" si="9"/>
        <v>172100.73</v>
      </c>
      <c r="G335" s="120">
        <f>G336+G342</f>
        <v>0</v>
      </c>
      <c r="H335" s="120">
        <f>H336+H339+H342</f>
        <v>172100.73</v>
      </c>
      <c r="I335" s="27"/>
      <c r="J335" s="27"/>
      <c r="K335" s="27"/>
      <c r="L335" s="27"/>
    </row>
    <row r="336" spans="1:12" s="111" customFormat="1" ht="47.25" customHeight="1">
      <c r="A336" s="64" t="s">
        <v>616</v>
      </c>
      <c r="B336" s="61" t="s">
        <v>414</v>
      </c>
      <c r="C336" s="61" t="s">
        <v>163</v>
      </c>
      <c r="D336" s="61" t="s">
        <v>55</v>
      </c>
      <c r="E336" s="61" t="s">
        <v>432</v>
      </c>
      <c r="F336" s="180">
        <f t="shared" si="9"/>
        <v>10064.37</v>
      </c>
      <c r="G336" s="120">
        <f>G337</f>
        <v>0</v>
      </c>
      <c r="H336" s="120">
        <f>H337</f>
        <v>10064.37</v>
      </c>
      <c r="I336" s="27"/>
      <c r="J336" s="27"/>
      <c r="K336" s="27"/>
      <c r="L336" s="27"/>
    </row>
    <row r="337" spans="1:12" s="106" customFormat="1" ht="49.5" customHeight="1">
      <c r="A337" s="60" t="s">
        <v>225</v>
      </c>
      <c r="B337" s="22" t="s">
        <v>414</v>
      </c>
      <c r="C337" s="22" t="s">
        <v>163</v>
      </c>
      <c r="D337" s="22" t="s">
        <v>617</v>
      </c>
      <c r="E337" s="22" t="s">
        <v>226</v>
      </c>
      <c r="F337" s="181">
        <f t="shared" si="9"/>
        <v>10064.37</v>
      </c>
      <c r="G337" s="119"/>
      <c r="H337" s="119">
        <f>H338</f>
        <v>10064.37</v>
      </c>
      <c r="I337" s="66"/>
      <c r="J337" s="66"/>
      <c r="K337" s="66"/>
      <c r="L337" s="66"/>
    </row>
    <row r="338" spans="1:12" s="106" customFormat="1" ht="18" customHeight="1">
      <c r="A338" s="60" t="s">
        <v>227</v>
      </c>
      <c r="B338" s="22" t="s">
        <v>414</v>
      </c>
      <c r="C338" s="22" t="s">
        <v>163</v>
      </c>
      <c r="D338" s="22" t="s">
        <v>617</v>
      </c>
      <c r="E338" s="22" t="s">
        <v>304</v>
      </c>
      <c r="F338" s="181">
        <f t="shared" si="9"/>
        <v>10064.37</v>
      </c>
      <c r="G338" s="119"/>
      <c r="H338" s="119">
        <f>13848.602-3784.232</f>
        <v>10064.37</v>
      </c>
      <c r="I338" s="66"/>
      <c r="J338" s="66"/>
      <c r="K338" s="66"/>
      <c r="L338" s="66"/>
    </row>
    <row r="339" spans="1:12" s="106" customFormat="1" ht="80.25" customHeight="1">
      <c r="A339" s="64" t="s">
        <v>834</v>
      </c>
      <c r="B339" s="61" t="s">
        <v>414</v>
      </c>
      <c r="C339" s="61" t="s">
        <v>163</v>
      </c>
      <c r="D339" s="61" t="s">
        <v>835</v>
      </c>
      <c r="E339" s="61" t="s">
        <v>432</v>
      </c>
      <c r="F339" s="180">
        <f>G339+H339</f>
        <v>5152</v>
      </c>
      <c r="G339" s="120">
        <v>0</v>
      </c>
      <c r="H339" s="120">
        <f>H340</f>
        <v>5152</v>
      </c>
      <c r="I339" s="66"/>
      <c r="J339" s="66"/>
      <c r="K339" s="66"/>
      <c r="L339" s="66"/>
    </row>
    <row r="340" spans="1:12" s="106" customFormat="1" ht="45" customHeight="1">
      <c r="A340" s="60" t="s">
        <v>225</v>
      </c>
      <c r="B340" s="22" t="s">
        <v>414</v>
      </c>
      <c r="C340" s="22" t="s">
        <v>163</v>
      </c>
      <c r="D340" s="22" t="s">
        <v>835</v>
      </c>
      <c r="E340" s="22" t="s">
        <v>226</v>
      </c>
      <c r="F340" s="181">
        <f>G340+H340</f>
        <v>5152</v>
      </c>
      <c r="G340" s="119"/>
      <c r="H340" s="119">
        <f>H341</f>
        <v>5152</v>
      </c>
      <c r="I340" s="66"/>
      <c r="J340" s="66"/>
      <c r="K340" s="66"/>
      <c r="L340" s="66"/>
    </row>
    <row r="341" spans="1:12" s="106" customFormat="1" ht="15" customHeight="1">
      <c r="A341" s="60" t="s">
        <v>227</v>
      </c>
      <c r="B341" s="22" t="s">
        <v>414</v>
      </c>
      <c r="C341" s="22" t="s">
        <v>163</v>
      </c>
      <c r="D341" s="22" t="s">
        <v>835</v>
      </c>
      <c r="E341" s="22" t="s">
        <v>304</v>
      </c>
      <c r="F341" s="181">
        <f>G341+H341</f>
        <v>5152</v>
      </c>
      <c r="G341" s="119"/>
      <c r="H341" s="119">
        <v>5152</v>
      </c>
      <c r="I341" s="66"/>
      <c r="J341" s="66"/>
      <c r="K341" s="66"/>
      <c r="L341" s="66"/>
    </row>
    <row r="342" spans="1:12" s="111" customFormat="1" ht="80.25" customHeight="1">
      <c r="A342" s="64" t="s">
        <v>197</v>
      </c>
      <c r="B342" s="61" t="s">
        <v>414</v>
      </c>
      <c r="C342" s="61" t="s">
        <v>163</v>
      </c>
      <c r="D342" s="61" t="s">
        <v>55</v>
      </c>
      <c r="E342" s="61" t="s">
        <v>432</v>
      </c>
      <c r="F342" s="180">
        <f t="shared" si="9"/>
        <v>156884.36000000002</v>
      </c>
      <c r="G342" s="120">
        <f>G343</f>
        <v>0</v>
      </c>
      <c r="H342" s="120">
        <f>H343</f>
        <v>156884.36000000002</v>
      </c>
      <c r="I342" s="27"/>
      <c r="J342" s="27"/>
      <c r="K342" s="27"/>
      <c r="L342" s="27"/>
    </row>
    <row r="343" spans="1:12" s="106" customFormat="1" ht="48.75" customHeight="1">
      <c r="A343" s="60" t="s">
        <v>225</v>
      </c>
      <c r="B343" s="22" t="s">
        <v>414</v>
      </c>
      <c r="C343" s="22" t="s">
        <v>163</v>
      </c>
      <c r="D343" s="22" t="s">
        <v>69</v>
      </c>
      <c r="E343" s="22" t="s">
        <v>226</v>
      </c>
      <c r="F343" s="181">
        <f t="shared" si="9"/>
        <v>156884.36000000002</v>
      </c>
      <c r="G343" s="119"/>
      <c r="H343" s="119">
        <f>H344</f>
        <v>156884.36000000002</v>
      </c>
      <c r="I343" s="66"/>
      <c r="J343" s="66"/>
      <c r="K343" s="66"/>
      <c r="L343" s="66"/>
    </row>
    <row r="344" spans="1:12" s="106" customFormat="1" ht="17.25" customHeight="1">
      <c r="A344" s="60" t="s">
        <v>227</v>
      </c>
      <c r="B344" s="22" t="s">
        <v>414</v>
      </c>
      <c r="C344" s="22" t="s">
        <v>163</v>
      </c>
      <c r="D344" s="22" t="s">
        <v>69</v>
      </c>
      <c r="E344" s="22" t="s">
        <v>304</v>
      </c>
      <c r="F344" s="181">
        <f t="shared" si="9"/>
        <v>156884.36000000002</v>
      </c>
      <c r="G344" s="119"/>
      <c r="H344" s="119">
        <f>156357.937+526.423</f>
        <v>156884.36000000002</v>
      </c>
      <c r="I344" s="66"/>
      <c r="J344" s="66"/>
      <c r="K344" s="66"/>
      <c r="L344" s="66"/>
    </row>
    <row r="345" spans="1:12" s="106" customFormat="1" ht="97.5" customHeight="1">
      <c r="A345" s="64" t="s">
        <v>828</v>
      </c>
      <c r="B345" s="61" t="s">
        <v>414</v>
      </c>
      <c r="C345" s="61" t="s">
        <v>163</v>
      </c>
      <c r="D345" s="61" t="s">
        <v>836</v>
      </c>
      <c r="E345" s="61" t="s">
        <v>432</v>
      </c>
      <c r="F345" s="180">
        <f>G345+H345</f>
        <v>6366.78</v>
      </c>
      <c r="G345" s="120">
        <v>0</v>
      </c>
      <c r="H345" s="120">
        <f>H346</f>
        <v>6366.78</v>
      </c>
      <c r="I345" s="66"/>
      <c r="J345" s="66"/>
      <c r="K345" s="66"/>
      <c r="L345" s="66"/>
    </row>
    <row r="346" spans="1:12" s="106" customFormat="1" ht="45.75" customHeight="1">
      <c r="A346" s="60" t="s">
        <v>225</v>
      </c>
      <c r="B346" s="22" t="s">
        <v>414</v>
      </c>
      <c r="C346" s="22" t="s">
        <v>163</v>
      </c>
      <c r="D346" s="22" t="s">
        <v>836</v>
      </c>
      <c r="E346" s="22" t="s">
        <v>226</v>
      </c>
      <c r="F346" s="181">
        <f>G346+H346</f>
        <v>6366.78</v>
      </c>
      <c r="G346" s="119"/>
      <c r="H346" s="119">
        <f>H347</f>
        <v>6366.78</v>
      </c>
      <c r="I346" s="66"/>
      <c r="J346" s="66"/>
      <c r="K346" s="66"/>
      <c r="L346" s="66"/>
    </row>
    <row r="347" spans="1:12" s="106" customFormat="1" ht="17.25" customHeight="1">
      <c r="A347" s="60" t="s">
        <v>227</v>
      </c>
      <c r="B347" s="22" t="s">
        <v>414</v>
      </c>
      <c r="C347" s="22" t="s">
        <v>163</v>
      </c>
      <c r="D347" s="22" t="s">
        <v>836</v>
      </c>
      <c r="E347" s="22" t="s">
        <v>304</v>
      </c>
      <c r="F347" s="181">
        <f>G347+H347</f>
        <v>6366.78</v>
      </c>
      <c r="G347" s="119"/>
      <c r="H347" s="119">
        <v>6366.78</v>
      </c>
      <c r="I347" s="66"/>
      <c r="J347" s="66"/>
      <c r="K347" s="66"/>
      <c r="L347" s="66"/>
    </row>
    <row r="348" spans="1:12" ht="20.25" customHeight="1">
      <c r="A348" s="64" t="s">
        <v>618</v>
      </c>
      <c r="B348" s="61" t="s">
        <v>414</v>
      </c>
      <c r="C348" s="61" t="s">
        <v>168</v>
      </c>
      <c r="D348" s="61" t="s">
        <v>338</v>
      </c>
      <c r="E348" s="61" t="s">
        <v>432</v>
      </c>
      <c r="F348" s="180">
        <f>G348+H348</f>
        <v>39913.46633</v>
      </c>
      <c r="G348" s="120">
        <f>G349</f>
        <v>39088.46633</v>
      </c>
      <c r="H348" s="120">
        <f>H349</f>
        <v>825</v>
      </c>
      <c r="I348" s="66"/>
      <c r="J348" s="114"/>
      <c r="K348" s="66"/>
      <c r="L348" s="66"/>
    </row>
    <row r="349" spans="1:9" s="27" customFormat="1" ht="48.75" customHeight="1">
      <c r="A349" s="64" t="s">
        <v>497</v>
      </c>
      <c r="B349" s="61" t="s">
        <v>414</v>
      </c>
      <c r="C349" s="61" t="s">
        <v>168</v>
      </c>
      <c r="D349" s="61" t="s">
        <v>37</v>
      </c>
      <c r="E349" s="61" t="s">
        <v>432</v>
      </c>
      <c r="F349" s="180">
        <f>G349+H349</f>
        <v>39913.46633</v>
      </c>
      <c r="G349" s="120">
        <f>G350+G357</f>
        <v>39088.46633</v>
      </c>
      <c r="H349" s="120">
        <f>H357</f>
        <v>825</v>
      </c>
      <c r="I349" s="95"/>
    </row>
    <row r="350" spans="1:12" ht="33.75" customHeight="1">
      <c r="A350" s="65" t="s">
        <v>306</v>
      </c>
      <c r="B350" s="22" t="s">
        <v>414</v>
      </c>
      <c r="C350" s="22" t="s">
        <v>168</v>
      </c>
      <c r="D350" s="22" t="s">
        <v>63</v>
      </c>
      <c r="E350" s="22" t="s">
        <v>432</v>
      </c>
      <c r="F350" s="181">
        <f t="shared" si="9"/>
        <v>39080.133</v>
      </c>
      <c r="G350" s="119">
        <f>G351</f>
        <v>39080.133</v>
      </c>
      <c r="H350" s="119"/>
      <c r="I350" s="66"/>
      <c r="J350" s="66"/>
      <c r="K350" s="66"/>
      <c r="L350" s="66"/>
    </row>
    <row r="351" spans="1:12" ht="30" customHeight="1">
      <c r="A351" s="60" t="s">
        <v>140</v>
      </c>
      <c r="B351" s="22" t="s">
        <v>414</v>
      </c>
      <c r="C351" s="22" t="s">
        <v>168</v>
      </c>
      <c r="D351" s="22" t="s">
        <v>64</v>
      </c>
      <c r="E351" s="22" t="s">
        <v>432</v>
      </c>
      <c r="F351" s="181">
        <f t="shared" si="9"/>
        <v>39080.133</v>
      </c>
      <c r="G351" s="119">
        <f>G352</f>
        <v>39080.133</v>
      </c>
      <c r="H351" s="119"/>
      <c r="I351" s="66"/>
      <c r="J351" s="66"/>
      <c r="K351" s="66"/>
      <c r="L351" s="66"/>
    </row>
    <row r="352" spans="1:12" ht="52.5" customHeight="1">
      <c r="A352" s="60" t="s">
        <v>225</v>
      </c>
      <c r="B352" s="22" t="s">
        <v>414</v>
      </c>
      <c r="C352" s="22" t="s">
        <v>168</v>
      </c>
      <c r="D352" s="22" t="s">
        <v>64</v>
      </c>
      <c r="E352" s="22" t="s">
        <v>226</v>
      </c>
      <c r="F352" s="181">
        <f t="shared" si="9"/>
        <v>39080.133</v>
      </c>
      <c r="G352" s="119">
        <f>G353+G354+G355+G356</f>
        <v>39080.133</v>
      </c>
      <c r="H352" s="119"/>
      <c r="I352" s="66"/>
      <c r="J352" s="66"/>
      <c r="K352" s="66"/>
      <c r="L352" s="66"/>
    </row>
    <row r="353" spans="1:12" s="106" customFormat="1" ht="34.5" customHeight="1">
      <c r="A353" s="60" t="s">
        <v>134</v>
      </c>
      <c r="B353" s="22" t="s">
        <v>414</v>
      </c>
      <c r="C353" s="22" t="s">
        <v>168</v>
      </c>
      <c r="D353" s="22" t="s">
        <v>65</v>
      </c>
      <c r="E353" s="22" t="s">
        <v>304</v>
      </c>
      <c r="F353" s="181">
        <f t="shared" si="9"/>
        <v>9742.363000000001</v>
      </c>
      <c r="G353" s="119">
        <f>5180.48+704.64+2620.9+1236.343</f>
        <v>9742.363000000001</v>
      </c>
      <c r="H353" s="119"/>
      <c r="I353" s="114"/>
      <c r="J353" s="66"/>
      <c r="K353" s="66"/>
      <c r="L353" s="66"/>
    </row>
    <row r="354" spans="1:12" s="106" customFormat="1" ht="31.5" customHeight="1">
      <c r="A354" s="25" t="s">
        <v>135</v>
      </c>
      <c r="B354" s="22" t="s">
        <v>414</v>
      </c>
      <c r="C354" s="22" t="s">
        <v>168</v>
      </c>
      <c r="D354" s="22" t="s">
        <v>66</v>
      </c>
      <c r="E354" s="22" t="s">
        <v>304</v>
      </c>
      <c r="F354" s="119">
        <f t="shared" si="9"/>
        <v>13417.09</v>
      </c>
      <c r="G354" s="119">
        <f>12332.59+54+49.5+531+150+300</f>
        <v>13417.09</v>
      </c>
      <c r="H354" s="119"/>
      <c r="I354" s="114"/>
      <c r="J354" s="66"/>
      <c r="K354" s="66"/>
      <c r="L354" s="66"/>
    </row>
    <row r="355" spans="1:12" s="106" customFormat="1" ht="36" customHeight="1">
      <c r="A355" s="60" t="s">
        <v>228</v>
      </c>
      <c r="B355" s="22" t="s">
        <v>414</v>
      </c>
      <c r="C355" s="22" t="s">
        <v>168</v>
      </c>
      <c r="D355" s="22" t="s">
        <v>67</v>
      </c>
      <c r="E355" s="22" t="s">
        <v>304</v>
      </c>
      <c r="F355" s="181">
        <f t="shared" si="9"/>
        <v>9978.779999999999</v>
      </c>
      <c r="G355" s="119">
        <f>7276.28+2464.5+238</f>
        <v>9978.779999999999</v>
      </c>
      <c r="H355" s="119"/>
      <c r="I355" s="114"/>
      <c r="J355" s="66"/>
      <c r="K355" s="66"/>
      <c r="L355" s="66"/>
    </row>
    <row r="356" spans="1:12" s="106" customFormat="1" ht="34.5" customHeight="1">
      <c r="A356" s="60" t="s">
        <v>229</v>
      </c>
      <c r="B356" s="22" t="s">
        <v>414</v>
      </c>
      <c r="C356" s="22" t="s">
        <v>168</v>
      </c>
      <c r="D356" s="22" t="s">
        <v>68</v>
      </c>
      <c r="E356" s="22" t="s">
        <v>304</v>
      </c>
      <c r="F356" s="181">
        <f t="shared" si="9"/>
        <v>5941.9</v>
      </c>
      <c r="G356" s="119">
        <f>3354.13+2282.77+155+150</f>
        <v>5941.9</v>
      </c>
      <c r="H356" s="119"/>
      <c r="I356" s="114"/>
      <c r="J356" s="66"/>
      <c r="K356" s="66"/>
      <c r="L356" s="66"/>
    </row>
    <row r="357" spans="1:9" s="66" customFormat="1" ht="80.25" customHeight="1">
      <c r="A357" s="79" t="s">
        <v>640</v>
      </c>
      <c r="B357" s="107" t="s">
        <v>414</v>
      </c>
      <c r="C357" s="107" t="s">
        <v>168</v>
      </c>
      <c r="D357" s="107" t="s">
        <v>338</v>
      </c>
      <c r="E357" s="107" t="s">
        <v>432</v>
      </c>
      <c r="F357" s="183">
        <f>G357+H357</f>
        <v>833.33333</v>
      </c>
      <c r="G357" s="184">
        <f>G358+G360</f>
        <v>8.33333</v>
      </c>
      <c r="H357" s="184">
        <f>H358</f>
        <v>825</v>
      </c>
      <c r="I357" s="114"/>
    </row>
    <row r="358" spans="1:9" s="66" customFormat="1" ht="88.5" customHeight="1">
      <c r="A358" s="60" t="s">
        <v>659</v>
      </c>
      <c r="B358" s="22" t="s">
        <v>414</v>
      </c>
      <c r="C358" s="22" t="s">
        <v>168</v>
      </c>
      <c r="D358" s="22" t="s">
        <v>774</v>
      </c>
      <c r="E358" s="22" t="s">
        <v>432</v>
      </c>
      <c r="F358" s="181">
        <f>G358+H358</f>
        <v>825</v>
      </c>
      <c r="G358" s="181">
        <f>G359</f>
        <v>0</v>
      </c>
      <c r="H358" s="119">
        <f>H359</f>
        <v>825</v>
      </c>
      <c r="I358" s="114"/>
    </row>
    <row r="359" spans="1:9" s="66" customFormat="1" ht="23.25" customHeight="1">
      <c r="A359" s="60" t="s">
        <v>227</v>
      </c>
      <c r="B359" s="22" t="s">
        <v>414</v>
      </c>
      <c r="C359" s="22" t="s">
        <v>168</v>
      </c>
      <c r="D359" s="22" t="s">
        <v>774</v>
      </c>
      <c r="E359" s="22" t="s">
        <v>226</v>
      </c>
      <c r="F359" s="181">
        <f>G359+H359</f>
        <v>825</v>
      </c>
      <c r="G359" s="119">
        <v>0</v>
      </c>
      <c r="H359" s="119">
        <v>825</v>
      </c>
      <c r="I359" s="114"/>
    </row>
    <row r="360" spans="1:9" s="66" customFormat="1" ht="111.75" customHeight="1">
      <c r="A360" s="60" t="s">
        <v>641</v>
      </c>
      <c r="B360" s="22" t="s">
        <v>414</v>
      </c>
      <c r="C360" s="22" t="s">
        <v>168</v>
      </c>
      <c r="D360" s="22" t="s">
        <v>775</v>
      </c>
      <c r="E360" s="22" t="s">
        <v>226</v>
      </c>
      <c r="F360" s="181">
        <f aca="true" t="shared" si="10" ref="F360:F365">G360</f>
        <v>8.33333</v>
      </c>
      <c r="G360" s="119">
        <f>G361</f>
        <v>8.33333</v>
      </c>
      <c r="H360" s="119">
        <f>H361</f>
        <v>0</v>
      </c>
      <c r="I360" s="114"/>
    </row>
    <row r="361" spans="1:9" s="66" customFormat="1" ht="23.25" customHeight="1">
      <c r="A361" s="60" t="s">
        <v>227</v>
      </c>
      <c r="B361" s="22" t="s">
        <v>414</v>
      </c>
      <c r="C361" s="22" t="s">
        <v>168</v>
      </c>
      <c r="D361" s="22" t="s">
        <v>775</v>
      </c>
      <c r="E361" s="22" t="s">
        <v>304</v>
      </c>
      <c r="F361" s="181">
        <f t="shared" si="10"/>
        <v>8.33333</v>
      </c>
      <c r="G361" s="119">
        <v>8.33333</v>
      </c>
      <c r="H361" s="119">
        <v>0</v>
      </c>
      <c r="I361" s="114"/>
    </row>
    <row r="362" spans="1:12" s="110" customFormat="1" ht="1.5" customHeight="1" hidden="1">
      <c r="A362" s="79" t="s">
        <v>609</v>
      </c>
      <c r="B362" s="107" t="s">
        <v>414</v>
      </c>
      <c r="C362" s="107" t="s">
        <v>168</v>
      </c>
      <c r="D362" s="107" t="s">
        <v>338</v>
      </c>
      <c r="E362" s="107" t="s">
        <v>432</v>
      </c>
      <c r="F362" s="183">
        <f t="shared" si="10"/>
        <v>0</v>
      </c>
      <c r="G362" s="184">
        <f>G363</f>
        <v>0</v>
      </c>
      <c r="H362" s="184"/>
      <c r="I362" s="114"/>
      <c r="J362" s="66"/>
      <c r="K362" s="66"/>
      <c r="L362" s="66"/>
    </row>
    <row r="363" spans="1:12" s="110" customFormat="1" ht="34.5" customHeight="1" hidden="1">
      <c r="A363" s="60" t="s">
        <v>619</v>
      </c>
      <c r="B363" s="22" t="s">
        <v>414</v>
      </c>
      <c r="C363" s="22" t="s">
        <v>168</v>
      </c>
      <c r="D363" s="22" t="s">
        <v>338</v>
      </c>
      <c r="E363" s="22" t="s">
        <v>432</v>
      </c>
      <c r="F363" s="181">
        <f t="shared" si="10"/>
        <v>0</v>
      </c>
      <c r="G363" s="119">
        <f>G364</f>
        <v>0</v>
      </c>
      <c r="H363" s="119"/>
      <c r="I363" s="114"/>
      <c r="J363" s="66"/>
      <c r="K363" s="66"/>
      <c r="L363" s="66"/>
    </row>
    <row r="364" spans="1:12" s="110" customFormat="1" ht="47.25" customHeight="1" hidden="1">
      <c r="A364" s="60" t="s">
        <v>225</v>
      </c>
      <c r="B364" s="22" t="s">
        <v>414</v>
      </c>
      <c r="C364" s="22" t="s">
        <v>168</v>
      </c>
      <c r="D364" s="22" t="s">
        <v>611</v>
      </c>
      <c r="E364" s="22" t="s">
        <v>226</v>
      </c>
      <c r="F364" s="181">
        <f t="shared" si="10"/>
        <v>0</v>
      </c>
      <c r="G364" s="119">
        <f>G365</f>
        <v>0</v>
      </c>
      <c r="H364" s="119"/>
      <c r="I364" s="114"/>
      <c r="J364" s="66"/>
      <c r="K364" s="66"/>
      <c r="L364" s="66"/>
    </row>
    <row r="365" spans="1:12" s="110" customFormat="1" ht="23.25" customHeight="1" hidden="1">
      <c r="A365" s="60" t="s">
        <v>227</v>
      </c>
      <c r="B365" s="22" t="s">
        <v>414</v>
      </c>
      <c r="C365" s="22" t="s">
        <v>168</v>
      </c>
      <c r="D365" s="22" t="s">
        <v>611</v>
      </c>
      <c r="E365" s="22" t="s">
        <v>304</v>
      </c>
      <c r="F365" s="181">
        <f t="shared" si="10"/>
        <v>0</v>
      </c>
      <c r="G365" s="119"/>
      <c r="H365" s="119"/>
      <c r="I365" s="114"/>
      <c r="J365" s="66"/>
      <c r="K365" s="66"/>
      <c r="L365" s="66"/>
    </row>
    <row r="366" spans="1:12" s="111" customFormat="1" ht="48.75" customHeight="1">
      <c r="A366" s="64" t="s">
        <v>497</v>
      </c>
      <c r="B366" s="61" t="s">
        <v>414</v>
      </c>
      <c r="C366" s="61" t="s">
        <v>411</v>
      </c>
      <c r="D366" s="61" t="s">
        <v>37</v>
      </c>
      <c r="E366" s="61" t="s">
        <v>432</v>
      </c>
      <c r="F366" s="180">
        <f t="shared" si="9"/>
        <v>50</v>
      </c>
      <c r="G366" s="120">
        <f>G367</f>
        <v>50</v>
      </c>
      <c r="H366" s="120">
        <f>H367</f>
        <v>0</v>
      </c>
      <c r="I366" s="27"/>
      <c r="J366" s="27"/>
      <c r="K366" s="27"/>
      <c r="L366" s="27"/>
    </row>
    <row r="367" spans="1:12" s="106" customFormat="1" ht="32.25" customHeight="1">
      <c r="A367" s="65" t="s">
        <v>406</v>
      </c>
      <c r="B367" s="22" t="s">
        <v>414</v>
      </c>
      <c r="C367" s="22" t="s">
        <v>411</v>
      </c>
      <c r="D367" s="22" t="s">
        <v>70</v>
      </c>
      <c r="E367" s="22" t="s">
        <v>432</v>
      </c>
      <c r="F367" s="181">
        <f t="shared" si="9"/>
        <v>50</v>
      </c>
      <c r="G367" s="119">
        <f>G368</f>
        <v>50</v>
      </c>
      <c r="H367" s="119">
        <f>H368</f>
        <v>0</v>
      </c>
      <c r="I367" s="66"/>
      <c r="J367" s="66"/>
      <c r="K367" s="66"/>
      <c r="L367" s="66"/>
    </row>
    <row r="368" spans="1:12" s="106" customFormat="1" ht="32.25" customHeight="1">
      <c r="A368" s="60" t="s">
        <v>273</v>
      </c>
      <c r="B368" s="22" t="s">
        <v>414</v>
      </c>
      <c r="C368" s="22" t="s">
        <v>411</v>
      </c>
      <c r="D368" s="22" t="s">
        <v>71</v>
      </c>
      <c r="E368" s="22" t="s">
        <v>432</v>
      </c>
      <c r="F368" s="181">
        <f t="shared" si="9"/>
        <v>50</v>
      </c>
      <c r="G368" s="119">
        <f>G369</f>
        <v>50</v>
      </c>
      <c r="H368" s="119">
        <f>H370</f>
        <v>0</v>
      </c>
      <c r="I368" s="66"/>
      <c r="J368" s="66"/>
      <c r="K368" s="66"/>
      <c r="L368" s="66"/>
    </row>
    <row r="369" spans="1:12" s="106" customFormat="1" ht="49.5" customHeight="1">
      <c r="A369" s="60" t="s">
        <v>225</v>
      </c>
      <c r="B369" s="22" t="s">
        <v>414</v>
      </c>
      <c r="C369" s="22" t="s">
        <v>411</v>
      </c>
      <c r="D369" s="22" t="s">
        <v>71</v>
      </c>
      <c r="E369" s="22" t="s">
        <v>226</v>
      </c>
      <c r="F369" s="181">
        <f t="shared" si="9"/>
        <v>50</v>
      </c>
      <c r="G369" s="119">
        <f>G370</f>
        <v>50</v>
      </c>
      <c r="H369" s="119"/>
      <c r="I369" s="66"/>
      <c r="J369" s="66"/>
      <c r="K369" s="66"/>
      <c r="L369" s="66"/>
    </row>
    <row r="370" spans="1:12" s="106" customFormat="1" ht="20.25" customHeight="1">
      <c r="A370" s="60" t="s">
        <v>227</v>
      </c>
      <c r="B370" s="22" t="s">
        <v>414</v>
      </c>
      <c r="C370" s="22" t="s">
        <v>411</v>
      </c>
      <c r="D370" s="22" t="s">
        <v>71</v>
      </c>
      <c r="E370" s="22" t="s">
        <v>304</v>
      </c>
      <c r="F370" s="181">
        <f t="shared" si="9"/>
        <v>50</v>
      </c>
      <c r="G370" s="119">
        <v>50</v>
      </c>
      <c r="H370" s="119"/>
      <c r="I370" s="66"/>
      <c r="J370" s="66"/>
      <c r="K370" s="66"/>
      <c r="L370" s="66"/>
    </row>
    <row r="371" spans="1:12" s="106" customFormat="1" ht="20.25" customHeight="1">
      <c r="A371" s="64" t="s">
        <v>747</v>
      </c>
      <c r="B371" s="61" t="s">
        <v>414</v>
      </c>
      <c r="C371" s="61" t="s">
        <v>414</v>
      </c>
      <c r="D371" s="61" t="s">
        <v>338</v>
      </c>
      <c r="E371" s="61" t="s">
        <v>432</v>
      </c>
      <c r="F371" s="180">
        <f>G371+H371</f>
        <v>2540.5791799999997</v>
      </c>
      <c r="G371" s="120">
        <f>G372</f>
        <v>11.24799</v>
      </c>
      <c r="H371" s="120">
        <f>H372</f>
        <v>2529.33119</v>
      </c>
      <c r="I371" s="66"/>
      <c r="J371" s="66"/>
      <c r="K371" s="66"/>
      <c r="L371" s="66"/>
    </row>
    <row r="372" spans="1:12" s="106" customFormat="1" ht="49.5" customHeight="1">
      <c r="A372" s="64" t="s">
        <v>497</v>
      </c>
      <c r="B372" s="61" t="s">
        <v>414</v>
      </c>
      <c r="C372" s="61" t="s">
        <v>414</v>
      </c>
      <c r="D372" s="61" t="s">
        <v>37</v>
      </c>
      <c r="E372" s="61" t="s">
        <v>432</v>
      </c>
      <c r="F372" s="181">
        <f t="shared" si="9"/>
        <v>2540.5791799999997</v>
      </c>
      <c r="G372" s="119">
        <f>G373+G379</f>
        <v>11.24799</v>
      </c>
      <c r="H372" s="119">
        <f>H373+H379</f>
        <v>2529.33119</v>
      </c>
      <c r="I372" s="66"/>
      <c r="J372" s="66"/>
      <c r="K372" s="66"/>
      <c r="L372" s="66"/>
    </row>
    <row r="373" spans="1:12" s="106" customFormat="1" ht="33.75" customHeight="1">
      <c r="A373" s="65" t="s">
        <v>485</v>
      </c>
      <c r="B373" s="22" t="s">
        <v>414</v>
      </c>
      <c r="C373" s="22" t="s">
        <v>414</v>
      </c>
      <c r="D373" s="22" t="s">
        <v>72</v>
      </c>
      <c r="E373" s="22" t="s">
        <v>432</v>
      </c>
      <c r="F373" s="181">
        <f t="shared" si="9"/>
        <v>1347.10419</v>
      </c>
      <c r="G373" s="119">
        <f>G374</f>
        <v>0</v>
      </c>
      <c r="H373" s="119">
        <f>H374</f>
        <v>1347.10419</v>
      </c>
      <c r="I373" s="66"/>
      <c r="J373" s="66"/>
      <c r="K373" s="66"/>
      <c r="L373" s="66"/>
    </row>
    <row r="374" spans="1:12" s="111" customFormat="1" ht="65.25" customHeight="1">
      <c r="A374" s="64" t="s">
        <v>783</v>
      </c>
      <c r="B374" s="61" t="s">
        <v>414</v>
      </c>
      <c r="C374" s="61" t="s">
        <v>414</v>
      </c>
      <c r="D374" s="61" t="s">
        <v>72</v>
      </c>
      <c r="E374" s="61" t="s">
        <v>432</v>
      </c>
      <c r="F374" s="180">
        <f t="shared" si="9"/>
        <v>1347.10419</v>
      </c>
      <c r="G374" s="120"/>
      <c r="H374" s="120">
        <f>H375+H377</f>
        <v>1347.10419</v>
      </c>
      <c r="I374" s="27"/>
      <c r="J374" s="27"/>
      <c r="K374" s="27"/>
      <c r="L374" s="27"/>
    </row>
    <row r="375" spans="1:12" s="106" customFormat="1" ht="33" customHeight="1">
      <c r="A375" s="94" t="s">
        <v>216</v>
      </c>
      <c r="B375" s="22" t="s">
        <v>414</v>
      </c>
      <c r="C375" s="22" t="s">
        <v>414</v>
      </c>
      <c r="D375" s="22" t="s">
        <v>73</v>
      </c>
      <c r="E375" s="22" t="s">
        <v>171</v>
      </c>
      <c r="F375" s="181">
        <f>G375+H375</f>
        <v>0</v>
      </c>
      <c r="G375" s="119"/>
      <c r="H375" s="119">
        <f>H376</f>
        <v>0</v>
      </c>
      <c r="I375" s="66"/>
      <c r="J375" s="66"/>
      <c r="K375" s="66"/>
      <c r="L375" s="66"/>
    </row>
    <row r="376" spans="1:12" s="106" customFormat="1" ht="33" customHeight="1">
      <c r="A376" s="94" t="s">
        <v>217</v>
      </c>
      <c r="B376" s="22" t="s">
        <v>414</v>
      </c>
      <c r="C376" s="22" t="s">
        <v>414</v>
      </c>
      <c r="D376" s="22" t="s">
        <v>73</v>
      </c>
      <c r="E376" s="22" t="s">
        <v>218</v>
      </c>
      <c r="F376" s="181">
        <f>G376+H376</f>
        <v>0</v>
      </c>
      <c r="G376" s="119"/>
      <c r="H376" s="119"/>
      <c r="I376" s="66"/>
      <c r="J376" s="66"/>
      <c r="K376" s="66"/>
      <c r="L376" s="66"/>
    </row>
    <row r="377" spans="1:12" s="106" customFormat="1" ht="48.75" customHeight="1">
      <c r="A377" s="94" t="s">
        <v>225</v>
      </c>
      <c r="B377" s="22" t="s">
        <v>414</v>
      </c>
      <c r="C377" s="22" t="s">
        <v>414</v>
      </c>
      <c r="D377" s="22" t="s">
        <v>73</v>
      </c>
      <c r="E377" s="22" t="s">
        <v>226</v>
      </c>
      <c r="F377" s="181">
        <f t="shared" si="9"/>
        <v>1347.10419</v>
      </c>
      <c r="G377" s="119"/>
      <c r="H377" s="119">
        <f>H378</f>
        <v>1347.10419</v>
      </c>
      <c r="I377" s="66"/>
      <c r="J377" s="66"/>
      <c r="K377" s="66"/>
      <c r="L377" s="66"/>
    </row>
    <row r="378" spans="1:12" s="106" customFormat="1" ht="17.25" customHeight="1">
      <c r="A378" s="94" t="s">
        <v>227</v>
      </c>
      <c r="B378" s="22" t="s">
        <v>414</v>
      </c>
      <c r="C378" s="22" t="s">
        <v>414</v>
      </c>
      <c r="D378" s="22" t="s">
        <v>73</v>
      </c>
      <c r="E378" s="22" t="s">
        <v>304</v>
      </c>
      <c r="F378" s="181">
        <f t="shared" si="9"/>
        <v>1347.10419</v>
      </c>
      <c r="G378" s="119"/>
      <c r="H378" s="119">
        <f>3064.058-400-642.381-674.57281</f>
        <v>1347.10419</v>
      </c>
      <c r="I378" s="66"/>
      <c r="J378" s="66"/>
      <c r="K378" s="66"/>
      <c r="L378" s="66"/>
    </row>
    <row r="379" spans="1:12" s="110" customFormat="1" ht="51" customHeight="1">
      <c r="A379" s="79" t="s">
        <v>714</v>
      </c>
      <c r="B379" s="107" t="s">
        <v>414</v>
      </c>
      <c r="C379" s="107" t="s">
        <v>414</v>
      </c>
      <c r="D379" s="107" t="s">
        <v>338</v>
      </c>
      <c r="E379" s="107" t="s">
        <v>432</v>
      </c>
      <c r="F379" s="183">
        <f aca="true" t="shared" si="11" ref="F379:F385">G379+H379</f>
        <v>1193.4749900000002</v>
      </c>
      <c r="G379" s="184">
        <f>G383</f>
        <v>11.24799</v>
      </c>
      <c r="H379" s="184">
        <f>H380</f>
        <v>1182.227</v>
      </c>
      <c r="I379" s="114"/>
      <c r="J379" s="66"/>
      <c r="K379" s="66"/>
      <c r="L379" s="66"/>
    </row>
    <row r="380" spans="1:12" s="110" customFormat="1" ht="82.5" customHeight="1">
      <c r="A380" s="60" t="s">
        <v>727</v>
      </c>
      <c r="B380" s="22" t="s">
        <v>414</v>
      </c>
      <c r="C380" s="22" t="s">
        <v>414</v>
      </c>
      <c r="D380" s="22" t="s">
        <v>737</v>
      </c>
      <c r="E380" s="22" t="s">
        <v>432</v>
      </c>
      <c r="F380" s="181">
        <f t="shared" si="11"/>
        <v>1182.227</v>
      </c>
      <c r="G380" s="119"/>
      <c r="H380" s="119">
        <f>H381</f>
        <v>1182.227</v>
      </c>
      <c r="I380" s="114"/>
      <c r="J380" s="66"/>
      <c r="K380" s="66"/>
      <c r="L380" s="66"/>
    </row>
    <row r="381" spans="1:12" s="110" customFormat="1" ht="45" customHeight="1">
      <c r="A381" s="60" t="s">
        <v>225</v>
      </c>
      <c r="B381" s="22" t="s">
        <v>414</v>
      </c>
      <c r="C381" s="22" t="s">
        <v>414</v>
      </c>
      <c r="D381" s="22" t="s">
        <v>737</v>
      </c>
      <c r="E381" s="22" t="s">
        <v>226</v>
      </c>
      <c r="F381" s="181">
        <f t="shared" si="11"/>
        <v>1182.227</v>
      </c>
      <c r="G381" s="119"/>
      <c r="H381" s="119">
        <f>H382</f>
        <v>1182.227</v>
      </c>
      <c r="I381" s="114"/>
      <c r="J381" s="66"/>
      <c r="K381" s="66"/>
      <c r="L381" s="66"/>
    </row>
    <row r="382" spans="1:12" s="110" customFormat="1" ht="23.25" customHeight="1">
      <c r="A382" s="60" t="s">
        <v>227</v>
      </c>
      <c r="B382" s="22" t="s">
        <v>414</v>
      </c>
      <c r="C382" s="22" t="s">
        <v>414</v>
      </c>
      <c r="D382" s="22" t="s">
        <v>737</v>
      </c>
      <c r="E382" s="22" t="s">
        <v>304</v>
      </c>
      <c r="F382" s="181">
        <f t="shared" si="11"/>
        <v>1182.227</v>
      </c>
      <c r="G382" s="119"/>
      <c r="H382" s="119">
        <v>1182.227</v>
      </c>
      <c r="I382" s="114"/>
      <c r="J382" s="66"/>
      <c r="K382" s="66"/>
      <c r="L382" s="66"/>
    </row>
    <row r="383" spans="1:12" s="110" customFormat="1" ht="93.75" customHeight="1">
      <c r="A383" s="60" t="s">
        <v>728</v>
      </c>
      <c r="B383" s="22" t="s">
        <v>414</v>
      </c>
      <c r="C383" s="22" t="s">
        <v>414</v>
      </c>
      <c r="D383" s="22" t="s">
        <v>786</v>
      </c>
      <c r="E383" s="22" t="s">
        <v>432</v>
      </c>
      <c r="F383" s="181">
        <f t="shared" si="11"/>
        <v>11.24799</v>
      </c>
      <c r="G383" s="119">
        <f>G384</f>
        <v>11.24799</v>
      </c>
      <c r="H383" s="119"/>
      <c r="I383" s="114"/>
      <c r="J383" s="66"/>
      <c r="K383" s="66"/>
      <c r="L383" s="66"/>
    </row>
    <row r="384" spans="1:12" s="110" customFormat="1" ht="48" customHeight="1">
      <c r="A384" s="60" t="s">
        <v>225</v>
      </c>
      <c r="B384" s="22" t="s">
        <v>414</v>
      </c>
      <c r="C384" s="22" t="s">
        <v>414</v>
      </c>
      <c r="D384" s="22" t="s">
        <v>786</v>
      </c>
      <c r="E384" s="22" t="s">
        <v>226</v>
      </c>
      <c r="F384" s="181">
        <f t="shared" si="11"/>
        <v>11.24799</v>
      </c>
      <c r="G384" s="119">
        <f>G385</f>
        <v>11.24799</v>
      </c>
      <c r="H384" s="119"/>
      <c r="I384" s="114"/>
      <c r="J384" s="66"/>
      <c r="K384" s="66"/>
      <c r="L384" s="66"/>
    </row>
    <row r="385" spans="1:12" s="110" customFormat="1" ht="23.25" customHeight="1">
      <c r="A385" s="60" t="s">
        <v>227</v>
      </c>
      <c r="B385" s="22" t="s">
        <v>414</v>
      </c>
      <c r="C385" s="22" t="s">
        <v>414</v>
      </c>
      <c r="D385" s="22" t="s">
        <v>786</v>
      </c>
      <c r="E385" s="22" t="s">
        <v>304</v>
      </c>
      <c r="F385" s="181">
        <f t="shared" si="11"/>
        <v>11.24799</v>
      </c>
      <c r="G385" s="119">
        <f>11.94169-6.00085+5.30715</f>
        <v>11.24799</v>
      </c>
      <c r="H385" s="119"/>
      <c r="I385" s="114"/>
      <c r="J385" s="66"/>
      <c r="K385" s="66"/>
      <c r="L385" s="66"/>
    </row>
    <row r="386" spans="1:10" s="27" customFormat="1" ht="18" customHeight="1">
      <c r="A386" s="64" t="s">
        <v>389</v>
      </c>
      <c r="B386" s="61" t="s">
        <v>414</v>
      </c>
      <c r="C386" s="61" t="s">
        <v>399</v>
      </c>
      <c r="D386" s="61" t="s">
        <v>338</v>
      </c>
      <c r="E386" s="61" t="s">
        <v>432</v>
      </c>
      <c r="F386" s="180">
        <f t="shared" si="9"/>
        <v>47011.17093</v>
      </c>
      <c r="G386" s="120">
        <f>G387+G401+G404+G413+G417+G424+G420</f>
        <v>45191.85293</v>
      </c>
      <c r="H386" s="120">
        <f>H404+H413+H424</f>
        <v>1819.3179999999998</v>
      </c>
      <c r="I386" s="27">
        <v>41606.48</v>
      </c>
      <c r="J386" s="95">
        <f>I386-G386</f>
        <v>-3585.3729299999977</v>
      </c>
    </row>
    <row r="387" spans="1:12" s="106" customFormat="1" ht="33.75" customHeight="1">
      <c r="A387" s="65" t="s">
        <v>279</v>
      </c>
      <c r="B387" s="22" t="s">
        <v>414</v>
      </c>
      <c r="C387" s="22" t="s">
        <v>399</v>
      </c>
      <c r="D387" s="22" t="s">
        <v>74</v>
      </c>
      <c r="E387" s="22" t="s">
        <v>432</v>
      </c>
      <c r="F387" s="181">
        <f t="shared" si="9"/>
        <v>40646.57293</v>
      </c>
      <c r="G387" s="119">
        <f>G388+G396</f>
        <v>40646.57293</v>
      </c>
      <c r="H387" s="119">
        <f>H388</f>
        <v>0</v>
      </c>
      <c r="I387" s="66">
        <v>32506.9</v>
      </c>
      <c r="J387" s="66"/>
      <c r="K387" s="66"/>
      <c r="L387" s="66"/>
    </row>
    <row r="388" spans="1:12" s="106" customFormat="1" ht="50.25" customHeight="1">
      <c r="A388" s="60" t="s">
        <v>76</v>
      </c>
      <c r="B388" s="22" t="s">
        <v>414</v>
      </c>
      <c r="C388" s="22" t="s">
        <v>399</v>
      </c>
      <c r="D388" s="22" t="s">
        <v>75</v>
      </c>
      <c r="E388" s="22" t="s">
        <v>432</v>
      </c>
      <c r="F388" s="181">
        <f t="shared" si="9"/>
        <v>37740.64</v>
      </c>
      <c r="G388" s="119">
        <f>G389+G391+G393</f>
        <v>37740.64</v>
      </c>
      <c r="H388" s="119">
        <f>SUM(H389:H395)</f>
        <v>0</v>
      </c>
      <c r="I388" s="66">
        <v>22931.524</v>
      </c>
      <c r="J388" s="66"/>
      <c r="K388" s="66"/>
      <c r="L388" s="66">
        <v>8</v>
      </c>
    </row>
    <row r="389" spans="1:12" s="106" customFormat="1" ht="95.25" customHeight="1">
      <c r="A389" s="60" t="s">
        <v>199</v>
      </c>
      <c r="B389" s="22" t="s">
        <v>414</v>
      </c>
      <c r="C389" s="22" t="s">
        <v>399</v>
      </c>
      <c r="D389" s="22" t="s">
        <v>75</v>
      </c>
      <c r="E389" s="22" t="s">
        <v>166</v>
      </c>
      <c r="F389" s="181">
        <f t="shared" si="9"/>
        <v>31601</v>
      </c>
      <c r="G389" s="119">
        <f>G390</f>
        <v>31601</v>
      </c>
      <c r="H389" s="119"/>
      <c r="I389" s="66"/>
      <c r="J389" s="66"/>
      <c r="K389" s="66"/>
      <c r="L389" s="66"/>
    </row>
    <row r="390" spans="1:12" s="106" customFormat="1" ht="32.25" customHeight="1">
      <c r="A390" s="60" t="s">
        <v>215</v>
      </c>
      <c r="B390" s="22" t="s">
        <v>414</v>
      </c>
      <c r="C390" s="22" t="s">
        <v>399</v>
      </c>
      <c r="D390" s="22" t="s">
        <v>75</v>
      </c>
      <c r="E390" s="22" t="s">
        <v>173</v>
      </c>
      <c r="F390" s="181">
        <f t="shared" si="9"/>
        <v>31601</v>
      </c>
      <c r="G390" s="119">
        <v>31601</v>
      </c>
      <c r="H390" s="187"/>
      <c r="I390" s="123">
        <f>G390+G397</f>
        <v>34506.93293</v>
      </c>
      <c r="J390" s="66"/>
      <c r="K390" s="66"/>
      <c r="L390" s="66"/>
    </row>
    <row r="391" spans="1:12" s="106" customFormat="1" ht="33" customHeight="1">
      <c r="A391" s="60" t="s">
        <v>202</v>
      </c>
      <c r="B391" s="22" t="s">
        <v>414</v>
      </c>
      <c r="C391" s="22" t="s">
        <v>399</v>
      </c>
      <c r="D391" s="22" t="s">
        <v>75</v>
      </c>
      <c r="E391" s="22" t="s">
        <v>170</v>
      </c>
      <c r="F391" s="181">
        <f t="shared" si="9"/>
        <v>5950.44</v>
      </c>
      <c r="G391" s="119">
        <f>G392</f>
        <v>5950.44</v>
      </c>
      <c r="H391" s="187"/>
      <c r="I391" s="66"/>
      <c r="J391" s="66"/>
      <c r="K391" s="66"/>
      <c r="L391" s="66"/>
    </row>
    <row r="392" spans="1:12" s="106" customFormat="1" ht="48.75" customHeight="1">
      <c r="A392" s="94" t="s">
        <v>203</v>
      </c>
      <c r="B392" s="22" t="s">
        <v>414</v>
      </c>
      <c r="C392" s="22" t="s">
        <v>399</v>
      </c>
      <c r="D392" s="22" t="s">
        <v>75</v>
      </c>
      <c r="E392" s="22" t="s">
        <v>204</v>
      </c>
      <c r="F392" s="181">
        <f t="shared" si="9"/>
        <v>5950.44</v>
      </c>
      <c r="G392" s="119">
        <f>5877-106.56+300-120</f>
        <v>5950.44</v>
      </c>
      <c r="H392" s="119"/>
      <c r="I392" s="123">
        <f>G392+G399</f>
        <v>5950.44</v>
      </c>
      <c r="J392" s="66"/>
      <c r="K392" s="66"/>
      <c r="L392" s="66"/>
    </row>
    <row r="393" spans="1:12" s="106" customFormat="1" ht="19.5" customHeight="1">
      <c r="A393" s="60" t="s">
        <v>207</v>
      </c>
      <c r="B393" s="22" t="s">
        <v>414</v>
      </c>
      <c r="C393" s="22" t="s">
        <v>399</v>
      </c>
      <c r="D393" s="22" t="s">
        <v>75</v>
      </c>
      <c r="E393" s="22" t="s">
        <v>208</v>
      </c>
      <c r="F393" s="181">
        <f t="shared" si="9"/>
        <v>189.2</v>
      </c>
      <c r="G393" s="119">
        <f>G394+G395</f>
        <v>189.2</v>
      </c>
      <c r="H393" s="119"/>
      <c r="I393" s="66"/>
      <c r="J393" s="66"/>
      <c r="K393" s="66"/>
      <c r="L393" s="66"/>
    </row>
    <row r="394" spans="1:12" s="106" customFormat="1" ht="19.5" customHeight="1" hidden="1">
      <c r="A394" s="60" t="s">
        <v>211</v>
      </c>
      <c r="B394" s="22" t="s">
        <v>414</v>
      </c>
      <c r="C394" s="22" t="s">
        <v>399</v>
      </c>
      <c r="D394" s="22" t="s">
        <v>75</v>
      </c>
      <c r="E394" s="22" t="s">
        <v>212</v>
      </c>
      <c r="F394" s="181">
        <f>G394</f>
        <v>0</v>
      </c>
      <c r="G394" s="119"/>
      <c r="H394" s="119"/>
      <c r="I394" s="66"/>
      <c r="J394" s="66"/>
      <c r="K394" s="66"/>
      <c r="L394" s="66"/>
    </row>
    <row r="395" spans="1:12" s="106" customFormat="1" ht="19.5" customHeight="1">
      <c r="A395" s="60" t="s">
        <v>205</v>
      </c>
      <c r="B395" s="22" t="s">
        <v>414</v>
      </c>
      <c r="C395" s="22" t="s">
        <v>399</v>
      </c>
      <c r="D395" s="22" t="s">
        <v>75</v>
      </c>
      <c r="E395" s="22" t="s">
        <v>206</v>
      </c>
      <c r="F395" s="181">
        <f>G395+H395</f>
        <v>189.2</v>
      </c>
      <c r="G395" s="119">
        <v>189.2</v>
      </c>
      <c r="H395" s="119"/>
      <c r="I395" s="66"/>
      <c r="J395" s="66"/>
      <c r="K395" s="66"/>
      <c r="L395" s="66"/>
    </row>
    <row r="396" spans="1:12" s="106" customFormat="1" ht="65.25" customHeight="1">
      <c r="A396" s="65" t="s">
        <v>571</v>
      </c>
      <c r="B396" s="22" t="s">
        <v>414</v>
      </c>
      <c r="C396" s="22" t="s">
        <v>399</v>
      </c>
      <c r="D396" s="22" t="s">
        <v>75</v>
      </c>
      <c r="E396" s="22" t="s">
        <v>432</v>
      </c>
      <c r="F396" s="181">
        <f>G396</f>
        <v>2905.9329299999995</v>
      </c>
      <c r="G396" s="119">
        <f>G397+G399</f>
        <v>2905.9329299999995</v>
      </c>
      <c r="H396" s="188"/>
      <c r="I396" s="66"/>
      <c r="J396" s="66"/>
      <c r="K396" s="66"/>
      <c r="L396" s="66"/>
    </row>
    <row r="397" spans="1:12" s="106" customFormat="1" ht="93.75" customHeight="1">
      <c r="A397" s="60" t="s">
        <v>199</v>
      </c>
      <c r="B397" s="22" t="s">
        <v>414</v>
      </c>
      <c r="C397" s="22" t="s">
        <v>399</v>
      </c>
      <c r="D397" s="22" t="s">
        <v>75</v>
      </c>
      <c r="E397" s="22" t="s">
        <v>166</v>
      </c>
      <c r="F397" s="181">
        <f>G397</f>
        <v>2905.9329299999995</v>
      </c>
      <c r="G397" s="119">
        <f>G398</f>
        <v>2905.9329299999995</v>
      </c>
      <c r="H397" s="188"/>
      <c r="I397" s="66"/>
      <c r="J397" s="66"/>
      <c r="K397" s="66"/>
      <c r="L397" s="66"/>
    </row>
    <row r="398" spans="1:12" s="106" customFormat="1" ht="33" customHeight="1">
      <c r="A398" s="60" t="s">
        <v>215</v>
      </c>
      <c r="B398" s="22" t="s">
        <v>414</v>
      </c>
      <c r="C398" s="22" t="s">
        <v>399</v>
      </c>
      <c r="D398" s="22" t="s">
        <v>75</v>
      </c>
      <c r="E398" s="22" t="s">
        <v>173</v>
      </c>
      <c r="F398" s="181">
        <f>G398</f>
        <v>2905.9329299999995</v>
      </c>
      <c r="G398" s="119">
        <f>1345.6+1625.93-36-80+30+6-38.00045-10.09072-0.965+56.03252+18.72658-11.3</f>
        <v>2905.9329299999995</v>
      </c>
      <c r="H398" s="188"/>
      <c r="I398" s="66"/>
      <c r="J398" s="66"/>
      <c r="K398" s="66"/>
      <c r="L398" s="66"/>
    </row>
    <row r="399" spans="1:12" s="110" customFormat="1" ht="33.75" customHeight="1" hidden="1">
      <c r="A399" s="60" t="s">
        <v>202</v>
      </c>
      <c r="B399" s="22" t="s">
        <v>414</v>
      </c>
      <c r="C399" s="22" t="s">
        <v>399</v>
      </c>
      <c r="D399" s="22" t="s">
        <v>75</v>
      </c>
      <c r="E399" s="22" t="s">
        <v>170</v>
      </c>
      <c r="F399" s="181">
        <f>G399</f>
        <v>0</v>
      </c>
      <c r="G399" s="119">
        <f>G400</f>
        <v>0</v>
      </c>
      <c r="H399" s="188"/>
      <c r="I399" s="66"/>
      <c r="J399" s="66"/>
      <c r="K399" s="66"/>
      <c r="L399" s="66"/>
    </row>
    <row r="400" spans="1:12" s="110" customFormat="1" ht="47.25" customHeight="1" hidden="1">
      <c r="A400" s="94" t="s">
        <v>203</v>
      </c>
      <c r="B400" s="22" t="s">
        <v>414</v>
      </c>
      <c r="C400" s="22" t="s">
        <v>399</v>
      </c>
      <c r="D400" s="22" t="s">
        <v>75</v>
      </c>
      <c r="E400" s="22" t="s">
        <v>204</v>
      </c>
      <c r="F400" s="181">
        <f>G400</f>
        <v>0</v>
      </c>
      <c r="G400" s="119">
        <f>36+80-30-6-59-21</f>
        <v>0</v>
      </c>
      <c r="H400" s="188"/>
      <c r="I400" s="66"/>
      <c r="J400" s="66"/>
      <c r="K400" s="66"/>
      <c r="L400" s="66"/>
    </row>
    <row r="401" spans="1:12" s="106" customFormat="1" ht="33.75" customHeight="1">
      <c r="A401" s="65" t="s">
        <v>39</v>
      </c>
      <c r="B401" s="22" t="s">
        <v>414</v>
      </c>
      <c r="C401" s="22" t="s">
        <v>399</v>
      </c>
      <c r="D401" s="10" t="s">
        <v>38</v>
      </c>
      <c r="E401" s="22" t="s">
        <v>432</v>
      </c>
      <c r="F401" s="181">
        <f>G401+H401</f>
        <v>111</v>
      </c>
      <c r="G401" s="119">
        <f>G402</f>
        <v>111</v>
      </c>
      <c r="H401" s="189"/>
      <c r="I401" s="66"/>
      <c r="J401" s="66"/>
      <c r="K401" s="66"/>
      <c r="L401" s="66"/>
    </row>
    <row r="402" spans="1:12" s="106" customFormat="1" ht="33" customHeight="1">
      <c r="A402" s="60" t="s">
        <v>202</v>
      </c>
      <c r="B402" s="22" t="s">
        <v>414</v>
      </c>
      <c r="C402" s="22" t="s">
        <v>399</v>
      </c>
      <c r="D402" s="10" t="s">
        <v>40</v>
      </c>
      <c r="E402" s="22" t="s">
        <v>170</v>
      </c>
      <c r="F402" s="181">
        <f>G402+H402</f>
        <v>111</v>
      </c>
      <c r="G402" s="119">
        <f>G403</f>
        <v>111</v>
      </c>
      <c r="H402" s="119"/>
      <c r="I402" s="66"/>
      <c r="J402" s="66"/>
      <c r="K402" s="66"/>
      <c r="L402" s="66"/>
    </row>
    <row r="403" spans="1:12" s="106" customFormat="1" ht="51" customHeight="1">
      <c r="A403" s="94" t="s">
        <v>203</v>
      </c>
      <c r="B403" s="22" t="s">
        <v>414</v>
      </c>
      <c r="C403" s="22" t="s">
        <v>399</v>
      </c>
      <c r="D403" s="10" t="s">
        <v>41</v>
      </c>
      <c r="E403" s="22" t="s">
        <v>204</v>
      </c>
      <c r="F403" s="181">
        <f>G403+H403</f>
        <v>111</v>
      </c>
      <c r="G403" s="119">
        <v>111</v>
      </c>
      <c r="H403" s="119"/>
      <c r="I403" s="66"/>
      <c r="J403" s="66"/>
      <c r="K403" s="66"/>
      <c r="L403" s="66"/>
    </row>
    <row r="404" spans="1:8" s="27" customFormat="1" ht="63" customHeight="1">
      <c r="A404" s="64" t="s">
        <v>498</v>
      </c>
      <c r="B404" s="61" t="s">
        <v>414</v>
      </c>
      <c r="C404" s="61" t="s">
        <v>399</v>
      </c>
      <c r="D404" s="61" t="s">
        <v>77</v>
      </c>
      <c r="E404" s="61" t="s">
        <v>432</v>
      </c>
      <c r="F404" s="180">
        <f t="shared" si="9"/>
        <v>688</v>
      </c>
      <c r="G404" s="120">
        <f>G405+G410</f>
        <v>688</v>
      </c>
      <c r="H404" s="120">
        <f>H405</f>
        <v>0</v>
      </c>
    </row>
    <row r="405" spans="1:12" s="106" customFormat="1" ht="18" customHeight="1">
      <c r="A405" s="60" t="s">
        <v>424</v>
      </c>
      <c r="B405" s="22" t="s">
        <v>414</v>
      </c>
      <c r="C405" s="22" t="s">
        <v>399</v>
      </c>
      <c r="D405" s="22" t="s">
        <v>78</v>
      </c>
      <c r="E405" s="22" t="s">
        <v>432</v>
      </c>
      <c r="F405" s="181">
        <f t="shared" si="9"/>
        <v>438</v>
      </c>
      <c r="G405" s="119">
        <f>G406+G408</f>
        <v>438</v>
      </c>
      <c r="H405" s="119"/>
      <c r="I405" s="66"/>
      <c r="J405" s="66"/>
      <c r="K405" s="66"/>
      <c r="L405" s="66"/>
    </row>
    <row r="406" spans="1:12" s="106" customFormat="1" ht="98.25" customHeight="1">
      <c r="A406" s="60" t="s">
        <v>199</v>
      </c>
      <c r="B406" s="22" t="s">
        <v>414</v>
      </c>
      <c r="C406" s="22" t="s">
        <v>399</v>
      </c>
      <c r="D406" s="22" t="s">
        <v>79</v>
      </c>
      <c r="E406" s="22" t="s">
        <v>166</v>
      </c>
      <c r="F406" s="181">
        <f>G406</f>
        <v>2.31083</v>
      </c>
      <c r="G406" s="119">
        <f>G407</f>
        <v>2.31083</v>
      </c>
      <c r="H406" s="119"/>
      <c r="I406" s="66"/>
      <c r="J406" s="66"/>
      <c r="K406" s="66"/>
      <c r="L406" s="66"/>
    </row>
    <row r="407" spans="1:12" s="106" customFormat="1" ht="34.5" customHeight="1">
      <c r="A407" s="60" t="s">
        <v>215</v>
      </c>
      <c r="B407" s="22" t="s">
        <v>414</v>
      </c>
      <c r="C407" s="22" t="s">
        <v>399</v>
      </c>
      <c r="D407" s="22" t="s">
        <v>79</v>
      </c>
      <c r="E407" s="22" t="s">
        <v>173</v>
      </c>
      <c r="F407" s="181">
        <f>G407</f>
        <v>2.31083</v>
      </c>
      <c r="G407" s="119">
        <v>2.31083</v>
      </c>
      <c r="H407" s="119"/>
      <c r="I407" s="66"/>
      <c r="J407" s="66"/>
      <c r="K407" s="66"/>
      <c r="L407" s="66"/>
    </row>
    <row r="408" spans="1:12" s="106" customFormat="1" ht="37.5" customHeight="1">
      <c r="A408" s="60" t="s">
        <v>202</v>
      </c>
      <c r="B408" s="22" t="s">
        <v>414</v>
      </c>
      <c r="C408" s="22" t="s">
        <v>399</v>
      </c>
      <c r="D408" s="22" t="s">
        <v>79</v>
      </c>
      <c r="E408" s="22" t="s">
        <v>170</v>
      </c>
      <c r="F408" s="181">
        <f t="shared" si="9"/>
        <v>435.68917</v>
      </c>
      <c r="G408" s="119">
        <f>G409</f>
        <v>435.68917</v>
      </c>
      <c r="H408" s="119"/>
      <c r="I408" s="66"/>
      <c r="J408" s="66"/>
      <c r="K408" s="66"/>
      <c r="L408" s="66"/>
    </row>
    <row r="409" spans="1:12" s="106" customFormat="1" ht="50.25" customHeight="1">
      <c r="A409" s="94" t="s">
        <v>203</v>
      </c>
      <c r="B409" s="22" t="s">
        <v>414</v>
      </c>
      <c r="C409" s="22" t="s">
        <v>399</v>
      </c>
      <c r="D409" s="22" t="s">
        <v>79</v>
      </c>
      <c r="E409" s="22" t="s">
        <v>204</v>
      </c>
      <c r="F409" s="181">
        <f t="shared" si="9"/>
        <v>435.68917</v>
      </c>
      <c r="G409" s="119">
        <f>300+48+90-2.31083</f>
        <v>435.68917</v>
      </c>
      <c r="H409" s="119"/>
      <c r="I409" s="66">
        <f>262+15+3</f>
        <v>280</v>
      </c>
      <c r="J409" s="66"/>
      <c r="K409" s="66"/>
      <c r="L409" s="66"/>
    </row>
    <row r="410" spans="1:12" s="106" customFormat="1" ht="33" customHeight="1">
      <c r="A410" s="60" t="s">
        <v>140</v>
      </c>
      <c r="B410" s="22" t="s">
        <v>414</v>
      </c>
      <c r="C410" s="22" t="s">
        <v>399</v>
      </c>
      <c r="D410" s="22" t="s">
        <v>80</v>
      </c>
      <c r="E410" s="22" t="s">
        <v>432</v>
      </c>
      <c r="F410" s="181">
        <f t="shared" si="9"/>
        <v>250</v>
      </c>
      <c r="G410" s="119">
        <f>G411</f>
        <v>250</v>
      </c>
      <c r="H410" s="119"/>
      <c r="I410" s="66"/>
      <c r="J410" s="66"/>
      <c r="K410" s="66"/>
      <c r="L410" s="66"/>
    </row>
    <row r="411" spans="1:12" s="106" customFormat="1" ht="49.5" customHeight="1">
      <c r="A411" s="60" t="s">
        <v>225</v>
      </c>
      <c r="B411" s="22" t="s">
        <v>414</v>
      </c>
      <c r="C411" s="22" t="s">
        <v>399</v>
      </c>
      <c r="D411" s="22" t="s">
        <v>80</v>
      </c>
      <c r="E411" s="22" t="s">
        <v>226</v>
      </c>
      <c r="F411" s="181">
        <f t="shared" si="9"/>
        <v>250</v>
      </c>
      <c r="G411" s="119">
        <f>G412</f>
        <v>250</v>
      </c>
      <c r="H411" s="119"/>
      <c r="I411" s="66"/>
      <c r="J411" s="66"/>
      <c r="K411" s="66"/>
      <c r="L411" s="66"/>
    </row>
    <row r="412" spans="1:12" s="106" customFormat="1" ht="16.5" customHeight="1">
      <c r="A412" s="60" t="s">
        <v>227</v>
      </c>
      <c r="B412" s="22" t="s">
        <v>414</v>
      </c>
      <c r="C412" s="22" t="s">
        <v>399</v>
      </c>
      <c r="D412" s="22" t="s">
        <v>80</v>
      </c>
      <c r="E412" s="22" t="s">
        <v>304</v>
      </c>
      <c r="F412" s="181">
        <f t="shared" si="9"/>
        <v>250</v>
      </c>
      <c r="G412" s="119">
        <f>298-48</f>
        <v>250</v>
      </c>
      <c r="H412" s="119"/>
      <c r="I412" s="66">
        <f>218+100</f>
        <v>318</v>
      </c>
      <c r="J412" s="66"/>
      <c r="K412" s="66"/>
      <c r="L412" s="66"/>
    </row>
    <row r="413" spans="1:8" s="27" customFormat="1" ht="64.5" customHeight="1">
      <c r="A413" s="64" t="s">
        <v>511</v>
      </c>
      <c r="B413" s="61" t="s">
        <v>414</v>
      </c>
      <c r="C413" s="61" t="s">
        <v>399</v>
      </c>
      <c r="D413" s="61" t="s">
        <v>44</v>
      </c>
      <c r="E413" s="61" t="s">
        <v>432</v>
      </c>
      <c r="F413" s="180">
        <f t="shared" si="9"/>
        <v>46</v>
      </c>
      <c r="G413" s="120">
        <f>G414</f>
        <v>46</v>
      </c>
      <c r="H413" s="120">
        <f>H414</f>
        <v>0</v>
      </c>
    </row>
    <row r="414" spans="1:12" s="106" customFormat="1" ht="19.5" customHeight="1">
      <c r="A414" s="60" t="s">
        <v>424</v>
      </c>
      <c r="B414" s="22" t="s">
        <v>414</v>
      </c>
      <c r="C414" s="22" t="s">
        <v>399</v>
      </c>
      <c r="D414" s="22" t="s">
        <v>45</v>
      </c>
      <c r="E414" s="22" t="s">
        <v>432</v>
      </c>
      <c r="F414" s="181">
        <f t="shared" si="9"/>
        <v>46</v>
      </c>
      <c r="G414" s="119">
        <f>G415</f>
        <v>46</v>
      </c>
      <c r="H414" s="119">
        <f>H415</f>
        <v>0</v>
      </c>
      <c r="I414" s="66"/>
      <c r="J414" s="66"/>
      <c r="K414" s="66"/>
      <c r="L414" s="66"/>
    </row>
    <row r="415" spans="1:12" s="106" customFormat="1" ht="38.25" customHeight="1">
      <c r="A415" s="60" t="s">
        <v>202</v>
      </c>
      <c r="B415" s="22" t="s">
        <v>414</v>
      </c>
      <c r="C415" s="22" t="s">
        <v>399</v>
      </c>
      <c r="D415" s="22" t="s">
        <v>81</v>
      </c>
      <c r="E415" s="22" t="s">
        <v>170</v>
      </c>
      <c r="F415" s="181">
        <f t="shared" si="9"/>
        <v>46</v>
      </c>
      <c r="G415" s="119">
        <f>G416</f>
        <v>46</v>
      </c>
      <c r="H415" s="119"/>
      <c r="I415" s="66"/>
      <c r="J415" s="66"/>
      <c r="K415" s="66"/>
      <c r="L415" s="66"/>
    </row>
    <row r="416" spans="1:12" s="106" customFormat="1" ht="48.75" customHeight="1">
      <c r="A416" s="94" t="s">
        <v>203</v>
      </c>
      <c r="B416" s="22" t="s">
        <v>414</v>
      </c>
      <c r="C416" s="22" t="s">
        <v>399</v>
      </c>
      <c r="D416" s="22" t="s">
        <v>81</v>
      </c>
      <c r="E416" s="22" t="s">
        <v>204</v>
      </c>
      <c r="F416" s="181">
        <f t="shared" si="9"/>
        <v>46</v>
      </c>
      <c r="G416" s="119">
        <f>124-78</f>
        <v>46</v>
      </c>
      <c r="H416" s="119"/>
      <c r="I416" s="66"/>
      <c r="J416" s="66"/>
      <c r="K416" s="66"/>
      <c r="L416" s="66"/>
    </row>
    <row r="417" spans="1:12" s="106" customFormat="1" ht="78" customHeight="1">
      <c r="A417" s="87" t="s">
        <v>559</v>
      </c>
      <c r="B417" s="61" t="s">
        <v>414</v>
      </c>
      <c r="C417" s="61" t="s">
        <v>399</v>
      </c>
      <c r="D417" s="61" t="s">
        <v>557</v>
      </c>
      <c r="E417" s="61" t="s">
        <v>432</v>
      </c>
      <c r="F417" s="180">
        <f aca="true" t="shared" si="12" ref="F417:F423">G417</f>
        <v>946.7</v>
      </c>
      <c r="G417" s="120">
        <f>G418</f>
        <v>946.7</v>
      </c>
      <c r="H417" s="120"/>
      <c r="I417" s="66"/>
      <c r="J417" s="66"/>
      <c r="K417" s="66"/>
      <c r="L417" s="66"/>
    </row>
    <row r="418" spans="1:12" s="106" customFormat="1" ht="46.5" customHeight="1">
      <c r="A418" s="60" t="s">
        <v>225</v>
      </c>
      <c r="B418" s="22" t="s">
        <v>414</v>
      </c>
      <c r="C418" s="22" t="s">
        <v>399</v>
      </c>
      <c r="D418" s="22" t="s">
        <v>558</v>
      </c>
      <c r="E418" s="22" t="s">
        <v>226</v>
      </c>
      <c r="F418" s="181">
        <f t="shared" si="12"/>
        <v>946.7</v>
      </c>
      <c r="G418" s="119">
        <f>G419</f>
        <v>946.7</v>
      </c>
      <c r="H418" s="119"/>
      <c r="I418" s="66"/>
      <c r="J418" s="66"/>
      <c r="K418" s="66"/>
      <c r="L418" s="66"/>
    </row>
    <row r="419" spans="1:12" s="106" customFormat="1" ht="18" customHeight="1">
      <c r="A419" s="60" t="s">
        <v>227</v>
      </c>
      <c r="B419" s="22" t="s">
        <v>414</v>
      </c>
      <c r="C419" s="22" t="s">
        <v>399</v>
      </c>
      <c r="D419" s="22" t="s">
        <v>558</v>
      </c>
      <c r="E419" s="22" t="s">
        <v>304</v>
      </c>
      <c r="F419" s="181">
        <f t="shared" si="12"/>
        <v>946.7</v>
      </c>
      <c r="G419" s="119">
        <f>840+106.7</f>
        <v>946.7</v>
      </c>
      <c r="H419" s="119"/>
      <c r="I419" s="66"/>
      <c r="J419" s="66"/>
      <c r="K419" s="66"/>
      <c r="L419" s="66"/>
    </row>
    <row r="420" spans="1:12" s="110" customFormat="1" ht="51" customHeight="1" hidden="1">
      <c r="A420" s="87" t="s">
        <v>458</v>
      </c>
      <c r="B420" s="61" t="s">
        <v>414</v>
      </c>
      <c r="C420" s="61" t="s">
        <v>399</v>
      </c>
      <c r="D420" s="61" t="s">
        <v>47</v>
      </c>
      <c r="E420" s="61" t="s">
        <v>432</v>
      </c>
      <c r="F420" s="180">
        <f t="shared" si="12"/>
        <v>0</v>
      </c>
      <c r="G420" s="120">
        <f>G421</f>
        <v>0</v>
      </c>
      <c r="H420" s="120"/>
      <c r="I420" s="66"/>
      <c r="J420" s="66"/>
      <c r="K420" s="66"/>
      <c r="L420" s="66"/>
    </row>
    <row r="421" spans="1:12" s="110" customFormat="1" ht="36.75" customHeight="1" hidden="1">
      <c r="A421" s="94" t="s">
        <v>202</v>
      </c>
      <c r="B421" s="22" t="s">
        <v>414</v>
      </c>
      <c r="C421" s="22" t="s">
        <v>399</v>
      </c>
      <c r="D421" s="22" t="s">
        <v>523</v>
      </c>
      <c r="E421" s="22" t="s">
        <v>170</v>
      </c>
      <c r="F421" s="181">
        <f t="shared" si="12"/>
        <v>0</v>
      </c>
      <c r="G421" s="119">
        <f>G422+G423</f>
        <v>0</v>
      </c>
      <c r="H421" s="119"/>
      <c r="I421" s="66"/>
      <c r="J421" s="66"/>
      <c r="K421" s="66"/>
      <c r="L421" s="66"/>
    </row>
    <row r="422" spans="1:12" s="110" customFormat="1" ht="64.5" customHeight="1" hidden="1">
      <c r="A422" s="94" t="s">
        <v>642</v>
      </c>
      <c r="B422" s="22" t="s">
        <v>414</v>
      </c>
      <c r="C422" s="22" t="s">
        <v>399</v>
      </c>
      <c r="D422" s="22" t="s">
        <v>561</v>
      </c>
      <c r="E422" s="22" t="s">
        <v>204</v>
      </c>
      <c r="F422" s="181">
        <f t="shared" si="12"/>
        <v>0</v>
      </c>
      <c r="G422" s="119">
        <v>0</v>
      </c>
      <c r="H422" s="119"/>
      <c r="I422" s="66"/>
      <c r="J422" s="66"/>
      <c r="K422" s="66"/>
      <c r="L422" s="66"/>
    </row>
    <row r="423" spans="1:12" s="110" customFormat="1" ht="48" customHeight="1" hidden="1">
      <c r="A423" s="94" t="s">
        <v>643</v>
      </c>
      <c r="B423" s="22" t="s">
        <v>414</v>
      </c>
      <c r="C423" s="22" t="s">
        <v>399</v>
      </c>
      <c r="D423" s="22" t="s">
        <v>562</v>
      </c>
      <c r="E423" s="22" t="s">
        <v>204</v>
      </c>
      <c r="F423" s="181">
        <f t="shared" si="12"/>
        <v>0</v>
      </c>
      <c r="G423" s="119">
        <v>0</v>
      </c>
      <c r="H423" s="119"/>
      <c r="I423" s="66"/>
      <c r="J423" s="66"/>
      <c r="K423" s="66"/>
      <c r="L423" s="66"/>
    </row>
    <row r="424" spans="1:12" ht="36" customHeight="1">
      <c r="A424" s="60" t="s">
        <v>164</v>
      </c>
      <c r="B424" s="22" t="s">
        <v>414</v>
      </c>
      <c r="C424" s="22" t="s">
        <v>399</v>
      </c>
      <c r="D424" s="22" t="s">
        <v>16</v>
      </c>
      <c r="E424" s="22" t="s">
        <v>432</v>
      </c>
      <c r="F424" s="181">
        <f t="shared" si="9"/>
        <v>4572.897999999999</v>
      </c>
      <c r="G424" s="119">
        <f>G425</f>
        <v>2753.58</v>
      </c>
      <c r="H424" s="119">
        <f>H425</f>
        <v>1819.3179999999998</v>
      </c>
      <c r="I424" s="66"/>
      <c r="J424" s="66"/>
      <c r="K424" s="66"/>
      <c r="L424" s="66"/>
    </row>
    <row r="425" spans="1:12" s="106" customFormat="1" ht="45.75" customHeight="1">
      <c r="A425" s="60" t="s">
        <v>165</v>
      </c>
      <c r="B425" s="22" t="s">
        <v>414</v>
      </c>
      <c r="C425" s="22" t="s">
        <v>399</v>
      </c>
      <c r="D425" s="22" t="s">
        <v>17</v>
      </c>
      <c r="E425" s="22" t="s">
        <v>432</v>
      </c>
      <c r="F425" s="181">
        <f t="shared" si="9"/>
        <v>4572.897999999999</v>
      </c>
      <c r="G425" s="119">
        <f>G426</f>
        <v>2753.58</v>
      </c>
      <c r="H425" s="119">
        <f>H426+H431</f>
        <v>1819.3179999999998</v>
      </c>
      <c r="I425" s="66"/>
      <c r="J425" s="66"/>
      <c r="K425" s="66"/>
      <c r="L425" s="66"/>
    </row>
    <row r="426" spans="1:12" s="106" customFormat="1" ht="51" customHeight="1">
      <c r="A426" s="60" t="s">
        <v>169</v>
      </c>
      <c r="B426" s="22" t="s">
        <v>414</v>
      </c>
      <c r="C426" s="22" t="s">
        <v>399</v>
      </c>
      <c r="D426" s="22" t="s">
        <v>20</v>
      </c>
      <c r="E426" s="22" t="s">
        <v>432</v>
      </c>
      <c r="F426" s="181">
        <f t="shared" si="9"/>
        <v>2753.58</v>
      </c>
      <c r="G426" s="119">
        <f>G427+G429</f>
        <v>2753.58</v>
      </c>
      <c r="H426" s="119">
        <f>SUM(H427:H430)</f>
        <v>0</v>
      </c>
      <c r="I426" s="66"/>
      <c r="J426" s="66"/>
      <c r="K426" s="66"/>
      <c r="L426" s="66"/>
    </row>
    <row r="427" spans="1:12" s="106" customFormat="1" ht="95.25" customHeight="1">
      <c r="A427" s="60" t="s">
        <v>199</v>
      </c>
      <c r="B427" s="22" t="s">
        <v>414</v>
      </c>
      <c r="C427" s="22" t="s">
        <v>399</v>
      </c>
      <c r="D427" s="22" t="s">
        <v>20</v>
      </c>
      <c r="E427" s="22" t="s">
        <v>166</v>
      </c>
      <c r="F427" s="181">
        <f t="shared" si="9"/>
        <v>2545.58</v>
      </c>
      <c r="G427" s="119">
        <f>G428</f>
        <v>2545.58</v>
      </c>
      <c r="H427" s="119"/>
      <c r="I427" s="66"/>
      <c r="J427" s="66"/>
      <c r="K427" s="66"/>
      <c r="L427" s="66"/>
    </row>
    <row r="428" spans="1:12" s="106" customFormat="1" ht="35.25" customHeight="1">
      <c r="A428" s="60" t="s">
        <v>201</v>
      </c>
      <c r="B428" s="22" t="s">
        <v>414</v>
      </c>
      <c r="C428" s="22" t="s">
        <v>399</v>
      </c>
      <c r="D428" s="22" t="s">
        <v>20</v>
      </c>
      <c r="E428" s="22" t="s">
        <v>200</v>
      </c>
      <c r="F428" s="181">
        <f t="shared" si="9"/>
        <v>2545.58</v>
      </c>
      <c r="G428" s="119">
        <f>3026.58-20-140-221-100</f>
        <v>2545.58</v>
      </c>
      <c r="H428" s="119"/>
      <c r="I428" s="66"/>
      <c r="J428" s="66"/>
      <c r="K428" s="66"/>
      <c r="L428" s="66"/>
    </row>
    <row r="429" spans="1:12" s="106" customFormat="1" ht="34.5" customHeight="1">
      <c r="A429" s="60" t="s">
        <v>202</v>
      </c>
      <c r="B429" s="22" t="s">
        <v>414</v>
      </c>
      <c r="C429" s="22" t="s">
        <v>399</v>
      </c>
      <c r="D429" s="22" t="s">
        <v>20</v>
      </c>
      <c r="E429" s="22" t="s">
        <v>170</v>
      </c>
      <c r="F429" s="181">
        <f t="shared" si="9"/>
        <v>208</v>
      </c>
      <c r="G429" s="119">
        <f>G430</f>
        <v>208</v>
      </c>
      <c r="H429" s="119"/>
      <c r="I429" s="66"/>
      <c r="J429" s="66"/>
      <c r="K429" s="66"/>
      <c r="L429" s="66"/>
    </row>
    <row r="430" spans="1:12" s="106" customFormat="1" ht="46.5" customHeight="1">
      <c r="A430" s="94" t="s">
        <v>203</v>
      </c>
      <c r="B430" s="22" t="s">
        <v>414</v>
      </c>
      <c r="C430" s="22" t="s">
        <v>399</v>
      </c>
      <c r="D430" s="22" t="s">
        <v>20</v>
      </c>
      <c r="E430" s="22" t="s">
        <v>204</v>
      </c>
      <c r="F430" s="181">
        <f t="shared" si="9"/>
        <v>208</v>
      </c>
      <c r="G430" s="119">
        <f>202-15+10.548+10.452</f>
        <v>208</v>
      </c>
      <c r="H430" s="119"/>
      <c r="I430" s="66"/>
      <c r="J430" s="66"/>
      <c r="K430" s="66"/>
      <c r="L430" s="66"/>
    </row>
    <row r="431" spans="1:10" s="151" customFormat="1" ht="81.75" customHeight="1">
      <c r="A431" s="116" t="s">
        <v>731</v>
      </c>
      <c r="B431" s="29" t="s">
        <v>414</v>
      </c>
      <c r="C431" s="29" t="s">
        <v>399</v>
      </c>
      <c r="D431" s="29" t="s">
        <v>740</v>
      </c>
      <c r="E431" s="29" t="s">
        <v>432</v>
      </c>
      <c r="F431" s="186">
        <f aca="true" t="shared" si="13" ref="F431:F436">G431+H431</f>
        <v>1819.3179999999998</v>
      </c>
      <c r="G431" s="187">
        <v>0</v>
      </c>
      <c r="H431" s="187">
        <f>H432+H434</f>
        <v>1819.3179999999998</v>
      </c>
      <c r="J431" s="152"/>
    </row>
    <row r="432" spans="1:8" s="106" customFormat="1" ht="97.5" customHeight="1">
      <c r="A432" s="60" t="s">
        <v>199</v>
      </c>
      <c r="B432" s="22" t="s">
        <v>414</v>
      </c>
      <c r="C432" s="22" t="s">
        <v>399</v>
      </c>
      <c r="D432" s="22" t="s">
        <v>740</v>
      </c>
      <c r="E432" s="22" t="s">
        <v>166</v>
      </c>
      <c r="F432" s="181">
        <f t="shared" si="13"/>
        <v>1201.77479</v>
      </c>
      <c r="G432" s="119"/>
      <c r="H432" s="119">
        <f>H433</f>
        <v>1201.77479</v>
      </c>
    </row>
    <row r="433" spans="1:8" s="106" customFormat="1" ht="31.5" customHeight="1">
      <c r="A433" s="94" t="s">
        <v>201</v>
      </c>
      <c r="B433" s="22" t="s">
        <v>414</v>
      </c>
      <c r="C433" s="22" t="s">
        <v>399</v>
      </c>
      <c r="D433" s="22" t="s">
        <v>740</v>
      </c>
      <c r="E433" s="22" t="s">
        <v>200</v>
      </c>
      <c r="F433" s="181">
        <f t="shared" si="13"/>
        <v>1201.77479</v>
      </c>
      <c r="G433" s="119"/>
      <c r="H433" s="119">
        <f>1646.488-291-87-66.71321</f>
        <v>1201.77479</v>
      </c>
    </row>
    <row r="434" spans="1:8" s="106" customFormat="1" ht="35.25" customHeight="1">
      <c r="A434" s="60" t="s">
        <v>202</v>
      </c>
      <c r="B434" s="22" t="s">
        <v>414</v>
      </c>
      <c r="C434" s="22" t="s">
        <v>399</v>
      </c>
      <c r="D434" s="22" t="s">
        <v>740</v>
      </c>
      <c r="E434" s="22" t="s">
        <v>170</v>
      </c>
      <c r="F434" s="181">
        <f t="shared" si="13"/>
        <v>617.5432099999999</v>
      </c>
      <c r="G434" s="119"/>
      <c r="H434" s="119">
        <f>H435</f>
        <v>617.5432099999999</v>
      </c>
    </row>
    <row r="435" spans="1:8" s="106" customFormat="1" ht="48" customHeight="1">
      <c r="A435" s="94" t="s">
        <v>203</v>
      </c>
      <c r="B435" s="22" t="s">
        <v>414</v>
      </c>
      <c r="C435" s="22" t="s">
        <v>399</v>
      </c>
      <c r="D435" s="22" t="s">
        <v>740</v>
      </c>
      <c r="E435" s="22" t="s">
        <v>204</v>
      </c>
      <c r="F435" s="181">
        <f t="shared" si="13"/>
        <v>617.5432099999999</v>
      </c>
      <c r="G435" s="119"/>
      <c r="H435" s="119">
        <f>157.6+15.23+178+150+50+66.71321</f>
        <v>617.5432099999999</v>
      </c>
    </row>
    <row r="436" spans="1:12" s="320" customFormat="1" ht="16.5" customHeight="1">
      <c r="A436" s="117" t="s">
        <v>198</v>
      </c>
      <c r="B436" s="29" t="s">
        <v>402</v>
      </c>
      <c r="C436" s="29" t="s">
        <v>162</v>
      </c>
      <c r="D436" s="29" t="s">
        <v>338</v>
      </c>
      <c r="E436" s="29" t="s">
        <v>432</v>
      </c>
      <c r="F436" s="187">
        <f t="shared" si="13"/>
        <v>16272.40126</v>
      </c>
      <c r="G436" s="187">
        <f>G437+G464</f>
        <v>16123.15381</v>
      </c>
      <c r="H436" s="187">
        <f>H437</f>
        <v>149.24745</v>
      </c>
      <c r="I436" s="32"/>
      <c r="J436" s="324"/>
      <c r="K436" s="32"/>
      <c r="L436" s="32"/>
    </row>
    <row r="437" spans="1:11" s="27" customFormat="1" ht="18" customHeight="1">
      <c r="A437" s="64" t="s">
        <v>469</v>
      </c>
      <c r="B437" s="61" t="s">
        <v>402</v>
      </c>
      <c r="C437" s="61" t="s">
        <v>161</v>
      </c>
      <c r="D437" s="61" t="s">
        <v>338</v>
      </c>
      <c r="E437" s="61" t="s">
        <v>432</v>
      </c>
      <c r="F437" s="120">
        <f t="shared" si="9"/>
        <v>15057.30126</v>
      </c>
      <c r="G437" s="120">
        <f>G438</f>
        <v>14908.05381</v>
      </c>
      <c r="H437" s="120">
        <f>H438</f>
        <v>149.24745</v>
      </c>
      <c r="K437" s="95"/>
    </row>
    <row r="438" spans="1:9" s="27" customFormat="1" ht="49.5" customHeight="1">
      <c r="A438" s="64" t="s">
        <v>501</v>
      </c>
      <c r="B438" s="61" t="s">
        <v>402</v>
      </c>
      <c r="C438" s="61" t="s">
        <v>161</v>
      </c>
      <c r="D438" s="61" t="s">
        <v>82</v>
      </c>
      <c r="E438" s="61" t="s">
        <v>432</v>
      </c>
      <c r="F438" s="180">
        <f t="shared" si="9"/>
        <v>15057.30126</v>
      </c>
      <c r="G438" s="120">
        <f>G439+G444+G451+G454+G461</f>
        <v>14908.05381</v>
      </c>
      <c r="H438" s="120">
        <f>H444+H454</f>
        <v>149.24745</v>
      </c>
      <c r="I438" s="95"/>
    </row>
    <row r="439" spans="1:12" s="106" customFormat="1" ht="69.75" customHeight="1">
      <c r="A439" s="65" t="s">
        <v>567</v>
      </c>
      <c r="B439" s="22" t="s">
        <v>402</v>
      </c>
      <c r="C439" s="22" t="s">
        <v>161</v>
      </c>
      <c r="D439" s="22" t="s">
        <v>83</v>
      </c>
      <c r="E439" s="22" t="s">
        <v>432</v>
      </c>
      <c r="F439" s="181">
        <f t="shared" si="9"/>
        <v>10628.74626</v>
      </c>
      <c r="G439" s="119">
        <f>G440+G442</f>
        <v>10628.74626</v>
      </c>
      <c r="H439" s="119"/>
      <c r="I439" s="66"/>
      <c r="J439" s="66"/>
      <c r="K439" s="190"/>
      <c r="L439" s="66"/>
    </row>
    <row r="440" spans="1:12" s="106" customFormat="1" ht="50.25" customHeight="1">
      <c r="A440" s="60" t="s">
        <v>225</v>
      </c>
      <c r="B440" s="22" t="s">
        <v>402</v>
      </c>
      <c r="C440" s="22" t="s">
        <v>161</v>
      </c>
      <c r="D440" s="22" t="s">
        <v>84</v>
      </c>
      <c r="E440" s="22" t="s">
        <v>226</v>
      </c>
      <c r="F440" s="181">
        <f t="shared" si="9"/>
        <v>9237.91965</v>
      </c>
      <c r="G440" s="119">
        <f>G441</f>
        <v>9237.91965</v>
      </c>
      <c r="H440" s="119"/>
      <c r="I440" s="66"/>
      <c r="J440" s="66"/>
      <c r="K440" s="66"/>
      <c r="L440" s="66"/>
    </row>
    <row r="441" spans="1:12" s="106" customFormat="1" ht="18" customHeight="1">
      <c r="A441" s="60" t="s">
        <v>227</v>
      </c>
      <c r="B441" s="22" t="s">
        <v>402</v>
      </c>
      <c r="C441" s="22" t="s">
        <v>161</v>
      </c>
      <c r="D441" s="22" t="s">
        <v>85</v>
      </c>
      <c r="E441" s="22" t="s">
        <v>304</v>
      </c>
      <c r="F441" s="181">
        <f t="shared" si="9"/>
        <v>9237.91965</v>
      </c>
      <c r="G441" s="119">
        <f>6378.2+1847.22+473.3+224.19965+315</f>
        <v>9237.91965</v>
      </c>
      <c r="H441" s="119"/>
      <c r="I441" s="66"/>
      <c r="J441" s="66"/>
      <c r="K441" s="66"/>
      <c r="L441" s="66"/>
    </row>
    <row r="442" spans="1:12" s="106" customFormat="1" ht="112.5" customHeight="1">
      <c r="A442" s="60" t="s">
        <v>104</v>
      </c>
      <c r="B442" s="22" t="s">
        <v>402</v>
      </c>
      <c r="C442" s="22" t="s">
        <v>161</v>
      </c>
      <c r="D442" s="22" t="s">
        <v>103</v>
      </c>
      <c r="E442" s="22" t="s">
        <v>304</v>
      </c>
      <c r="F442" s="181">
        <f t="shared" si="9"/>
        <v>1390.82661</v>
      </c>
      <c r="G442" s="119">
        <f>G443</f>
        <v>1390.82661</v>
      </c>
      <c r="H442" s="119"/>
      <c r="I442" s="66"/>
      <c r="J442" s="66"/>
      <c r="K442" s="66"/>
      <c r="L442" s="66"/>
    </row>
    <row r="443" spans="1:12" s="106" customFormat="1" ht="18" customHeight="1">
      <c r="A443" s="60" t="s">
        <v>227</v>
      </c>
      <c r="B443" s="22" t="s">
        <v>402</v>
      </c>
      <c r="C443" s="22" t="s">
        <v>161</v>
      </c>
      <c r="D443" s="22" t="s">
        <v>103</v>
      </c>
      <c r="E443" s="22" t="s">
        <v>304</v>
      </c>
      <c r="F443" s="181">
        <f>G443+H443</f>
        <v>1390.82661</v>
      </c>
      <c r="G443" s="119">
        <f>474.4+850.17+33.9409+32.31571</f>
        <v>1390.82661</v>
      </c>
      <c r="H443" s="119"/>
      <c r="I443" s="66"/>
      <c r="J443" s="66"/>
      <c r="K443" s="66"/>
      <c r="L443" s="66"/>
    </row>
    <row r="444" spans="1:12" s="110" customFormat="1" ht="77.25" customHeight="1" hidden="1">
      <c r="A444" s="117" t="s">
        <v>620</v>
      </c>
      <c r="B444" s="29" t="s">
        <v>402</v>
      </c>
      <c r="C444" s="29" t="s">
        <v>161</v>
      </c>
      <c r="D444" s="29" t="s">
        <v>83</v>
      </c>
      <c r="E444" s="29" t="s">
        <v>432</v>
      </c>
      <c r="F444" s="186">
        <f>G444+H444</f>
        <v>0</v>
      </c>
      <c r="G444" s="187">
        <f>G445+G448</f>
        <v>0</v>
      </c>
      <c r="H444" s="187">
        <f>H445</f>
        <v>0</v>
      </c>
      <c r="I444" s="66"/>
      <c r="J444" s="66"/>
      <c r="K444" s="66"/>
      <c r="L444" s="66"/>
    </row>
    <row r="445" spans="1:12" s="110" customFormat="1" ht="79.5" customHeight="1" hidden="1">
      <c r="A445" s="64" t="s">
        <v>621</v>
      </c>
      <c r="B445" s="61" t="s">
        <v>402</v>
      </c>
      <c r="C445" s="61" t="s">
        <v>161</v>
      </c>
      <c r="D445" s="61" t="s">
        <v>622</v>
      </c>
      <c r="E445" s="61" t="s">
        <v>432</v>
      </c>
      <c r="F445" s="180">
        <f>G445+H445</f>
        <v>0</v>
      </c>
      <c r="G445" s="120">
        <f>G446</f>
        <v>0</v>
      </c>
      <c r="H445" s="120">
        <f>H446</f>
        <v>0</v>
      </c>
      <c r="I445" s="66"/>
      <c r="J445" s="66"/>
      <c r="K445" s="66"/>
      <c r="L445" s="66"/>
    </row>
    <row r="446" spans="1:12" s="110" customFormat="1" ht="48.75" customHeight="1" hidden="1">
      <c r="A446" s="60" t="s">
        <v>225</v>
      </c>
      <c r="B446" s="22" t="s">
        <v>402</v>
      </c>
      <c r="C446" s="22" t="s">
        <v>161</v>
      </c>
      <c r="D446" s="22" t="s">
        <v>622</v>
      </c>
      <c r="E446" s="22" t="s">
        <v>226</v>
      </c>
      <c r="F446" s="181">
        <f>G446+H446</f>
        <v>0</v>
      </c>
      <c r="G446" s="119">
        <f>G447</f>
        <v>0</v>
      </c>
      <c r="H446" s="119">
        <f>H447</f>
        <v>0</v>
      </c>
      <c r="I446" s="66"/>
      <c r="J446" s="66"/>
      <c r="K446" s="66"/>
      <c r="L446" s="66"/>
    </row>
    <row r="447" spans="1:12" s="110" customFormat="1" ht="20.25" customHeight="1" hidden="1">
      <c r="A447" s="60" t="s">
        <v>227</v>
      </c>
      <c r="B447" s="22" t="s">
        <v>402</v>
      </c>
      <c r="C447" s="22" t="s">
        <v>161</v>
      </c>
      <c r="D447" s="22" t="s">
        <v>622</v>
      </c>
      <c r="E447" s="22" t="s">
        <v>304</v>
      </c>
      <c r="F447" s="181">
        <f>G447+H447</f>
        <v>0</v>
      </c>
      <c r="G447" s="119"/>
      <c r="H447" s="119"/>
      <c r="I447" s="66"/>
      <c r="J447" s="66"/>
      <c r="K447" s="66"/>
      <c r="L447" s="66"/>
    </row>
    <row r="448" spans="1:12" s="110" customFormat="1" ht="114.75" customHeight="1" hidden="1">
      <c r="A448" s="64" t="s">
        <v>644</v>
      </c>
      <c r="B448" s="61" t="s">
        <v>402</v>
      </c>
      <c r="C448" s="61" t="s">
        <v>161</v>
      </c>
      <c r="D448" s="61" t="s">
        <v>623</v>
      </c>
      <c r="E448" s="61" t="s">
        <v>432</v>
      </c>
      <c r="F448" s="180">
        <f>G448</f>
        <v>0</v>
      </c>
      <c r="G448" s="120">
        <f>G449</f>
        <v>0</v>
      </c>
      <c r="H448" s="120"/>
      <c r="I448" s="66"/>
      <c r="J448" s="66"/>
      <c r="K448" s="66"/>
      <c r="L448" s="66"/>
    </row>
    <row r="449" spans="1:12" s="110" customFormat="1" ht="51.75" customHeight="1" hidden="1">
      <c r="A449" s="60" t="s">
        <v>225</v>
      </c>
      <c r="B449" s="22" t="s">
        <v>402</v>
      </c>
      <c r="C449" s="22" t="s">
        <v>161</v>
      </c>
      <c r="D449" s="22" t="s">
        <v>623</v>
      </c>
      <c r="E449" s="22" t="s">
        <v>226</v>
      </c>
      <c r="F449" s="181">
        <f>G449</f>
        <v>0</v>
      </c>
      <c r="G449" s="119">
        <f>G450</f>
        <v>0</v>
      </c>
      <c r="H449" s="119"/>
      <c r="I449" s="66"/>
      <c r="J449" s="66"/>
      <c r="K449" s="66"/>
      <c r="L449" s="66"/>
    </row>
    <row r="450" spans="1:12" s="110" customFormat="1" ht="23.25" customHeight="1" hidden="1">
      <c r="A450" s="60" t="s">
        <v>227</v>
      </c>
      <c r="B450" s="22" t="s">
        <v>402</v>
      </c>
      <c r="C450" s="22" t="s">
        <v>161</v>
      </c>
      <c r="D450" s="22" t="s">
        <v>623</v>
      </c>
      <c r="E450" s="22" t="s">
        <v>304</v>
      </c>
      <c r="F450" s="181">
        <f>G450</f>
        <v>0</v>
      </c>
      <c r="G450" s="119"/>
      <c r="H450" s="119"/>
      <c r="I450" s="66"/>
      <c r="J450" s="66"/>
      <c r="K450" s="66"/>
      <c r="L450" s="66"/>
    </row>
    <row r="451" spans="1:12" s="106" customFormat="1" ht="72.75" customHeight="1">
      <c r="A451" s="65" t="s">
        <v>568</v>
      </c>
      <c r="B451" s="22" t="s">
        <v>402</v>
      </c>
      <c r="C451" s="22" t="s">
        <v>161</v>
      </c>
      <c r="D451" s="22" t="s">
        <v>86</v>
      </c>
      <c r="E451" s="22" t="s">
        <v>432</v>
      </c>
      <c r="F451" s="181">
        <f>G451+H451</f>
        <v>2783.7999999999997</v>
      </c>
      <c r="G451" s="119">
        <f>G452</f>
        <v>2783.7999999999997</v>
      </c>
      <c r="H451" s="119"/>
      <c r="I451" s="66"/>
      <c r="J451" s="66"/>
      <c r="K451" s="66"/>
      <c r="L451" s="66"/>
    </row>
    <row r="452" spans="1:12" s="106" customFormat="1" ht="48" customHeight="1">
      <c r="A452" s="60" t="s">
        <v>225</v>
      </c>
      <c r="B452" s="22" t="s">
        <v>402</v>
      </c>
      <c r="C452" s="22" t="s">
        <v>161</v>
      </c>
      <c r="D452" s="22" t="s">
        <v>86</v>
      </c>
      <c r="E452" s="22" t="s">
        <v>226</v>
      </c>
      <c r="F452" s="181">
        <f>G452+H452</f>
        <v>2783.7999999999997</v>
      </c>
      <c r="G452" s="119">
        <f>G453</f>
        <v>2783.7999999999997</v>
      </c>
      <c r="H452" s="119"/>
      <c r="I452" s="66"/>
      <c r="J452" s="66"/>
      <c r="K452" s="66"/>
      <c r="L452" s="66"/>
    </row>
    <row r="453" spans="1:12" s="106" customFormat="1" ht="18" customHeight="1">
      <c r="A453" s="60" t="s">
        <v>227</v>
      </c>
      <c r="B453" s="22" t="s">
        <v>402</v>
      </c>
      <c r="C453" s="22" t="s">
        <v>161</v>
      </c>
      <c r="D453" s="22" t="s">
        <v>86</v>
      </c>
      <c r="E453" s="22" t="s">
        <v>304</v>
      </c>
      <c r="F453" s="181">
        <f>G453+H453</f>
        <v>2783.7999999999997</v>
      </c>
      <c r="G453" s="119">
        <f>2368.7+347.1+68</f>
        <v>2783.7999999999997</v>
      </c>
      <c r="H453" s="119"/>
      <c r="I453" s="66"/>
      <c r="J453" s="66"/>
      <c r="K453" s="66"/>
      <c r="L453" s="66"/>
    </row>
    <row r="454" spans="1:12" s="106" customFormat="1" ht="66.75" customHeight="1">
      <c r="A454" s="117" t="s">
        <v>624</v>
      </c>
      <c r="B454" s="29" t="s">
        <v>402</v>
      </c>
      <c r="C454" s="29" t="s">
        <v>161</v>
      </c>
      <c r="D454" s="29" t="s">
        <v>625</v>
      </c>
      <c r="E454" s="29" t="s">
        <v>432</v>
      </c>
      <c r="F454" s="186">
        <f>G454+H454</f>
        <v>150.755</v>
      </c>
      <c r="G454" s="187">
        <f>G458</f>
        <v>1.50755</v>
      </c>
      <c r="H454" s="187">
        <f>H455</f>
        <v>149.24745</v>
      </c>
      <c r="I454" s="66"/>
      <c r="J454" s="66"/>
      <c r="K454" s="66"/>
      <c r="L454" s="66"/>
    </row>
    <row r="455" spans="1:12" s="106" customFormat="1" ht="75" customHeight="1">
      <c r="A455" s="64" t="s">
        <v>645</v>
      </c>
      <c r="B455" s="61" t="s">
        <v>402</v>
      </c>
      <c r="C455" s="61" t="s">
        <v>161</v>
      </c>
      <c r="D455" s="61" t="s">
        <v>626</v>
      </c>
      <c r="E455" s="61" t="s">
        <v>432</v>
      </c>
      <c r="F455" s="180">
        <f>H455</f>
        <v>149.24745</v>
      </c>
      <c r="G455" s="120"/>
      <c r="H455" s="120">
        <f>H456</f>
        <v>149.24745</v>
      </c>
      <c r="I455" s="66"/>
      <c r="J455" s="66"/>
      <c r="K455" s="66"/>
      <c r="L455" s="66"/>
    </row>
    <row r="456" spans="1:12" s="106" customFormat="1" ht="48.75" customHeight="1">
      <c r="A456" s="60" t="s">
        <v>225</v>
      </c>
      <c r="B456" s="22" t="s">
        <v>402</v>
      </c>
      <c r="C456" s="22" t="s">
        <v>161</v>
      </c>
      <c r="D456" s="22" t="s">
        <v>626</v>
      </c>
      <c r="E456" s="22" t="s">
        <v>226</v>
      </c>
      <c r="F456" s="181">
        <f>H456</f>
        <v>149.24745</v>
      </c>
      <c r="G456" s="119"/>
      <c r="H456" s="119">
        <f>H457</f>
        <v>149.24745</v>
      </c>
      <c r="I456" s="66"/>
      <c r="J456" s="66"/>
      <c r="K456" s="66"/>
      <c r="L456" s="66"/>
    </row>
    <row r="457" spans="1:12" s="106" customFormat="1" ht="24.75" customHeight="1">
      <c r="A457" s="60" t="s">
        <v>227</v>
      </c>
      <c r="B457" s="22" t="s">
        <v>402</v>
      </c>
      <c r="C457" s="22" t="s">
        <v>161</v>
      </c>
      <c r="D457" s="22" t="s">
        <v>626</v>
      </c>
      <c r="E457" s="22" t="s">
        <v>304</v>
      </c>
      <c r="F457" s="181">
        <f>H457</f>
        <v>149.24745</v>
      </c>
      <c r="G457" s="119"/>
      <c r="H457" s="119">
        <v>149.24745</v>
      </c>
      <c r="I457" s="66"/>
      <c r="J457" s="66"/>
      <c r="K457" s="66"/>
      <c r="L457" s="66"/>
    </row>
    <row r="458" spans="1:12" s="106" customFormat="1" ht="99" customHeight="1">
      <c r="A458" s="64" t="s">
        <v>646</v>
      </c>
      <c r="B458" s="61" t="s">
        <v>402</v>
      </c>
      <c r="C458" s="61" t="s">
        <v>161</v>
      </c>
      <c r="D458" s="61" t="s">
        <v>627</v>
      </c>
      <c r="E458" s="61" t="s">
        <v>432</v>
      </c>
      <c r="F458" s="180">
        <f>G458</f>
        <v>1.50755</v>
      </c>
      <c r="G458" s="120">
        <f>G459</f>
        <v>1.50755</v>
      </c>
      <c r="H458" s="120"/>
      <c r="I458" s="66"/>
      <c r="J458" s="66"/>
      <c r="K458" s="66"/>
      <c r="L458" s="325"/>
    </row>
    <row r="459" spans="1:12" s="106" customFormat="1" ht="48.75" customHeight="1">
      <c r="A459" s="60" t="s">
        <v>225</v>
      </c>
      <c r="B459" s="22" t="s">
        <v>402</v>
      </c>
      <c r="C459" s="22" t="s">
        <v>161</v>
      </c>
      <c r="D459" s="22" t="s">
        <v>627</v>
      </c>
      <c r="E459" s="22" t="s">
        <v>226</v>
      </c>
      <c r="F459" s="181">
        <f>G459</f>
        <v>1.50755</v>
      </c>
      <c r="G459" s="119">
        <f>G460</f>
        <v>1.50755</v>
      </c>
      <c r="H459" s="119"/>
      <c r="I459" s="193">
        <f>K460*1</f>
        <v>1.50755</v>
      </c>
      <c r="J459" s="66">
        <v>1</v>
      </c>
      <c r="K459" s="66"/>
      <c r="L459" s="66"/>
    </row>
    <row r="460" spans="1:12" s="106" customFormat="1" ht="23.25" customHeight="1">
      <c r="A460" s="60" t="s">
        <v>227</v>
      </c>
      <c r="B460" s="22" t="s">
        <v>402</v>
      </c>
      <c r="C460" s="22" t="s">
        <v>161</v>
      </c>
      <c r="D460" s="22" t="s">
        <v>627</v>
      </c>
      <c r="E460" s="22" t="s">
        <v>304</v>
      </c>
      <c r="F460" s="181">
        <f>G460</f>
        <v>1.50755</v>
      </c>
      <c r="G460" s="119">
        <v>1.50755</v>
      </c>
      <c r="H460" s="119"/>
      <c r="I460" s="123">
        <f>H457</f>
        <v>149.24745</v>
      </c>
      <c r="J460" s="66">
        <v>99</v>
      </c>
      <c r="K460" s="66">
        <f>I460/J460</f>
        <v>1.50755</v>
      </c>
      <c r="L460" s="66"/>
    </row>
    <row r="461" spans="1:12" s="106" customFormat="1" ht="114" customHeight="1">
      <c r="A461" s="65" t="s">
        <v>569</v>
      </c>
      <c r="B461" s="22" t="s">
        <v>402</v>
      </c>
      <c r="C461" s="22" t="s">
        <v>161</v>
      </c>
      <c r="D461" s="22" t="s">
        <v>87</v>
      </c>
      <c r="E461" s="22" t="s">
        <v>432</v>
      </c>
      <c r="F461" s="181">
        <f>G461+H461</f>
        <v>1494</v>
      </c>
      <c r="G461" s="119">
        <f>G462</f>
        <v>1494</v>
      </c>
      <c r="H461" s="119"/>
      <c r="I461" s="66"/>
      <c r="J461" s="66"/>
      <c r="K461" s="66"/>
      <c r="L461" s="66"/>
    </row>
    <row r="462" spans="1:12" s="106" customFormat="1" ht="48.75" customHeight="1">
      <c r="A462" s="60" t="s">
        <v>225</v>
      </c>
      <c r="B462" s="22" t="s">
        <v>402</v>
      </c>
      <c r="C462" s="22" t="s">
        <v>161</v>
      </c>
      <c r="D462" s="22" t="s">
        <v>87</v>
      </c>
      <c r="E462" s="22" t="s">
        <v>226</v>
      </c>
      <c r="F462" s="181">
        <f>G462+H462</f>
        <v>1494</v>
      </c>
      <c r="G462" s="119">
        <f>G463</f>
        <v>1494</v>
      </c>
      <c r="H462" s="119"/>
      <c r="I462" s="66"/>
      <c r="J462" s="66"/>
      <c r="K462" s="66"/>
      <c r="L462" s="66"/>
    </row>
    <row r="463" spans="1:12" s="106" customFormat="1" ht="16.5" customHeight="1">
      <c r="A463" s="60" t="s">
        <v>227</v>
      </c>
      <c r="B463" s="22" t="s">
        <v>402</v>
      </c>
      <c r="C463" s="22" t="s">
        <v>161</v>
      </c>
      <c r="D463" s="22" t="s">
        <v>87</v>
      </c>
      <c r="E463" s="22" t="s">
        <v>304</v>
      </c>
      <c r="F463" s="181">
        <f>G463+H463</f>
        <v>1494</v>
      </c>
      <c r="G463" s="119">
        <f>1330.4+163.6</f>
        <v>1494</v>
      </c>
      <c r="H463" s="119"/>
      <c r="I463" s="66"/>
      <c r="J463" s="66"/>
      <c r="K463" s="66"/>
      <c r="L463" s="66"/>
    </row>
    <row r="464" spans="1:12" ht="32.25" customHeight="1">
      <c r="A464" s="60" t="s">
        <v>11</v>
      </c>
      <c r="B464" s="22" t="s">
        <v>402</v>
      </c>
      <c r="C464" s="22" t="s">
        <v>172</v>
      </c>
      <c r="D464" s="22" t="s">
        <v>338</v>
      </c>
      <c r="E464" s="22" t="s">
        <v>432</v>
      </c>
      <c r="F464" s="181">
        <f>G464+H464</f>
        <v>1215.1</v>
      </c>
      <c r="G464" s="192">
        <f>G466+G469+G472+G477+G480</f>
        <v>1215.1</v>
      </c>
      <c r="H464" s="192">
        <f>H466+H469+H472+H477+H480</f>
        <v>0</v>
      </c>
      <c r="I464" s="66">
        <v>3881.129</v>
      </c>
      <c r="J464" s="190">
        <f>I464-G464</f>
        <v>2666.029</v>
      </c>
      <c r="K464" s="66"/>
      <c r="L464" s="66"/>
    </row>
    <row r="465" spans="1:12" s="106" customFormat="1" ht="50.25" customHeight="1">
      <c r="A465" s="64" t="s">
        <v>501</v>
      </c>
      <c r="B465" s="61" t="s">
        <v>402</v>
      </c>
      <c r="C465" s="61" t="s">
        <v>172</v>
      </c>
      <c r="D465" s="61" t="s">
        <v>82</v>
      </c>
      <c r="E465" s="61" t="s">
        <v>432</v>
      </c>
      <c r="F465" s="180">
        <f>G465</f>
        <v>1129.1</v>
      </c>
      <c r="G465" s="191">
        <f>G466</f>
        <v>1129.1</v>
      </c>
      <c r="H465" s="192"/>
      <c r="I465" s="66"/>
      <c r="J465" s="190"/>
      <c r="K465" s="66"/>
      <c r="L465" s="66"/>
    </row>
    <row r="466" spans="1:12" s="106" customFormat="1" ht="43.5" customHeight="1">
      <c r="A466" s="65" t="s">
        <v>570</v>
      </c>
      <c r="B466" s="22" t="s">
        <v>402</v>
      </c>
      <c r="C466" s="22" t="s">
        <v>172</v>
      </c>
      <c r="D466" s="22" t="s">
        <v>88</v>
      </c>
      <c r="E466" s="22" t="s">
        <v>432</v>
      </c>
      <c r="F466" s="181">
        <f aca="true" t="shared" si="14" ref="F466:F479">G466+H466</f>
        <v>1129.1</v>
      </c>
      <c r="G466" s="119">
        <f>G467</f>
        <v>1129.1</v>
      </c>
      <c r="H466" s="119"/>
      <c r="I466" s="66"/>
      <c r="J466" s="66"/>
      <c r="K466" s="66"/>
      <c r="L466" s="66"/>
    </row>
    <row r="467" spans="1:12" s="106" customFormat="1" ht="50.25" customHeight="1">
      <c r="A467" s="60" t="s">
        <v>225</v>
      </c>
      <c r="B467" s="22" t="s">
        <v>402</v>
      </c>
      <c r="C467" s="22" t="s">
        <v>172</v>
      </c>
      <c r="D467" s="22" t="s">
        <v>88</v>
      </c>
      <c r="E467" s="22" t="s">
        <v>226</v>
      </c>
      <c r="F467" s="181">
        <f t="shared" si="14"/>
        <v>1129.1</v>
      </c>
      <c r="G467" s="119">
        <f>G468</f>
        <v>1129.1</v>
      </c>
      <c r="H467" s="119"/>
      <c r="I467" s="66"/>
      <c r="J467" s="66"/>
      <c r="K467" s="66"/>
      <c r="L467" s="66"/>
    </row>
    <row r="468" spans="1:12" s="106" customFormat="1" ht="17.25" customHeight="1">
      <c r="A468" s="60" t="s">
        <v>227</v>
      </c>
      <c r="B468" s="22" t="s">
        <v>402</v>
      </c>
      <c r="C468" s="22" t="s">
        <v>172</v>
      </c>
      <c r="D468" s="22" t="s">
        <v>88</v>
      </c>
      <c r="E468" s="22" t="s">
        <v>304</v>
      </c>
      <c r="F468" s="181">
        <f t="shared" si="14"/>
        <v>1129.1</v>
      </c>
      <c r="G468" s="119">
        <f>958.5+135.1+35.5</f>
        <v>1129.1</v>
      </c>
      <c r="H468" s="119"/>
      <c r="I468" s="190">
        <f>G441+G453+G463+G468</f>
        <v>14644.81965</v>
      </c>
      <c r="J468" s="66"/>
      <c r="K468" s="66"/>
      <c r="L468" s="66"/>
    </row>
    <row r="469" spans="1:12" s="111" customFormat="1" ht="48" customHeight="1">
      <c r="A469" s="64" t="s">
        <v>496</v>
      </c>
      <c r="B469" s="61" t="s">
        <v>402</v>
      </c>
      <c r="C469" s="61" t="s">
        <v>172</v>
      </c>
      <c r="D469" s="61" t="s">
        <v>37</v>
      </c>
      <c r="E469" s="61" t="s">
        <v>432</v>
      </c>
      <c r="F469" s="180">
        <f t="shared" si="14"/>
        <v>39</v>
      </c>
      <c r="G469" s="120">
        <f>G470</f>
        <v>39</v>
      </c>
      <c r="H469" s="120">
        <f>H470</f>
        <v>0</v>
      </c>
      <c r="I469" s="27"/>
      <c r="J469" s="27"/>
      <c r="K469" s="27"/>
      <c r="L469" s="27"/>
    </row>
    <row r="470" spans="1:12" s="106" customFormat="1" ht="33.75" customHeight="1">
      <c r="A470" s="65" t="s">
        <v>89</v>
      </c>
      <c r="B470" s="22" t="s">
        <v>402</v>
      </c>
      <c r="C470" s="22" t="s">
        <v>172</v>
      </c>
      <c r="D470" s="22" t="s">
        <v>38</v>
      </c>
      <c r="E470" s="22" t="s">
        <v>432</v>
      </c>
      <c r="F470" s="181">
        <f t="shared" si="14"/>
        <v>39</v>
      </c>
      <c r="G470" s="119">
        <f>G471</f>
        <v>39</v>
      </c>
      <c r="H470" s="119">
        <f>H471</f>
        <v>0</v>
      </c>
      <c r="I470" s="66"/>
      <c r="J470" s="66"/>
      <c r="K470" s="66"/>
      <c r="L470" s="66"/>
    </row>
    <row r="471" spans="1:12" s="106" customFormat="1" ht="17.25" customHeight="1">
      <c r="A471" s="60" t="s">
        <v>227</v>
      </c>
      <c r="B471" s="22" t="s">
        <v>402</v>
      </c>
      <c r="C471" s="22" t="s">
        <v>172</v>
      </c>
      <c r="D471" s="22" t="s">
        <v>90</v>
      </c>
      <c r="E471" s="22" t="s">
        <v>304</v>
      </c>
      <c r="F471" s="181">
        <f t="shared" si="14"/>
        <v>39</v>
      </c>
      <c r="G471" s="119">
        <v>39</v>
      </c>
      <c r="H471" s="119"/>
      <c r="I471" s="66"/>
      <c r="J471" s="66"/>
      <c r="K471" s="66"/>
      <c r="L471" s="66"/>
    </row>
    <row r="472" spans="1:12" s="111" customFormat="1" ht="64.5" customHeight="1">
      <c r="A472" s="64" t="s">
        <v>498</v>
      </c>
      <c r="B472" s="61" t="s">
        <v>402</v>
      </c>
      <c r="C472" s="61" t="s">
        <v>172</v>
      </c>
      <c r="D472" s="61" t="s">
        <v>77</v>
      </c>
      <c r="E472" s="61" t="s">
        <v>432</v>
      </c>
      <c r="F472" s="180">
        <f t="shared" si="14"/>
        <v>2</v>
      </c>
      <c r="G472" s="120">
        <f>G473</f>
        <v>2</v>
      </c>
      <c r="H472" s="120">
        <f>H473</f>
        <v>0</v>
      </c>
      <c r="I472" s="27"/>
      <c r="J472" s="27"/>
      <c r="K472" s="27"/>
      <c r="L472" s="27"/>
    </row>
    <row r="473" spans="1:12" s="151" customFormat="1" ht="33.75" customHeight="1">
      <c r="A473" s="60" t="s">
        <v>360</v>
      </c>
      <c r="B473" s="22" t="s">
        <v>402</v>
      </c>
      <c r="C473" s="22" t="s">
        <v>172</v>
      </c>
      <c r="D473" s="22" t="s">
        <v>91</v>
      </c>
      <c r="E473" s="22" t="s">
        <v>304</v>
      </c>
      <c r="F473" s="181">
        <f t="shared" si="14"/>
        <v>2</v>
      </c>
      <c r="G473" s="119">
        <v>2</v>
      </c>
      <c r="H473" s="187"/>
      <c r="I473" s="32"/>
      <c r="J473" s="32"/>
      <c r="K473" s="32"/>
      <c r="L473" s="32"/>
    </row>
    <row r="474" spans="1:8" s="32" customFormat="1" ht="48" customHeight="1" hidden="1">
      <c r="A474" s="87" t="s">
        <v>459</v>
      </c>
      <c r="B474" s="61" t="s">
        <v>402</v>
      </c>
      <c r="C474" s="61" t="s">
        <v>172</v>
      </c>
      <c r="D474" s="61" t="s">
        <v>47</v>
      </c>
      <c r="E474" s="61" t="s">
        <v>432</v>
      </c>
      <c r="F474" s="120">
        <f t="shared" si="14"/>
        <v>0</v>
      </c>
      <c r="G474" s="120">
        <f>G475</f>
        <v>0</v>
      </c>
      <c r="H474" s="120">
        <f>H476</f>
        <v>0</v>
      </c>
    </row>
    <row r="475" spans="1:12" ht="35.25" customHeight="1" hidden="1">
      <c r="A475" s="60" t="s">
        <v>360</v>
      </c>
      <c r="B475" s="22" t="s">
        <v>402</v>
      </c>
      <c r="C475" s="22" t="s">
        <v>172</v>
      </c>
      <c r="D475" s="22" t="s">
        <v>524</v>
      </c>
      <c r="E475" s="22" t="s">
        <v>304</v>
      </c>
      <c r="F475" s="120">
        <f t="shared" si="14"/>
        <v>0</v>
      </c>
      <c r="G475" s="119"/>
      <c r="H475" s="188"/>
      <c r="I475" s="66"/>
      <c r="J475" s="66"/>
      <c r="K475" s="66"/>
      <c r="L475" s="66"/>
    </row>
    <row r="476" spans="1:12" ht="35.25" customHeight="1" hidden="1">
      <c r="A476" s="60" t="s">
        <v>534</v>
      </c>
      <c r="B476" s="22" t="s">
        <v>402</v>
      </c>
      <c r="C476" s="22" t="s">
        <v>172</v>
      </c>
      <c r="D476" s="22" t="s">
        <v>524</v>
      </c>
      <c r="E476" s="22" t="s">
        <v>304</v>
      </c>
      <c r="F476" s="181">
        <f t="shared" si="14"/>
        <v>0</v>
      </c>
      <c r="G476" s="119">
        <v>0</v>
      </c>
      <c r="H476" s="185"/>
      <c r="I476" s="66"/>
      <c r="J476" s="66"/>
      <c r="K476" s="66"/>
      <c r="L476" s="66"/>
    </row>
    <row r="477" spans="1:12" ht="63" customHeight="1">
      <c r="A477" s="64" t="s">
        <v>511</v>
      </c>
      <c r="B477" s="61" t="s">
        <v>402</v>
      </c>
      <c r="C477" s="61" t="s">
        <v>172</v>
      </c>
      <c r="D477" s="61" t="s">
        <v>44</v>
      </c>
      <c r="E477" s="61" t="s">
        <v>432</v>
      </c>
      <c r="F477" s="180">
        <f t="shared" si="14"/>
        <v>45</v>
      </c>
      <c r="G477" s="120">
        <f>G478</f>
        <v>45</v>
      </c>
      <c r="H477" s="227"/>
      <c r="I477" s="66"/>
      <c r="J477" s="66"/>
      <c r="K477" s="66"/>
      <c r="L477" s="66"/>
    </row>
    <row r="478" spans="1:12" ht="49.5" customHeight="1">
      <c r="A478" s="60" t="s">
        <v>225</v>
      </c>
      <c r="B478" s="22" t="s">
        <v>402</v>
      </c>
      <c r="C478" s="22" t="s">
        <v>172</v>
      </c>
      <c r="D478" s="22" t="s">
        <v>738</v>
      </c>
      <c r="E478" s="22" t="s">
        <v>226</v>
      </c>
      <c r="F478" s="181">
        <f t="shared" si="14"/>
        <v>45</v>
      </c>
      <c r="G478" s="119">
        <f>G479</f>
        <v>45</v>
      </c>
      <c r="H478" s="185"/>
      <c r="I478" s="66"/>
      <c r="J478" s="66"/>
      <c r="K478" s="66"/>
      <c r="L478" s="66"/>
    </row>
    <row r="479" spans="1:12" ht="27" customHeight="1">
      <c r="A479" s="60" t="s">
        <v>227</v>
      </c>
      <c r="B479" s="22" t="s">
        <v>402</v>
      </c>
      <c r="C479" s="22" t="s">
        <v>172</v>
      </c>
      <c r="D479" s="22" t="s">
        <v>738</v>
      </c>
      <c r="E479" s="22" t="s">
        <v>304</v>
      </c>
      <c r="F479" s="181">
        <f t="shared" si="14"/>
        <v>45</v>
      </c>
      <c r="G479" s="119">
        <v>45</v>
      </c>
      <c r="H479" s="185"/>
      <c r="I479" s="66"/>
      <c r="J479" s="66"/>
      <c r="K479" s="66"/>
      <c r="L479" s="66"/>
    </row>
    <row r="480" spans="1:12" s="106" customFormat="1" ht="51" customHeight="1" hidden="1">
      <c r="A480" s="64" t="s">
        <v>501</v>
      </c>
      <c r="B480" s="61" t="s">
        <v>402</v>
      </c>
      <c r="C480" s="61" t="s">
        <v>172</v>
      </c>
      <c r="D480" s="61" t="s">
        <v>82</v>
      </c>
      <c r="E480" s="61" t="s">
        <v>432</v>
      </c>
      <c r="F480" s="180">
        <f aca="true" t="shared" si="15" ref="F480:F485">G480</f>
        <v>0</v>
      </c>
      <c r="G480" s="120">
        <f>G481</f>
        <v>0</v>
      </c>
      <c r="H480" s="188"/>
      <c r="I480" s="114">
        <f>G480+G443</f>
        <v>1390.82661</v>
      </c>
      <c r="J480" s="66"/>
      <c r="K480" s="66"/>
      <c r="L480" s="66"/>
    </row>
    <row r="481" spans="1:12" s="106" customFormat="1" ht="71.25" customHeight="1" hidden="1">
      <c r="A481" s="65" t="s">
        <v>571</v>
      </c>
      <c r="B481" s="22" t="s">
        <v>402</v>
      </c>
      <c r="C481" s="22" t="s">
        <v>172</v>
      </c>
      <c r="D481" s="22" t="s">
        <v>529</v>
      </c>
      <c r="E481" s="22" t="s">
        <v>432</v>
      </c>
      <c r="F481" s="181">
        <f t="shared" si="15"/>
        <v>0</v>
      </c>
      <c r="G481" s="119">
        <f>G482+G484</f>
        <v>0</v>
      </c>
      <c r="H481" s="188"/>
      <c r="I481" s="66"/>
      <c r="J481" s="66"/>
      <c r="K481" s="66"/>
      <c r="L481" s="66"/>
    </row>
    <row r="482" spans="1:12" s="106" customFormat="1" ht="44.25" customHeight="1" hidden="1">
      <c r="A482" s="60" t="s">
        <v>199</v>
      </c>
      <c r="B482" s="22" t="s">
        <v>402</v>
      </c>
      <c r="C482" s="22" t="s">
        <v>172</v>
      </c>
      <c r="D482" s="22" t="s">
        <v>529</v>
      </c>
      <c r="E482" s="22" t="s">
        <v>166</v>
      </c>
      <c r="F482" s="181">
        <f t="shared" si="15"/>
        <v>0</v>
      </c>
      <c r="G482" s="119">
        <f>G483</f>
        <v>0</v>
      </c>
      <c r="H482" s="188"/>
      <c r="I482" s="66"/>
      <c r="J482" s="66"/>
      <c r="K482" s="66"/>
      <c r="L482" s="66"/>
    </row>
    <row r="483" spans="1:12" s="106" customFormat="1" ht="33" customHeight="1" hidden="1">
      <c r="A483" s="60" t="s">
        <v>215</v>
      </c>
      <c r="B483" s="22" t="s">
        <v>402</v>
      </c>
      <c r="C483" s="22" t="s">
        <v>172</v>
      </c>
      <c r="D483" s="22" t="s">
        <v>529</v>
      </c>
      <c r="E483" s="22" t="s">
        <v>173</v>
      </c>
      <c r="F483" s="181">
        <f t="shared" si="15"/>
        <v>0</v>
      </c>
      <c r="G483" s="119">
        <v>0</v>
      </c>
      <c r="H483" s="188"/>
      <c r="I483" s="66"/>
      <c r="J483" s="66"/>
      <c r="K483" s="66"/>
      <c r="L483" s="66"/>
    </row>
    <row r="484" spans="1:12" s="110" customFormat="1" ht="39.75" customHeight="1" hidden="1">
      <c r="A484" s="60" t="s">
        <v>202</v>
      </c>
      <c r="B484" s="22" t="s">
        <v>402</v>
      </c>
      <c r="C484" s="22" t="s">
        <v>172</v>
      </c>
      <c r="D484" s="22" t="s">
        <v>529</v>
      </c>
      <c r="E484" s="22" t="s">
        <v>170</v>
      </c>
      <c r="F484" s="181">
        <f t="shared" si="15"/>
        <v>0</v>
      </c>
      <c r="G484" s="119">
        <f>G485</f>
        <v>0</v>
      </c>
      <c r="H484" s="188"/>
      <c r="I484" s="66"/>
      <c r="J484" s="66"/>
      <c r="K484" s="66"/>
      <c r="L484" s="66"/>
    </row>
    <row r="485" spans="1:12" s="110" customFormat="1" ht="47.25" customHeight="1" hidden="1">
      <c r="A485" s="94" t="s">
        <v>203</v>
      </c>
      <c r="B485" s="22" t="s">
        <v>402</v>
      </c>
      <c r="C485" s="22" t="s">
        <v>172</v>
      </c>
      <c r="D485" s="22" t="s">
        <v>529</v>
      </c>
      <c r="E485" s="22" t="s">
        <v>204</v>
      </c>
      <c r="F485" s="181">
        <f t="shared" si="15"/>
        <v>0</v>
      </c>
      <c r="G485" s="119">
        <v>0</v>
      </c>
      <c r="H485" s="188"/>
      <c r="I485" s="66"/>
      <c r="J485" s="66"/>
      <c r="K485" s="66"/>
      <c r="L485" s="66"/>
    </row>
    <row r="486" spans="1:12" ht="18.75" customHeight="1">
      <c r="A486" s="117" t="s">
        <v>243</v>
      </c>
      <c r="B486" s="29" t="s">
        <v>244</v>
      </c>
      <c r="C486" s="29" t="s">
        <v>161</v>
      </c>
      <c r="D486" s="29" t="s">
        <v>338</v>
      </c>
      <c r="E486" s="29" t="s">
        <v>432</v>
      </c>
      <c r="F486" s="186">
        <f aca="true" t="shared" si="16" ref="F486:F492">G486+H486</f>
        <v>42155.31608999999</v>
      </c>
      <c r="G486" s="187">
        <f>G487+G492+G502</f>
        <v>770.1</v>
      </c>
      <c r="H486" s="187">
        <f>H487+H492+H502</f>
        <v>41385.216089999994</v>
      </c>
      <c r="I486" s="123">
        <v>841.7</v>
      </c>
      <c r="J486" s="66">
        <v>28767.332</v>
      </c>
      <c r="K486" s="114">
        <f>J486-H486</f>
        <v>-12617.884089999996</v>
      </c>
      <c r="L486" s="66"/>
    </row>
    <row r="487" spans="1:12" s="111" customFormat="1" ht="17.25" customHeight="1">
      <c r="A487" s="79" t="s">
        <v>155</v>
      </c>
      <c r="B487" s="107" t="s">
        <v>244</v>
      </c>
      <c r="C487" s="107" t="s">
        <v>161</v>
      </c>
      <c r="D487" s="107" t="s">
        <v>338</v>
      </c>
      <c r="E487" s="107" t="s">
        <v>432</v>
      </c>
      <c r="F487" s="183">
        <f t="shared" si="16"/>
        <v>741.7</v>
      </c>
      <c r="G487" s="184">
        <f>G488</f>
        <v>741.7</v>
      </c>
      <c r="H487" s="184">
        <f>H488</f>
        <v>0</v>
      </c>
      <c r="I487" s="27"/>
      <c r="J487" s="27"/>
      <c r="K487" s="27"/>
      <c r="L487" s="27"/>
    </row>
    <row r="488" spans="1:12" s="106" customFormat="1" ht="33" customHeight="1">
      <c r="A488" s="60" t="s">
        <v>628</v>
      </c>
      <c r="B488" s="22" t="s">
        <v>244</v>
      </c>
      <c r="C488" s="22" t="s">
        <v>161</v>
      </c>
      <c r="D488" s="22" t="s">
        <v>92</v>
      </c>
      <c r="E488" s="22" t="s">
        <v>432</v>
      </c>
      <c r="F488" s="181">
        <f t="shared" si="16"/>
        <v>741.7</v>
      </c>
      <c r="G488" s="119">
        <f>G489</f>
        <v>741.7</v>
      </c>
      <c r="H488" s="119">
        <f>H489</f>
        <v>0</v>
      </c>
      <c r="I488" s="123">
        <f>G487+H512+H522+H528+H503</f>
        <v>15197.482239999998</v>
      </c>
      <c r="J488" s="66"/>
      <c r="K488" s="66"/>
      <c r="L488" s="66"/>
    </row>
    <row r="489" spans="1:12" s="106" customFormat="1" ht="50.25" customHeight="1">
      <c r="A489" s="60" t="s">
        <v>156</v>
      </c>
      <c r="B489" s="22" t="s">
        <v>244</v>
      </c>
      <c r="C489" s="22" t="s">
        <v>161</v>
      </c>
      <c r="D489" s="22" t="s">
        <v>92</v>
      </c>
      <c r="E489" s="22" t="s">
        <v>432</v>
      </c>
      <c r="F489" s="181">
        <f t="shared" si="16"/>
        <v>741.7</v>
      </c>
      <c r="G489" s="119">
        <f>G490</f>
        <v>741.7</v>
      </c>
      <c r="H489" s="119">
        <f>H491</f>
        <v>0</v>
      </c>
      <c r="I489" s="66"/>
      <c r="J489" s="66"/>
      <c r="K489" s="66"/>
      <c r="L489" s="66"/>
    </row>
    <row r="490" spans="1:12" s="106" customFormat="1" ht="31.5" customHeight="1">
      <c r="A490" s="60" t="s">
        <v>216</v>
      </c>
      <c r="B490" s="22" t="s">
        <v>244</v>
      </c>
      <c r="C490" s="22" t="s">
        <v>161</v>
      </c>
      <c r="D490" s="22" t="s">
        <v>92</v>
      </c>
      <c r="E490" s="22" t="s">
        <v>171</v>
      </c>
      <c r="F490" s="181">
        <f t="shared" si="16"/>
        <v>741.7</v>
      </c>
      <c r="G490" s="119">
        <f>G491</f>
        <v>741.7</v>
      </c>
      <c r="H490" s="119"/>
      <c r="I490" s="66"/>
      <c r="J490" s="66"/>
      <c r="K490" s="66"/>
      <c r="L490" s="66"/>
    </row>
    <row r="491" spans="1:12" s="151" customFormat="1" ht="32.25" customHeight="1">
      <c r="A491" s="60" t="s">
        <v>217</v>
      </c>
      <c r="B491" s="22" t="s">
        <v>244</v>
      </c>
      <c r="C491" s="22" t="s">
        <v>161</v>
      </c>
      <c r="D491" s="22" t="s">
        <v>92</v>
      </c>
      <c r="E491" s="22" t="s">
        <v>218</v>
      </c>
      <c r="F491" s="181">
        <f t="shared" si="16"/>
        <v>741.7</v>
      </c>
      <c r="G491" s="119">
        <v>741.7</v>
      </c>
      <c r="H491" s="187"/>
      <c r="I491" s="32"/>
      <c r="J491" s="32"/>
      <c r="K491" s="32"/>
      <c r="L491" s="32"/>
    </row>
    <row r="492" spans="1:12" s="151" customFormat="1" ht="18.75" customHeight="1">
      <c r="A492" s="79" t="s">
        <v>629</v>
      </c>
      <c r="B492" s="107" t="s">
        <v>244</v>
      </c>
      <c r="C492" s="107" t="s">
        <v>168</v>
      </c>
      <c r="D492" s="107" t="s">
        <v>338</v>
      </c>
      <c r="E492" s="107" t="s">
        <v>432</v>
      </c>
      <c r="F492" s="183">
        <f t="shared" si="16"/>
        <v>608.4</v>
      </c>
      <c r="G492" s="184">
        <f>G493+G496+G499</f>
        <v>28.400000000000006</v>
      </c>
      <c r="H492" s="184">
        <f>H493</f>
        <v>580</v>
      </c>
      <c r="I492" s="32"/>
      <c r="J492" s="32"/>
      <c r="K492" s="32"/>
      <c r="L492" s="32"/>
    </row>
    <row r="493" spans="1:12" s="151" customFormat="1" ht="93" customHeight="1">
      <c r="A493" s="64" t="s">
        <v>630</v>
      </c>
      <c r="B493" s="61" t="s">
        <v>244</v>
      </c>
      <c r="C493" s="61" t="s">
        <v>168</v>
      </c>
      <c r="D493" s="61" t="s">
        <v>55</v>
      </c>
      <c r="E493" s="61" t="s">
        <v>432</v>
      </c>
      <c r="F493" s="180">
        <f>H493</f>
        <v>580</v>
      </c>
      <c r="G493" s="120"/>
      <c r="H493" s="120">
        <f>H494+H496</f>
        <v>580</v>
      </c>
      <c r="I493" s="32"/>
      <c r="J493" s="32"/>
      <c r="K493" s="32"/>
      <c r="L493" s="32"/>
    </row>
    <row r="494" spans="1:12" s="151" customFormat="1" ht="33" customHeight="1">
      <c r="A494" s="60" t="s">
        <v>216</v>
      </c>
      <c r="B494" s="22" t="s">
        <v>244</v>
      </c>
      <c r="C494" s="22" t="s">
        <v>168</v>
      </c>
      <c r="D494" s="22" t="s">
        <v>735</v>
      </c>
      <c r="E494" s="22" t="s">
        <v>171</v>
      </c>
      <c r="F494" s="181">
        <f>H494</f>
        <v>580</v>
      </c>
      <c r="G494" s="119"/>
      <c r="H494" s="119">
        <f>H495</f>
        <v>580</v>
      </c>
      <c r="I494" s="32"/>
      <c r="J494" s="32"/>
      <c r="K494" s="32"/>
      <c r="L494" s="32"/>
    </row>
    <row r="495" spans="1:12" s="151" customFormat="1" ht="36" customHeight="1">
      <c r="A495" s="60" t="s">
        <v>219</v>
      </c>
      <c r="B495" s="22" t="s">
        <v>244</v>
      </c>
      <c r="C495" s="22" t="s">
        <v>168</v>
      </c>
      <c r="D495" s="22" t="s">
        <v>735</v>
      </c>
      <c r="E495" s="22" t="s">
        <v>220</v>
      </c>
      <c r="F495" s="181">
        <f>H495</f>
        <v>580</v>
      </c>
      <c r="G495" s="119"/>
      <c r="H495" s="119">
        <f>2375-1795</f>
        <v>580</v>
      </c>
      <c r="I495" s="32"/>
      <c r="J495" s="32"/>
      <c r="K495" s="32"/>
      <c r="L495" s="32"/>
    </row>
    <row r="496" spans="1:8" s="27" customFormat="1" ht="48" customHeight="1">
      <c r="A496" s="64" t="s">
        <v>512</v>
      </c>
      <c r="B496" s="61" t="s">
        <v>244</v>
      </c>
      <c r="C496" s="61" t="s">
        <v>168</v>
      </c>
      <c r="D496" s="61" t="s">
        <v>93</v>
      </c>
      <c r="E496" s="61" t="s">
        <v>432</v>
      </c>
      <c r="F496" s="180">
        <f>G496+H496</f>
        <v>28.400000000000006</v>
      </c>
      <c r="G496" s="120">
        <f>G497</f>
        <v>28.400000000000006</v>
      </c>
      <c r="H496" s="120">
        <f>H498</f>
        <v>0</v>
      </c>
    </row>
    <row r="497" spans="1:12" s="111" customFormat="1" ht="32.25" customHeight="1">
      <c r="A497" s="60" t="s">
        <v>216</v>
      </c>
      <c r="B497" s="22" t="s">
        <v>244</v>
      </c>
      <c r="C497" s="22" t="s">
        <v>168</v>
      </c>
      <c r="D497" s="22" t="s">
        <v>94</v>
      </c>
      <c r="E497" s="22" t="s">
        <v>171</v>
      </c>
      <c r="F497" s="181">
        <f>G497</f>
        <v>28.400000000000006</v>
      </c>
      <c r="G497" s="119">
        <f>G498</f>
        <v>28.400000000000006</v>
      </c>
      <c r="H497" s="119"/>
      <c r="I497" s="27"/>
      <c r="J497" s="27"/>
      <c r="K497" s="27"/>
      <c r="L497" s="27"/>
    </row>
    <row r="498" spans="1:12" s="106" customFormat="1" ht="31.5" customHeight="1">
      <c r="A498" s="60" t="s">
        <v>219</v>
      </c>
      <c r="B498" s="22" t="s">
        <v>244</v>
      </c>
      <c r="C498" s="22" t="s">
        <v>168</v>
      </c>
      <c r="D498" s="22" t="s">
        <v>94</v>
      </c>
      <c r="E498" s="22" t="s">
        <v>220</v>
      </c>
      <c r="F498" s="181">
        <f>G498+H498</f>
        <v>28.400000000000006</v>
      </c>
      <c r="G498" s="119">
        <f>200-171.6</f>
        <v>28.400000000000006</v>
      </c>
      <c r="H498" s="119"/>
      <c r="I498" s="66"/>
      <c r="J498" s="66"/>
      <c r="K498" s="66"/>
      <c r="L498" s="66"/>
    </row>
    <row r="499" spans="1:12" s="110" customFormat="1" ht="21" customHeight="1" hidden="1">
      <c r="A499" s="122" t="s">
        <v>575</v>
      </c>
      <c r="B499" s="22" t="s">
        <v>244</v>
      </c>
      <c r="C499" s="22" t="s">
        <v>168</v>
      </c>
      <c r="D499" s="107" t="s">
        <v>338</v>
      </c>
      <c r="E499" s="107" t="s">
        <v>432</v>
      </c>
      <c r="F499" s="183">
        <f>G499</f>
        <v>0</v>
      </c>
      <c r="G499" s="184">
        <f>G500</f>
        <v>0</v>
      </c>
      <c r="H499" s="184"/>
      <c r="I499" s="66"/>
      <c r="J499" s="66"/>
      <c r="K499" s="66"/>
      <c r="L499" s="66"/>
    </row>
    <row r="500" spans="1:12" s="110" customFormat="1" ht="35.25" customHeight="1" hidden="1">
      <c r="A500" s="60" t="s">
        <v>216</v>
      </c>
      <c r="B500" s="22" t="s">
        <v>244</v>
      </c>
      <c r="C500" s="22" t="s">
        <v>168</v>
      </c>
      <c r="D500" s="22" t="s">
        <v>576</v>
      </c>
      <c r="E500" s="22" t="s">
        <v>171</v>
      </c>
      <c r="F500" s="181">
        <f>G500</f>
        <v>0</v>
      </c>
      <c r="G500" s="119">
        <f>G501</f>
        <v>0</v>
      </c>
      <c r="H500" s="119"/>
      <c r="I500" s="66"/>
      <c r="J500" s="66"/>
      <c r="K500" s="66"/>
      <c r="L500" s="66"/>
    </row>
    <row r="501" spans="1:12" s="110" customFormat="1" ht="35.25" customHeight="1" hidden="1">
      <c r="A501" s="60" t="s">
        <v>219</v>
      </c>
      <c r="B501" s="22" t="s">
        <v>244</v>
      </c>
      <c r="C501" s="22" t="s">
        <v>168</v>
      </c>
      <c r="D501" s="22" t="s">
        <v>576</v>
      </c>
      <c r="E501" s="22" t="s">
        <v>220</v>
      </c>
      <c r="F501" s="181">
        <f>G501</f>
        <v>0</v>
      </c>
      <c r="G501" s="119"/>
      <c r="H501" s="119"/>
      <c r="I501" s="66"/>
      <c r="J501" s="66"/>
      <c r="K501" s="66"/>
      <c r="L501" s="66"/>
    </row>
    <row r="502" spans="1:12" ht="18.75" customHeight="1">
      <c r="A502" s="79" t="s">
        <v>425</v>
      </c>
      <c r="B502" s="107" t="s">
        <v>244</v>
      </c>
      <c r="C502" s="107" t="s">
        <v>172</v>
      </c>
      <c r="D502" s="107" t="s">
        <v>338</v>
      </c>
      <c r="E502" s="107" t="s">
        <v>432</v>
      </c>
      <c r="F502" s="183">
        <f aca="true" t="shared" si="17" ref="F502:F507">G502+H502</f>
        <v>40805.216089999994</v>
      </c>
      <c r="G502" s="184">
        <f>G513</f>
        <v>0</v>
      </c>
      <c r="H502" s="184">
        <f>H505+H513+H508+H518+H524</f>
        <v>40805.216089999994</v>
      </c>
      <c r="I502" s="66">
        <v>0</v>
      </c>
      <c r="J502" s="66">
        <v>26392.332</v>
      </c>
      <c r="K502" s="114">
        <f>J502-H502</f>
        <v>-14412.884089999996</v>
      </c>
      <c r="L502" s="66"/>
    </row>
    <row r="503" spans="1:12" ht="47.25" customHeight="1">
      <c r="A503" s="64" t="s">
        <v>497</v>
      </c>
      <c r="B503" s="22" t="s">
        <v>244</v>
      </c>
      <c r="C503" s="22" t="s">
        <v>172</v>
      </c>
      <c r="D503" s="22" t="s">
        <v>37</v>
      </c>
      <c r="E503" s="22" t="s">
        <v>432</v>
      </c>
      <c r="F503" s="181">
        <f t="shared" si="17"/>
        <v>2456.15024</v>
      </c>
      <c r="G503" s="119">
        <f>G504</f>
        <v>0</v>
      </c>
      <c r="H503" s="119">
        <f>H504</f>
        <v>2456.15024</v>
      </c>
      <c r="I503" s="66"/>
      <c r="J503" s="66"/>
      <c r="K503" s="66"/>
      <c r="L503" s="66"/>
    </row>
    <row r="504" spans="1:12" ht="33" customHeight="1">
      <c r="A504" s="65" t="s">
        <v>95</v>
      </c>
      <c r="B504" s="22" t="s">
        <v>244</v>
      </c>
      <c r="C504" s="22" t="s">
        <v>172</v>
      </c>
      <c r="D504" s="22" t="s">
        <v>50</v>
      </c>
      <c r="E504" s="22" t="s">
        <v>432</v>
      </c>
      <c r="F504" s="181">
        <f t="shared" si="17"/>
        <v>2456.15024</v>
      </c>
      <c r="G504" s="119">
        <f>G505</f>
        <v>0</v>
      </c>
      <c r="H504" s="119">
        <f>H505</f>
        <v>2456.15024</v>
      </c>
      <c r="I504" s="66"/>
      <c r="J504" s="66"/>
      <c r="K504" s="66"/>
      <c r="L504" s="66"/>
    </row>
    <row r="505" spans="1:12" s="106" customFormat="1" ht="79.5" customHeight="1">
      <c r="A505" s="64" t="s">
        <v>246</v>
      </c>
      <c r="B505" s="22" t="s">
        <v>244</v>
      </c>
      <c r="C505" s="22" t="s">
        <v>172</v>
      </c>
      <c r="D505" s="22" t="s">
        <v>96</v>
      </c>
      <c r="E505" s="22" t="s">
        <v>432</v>
      </c>
      <c r="F505" s="181">
        <f t="shared" si="17"/>
        <v>2456.15024</v>
      </c>
      <c r="G505" s="119">
        <f>G507</f>
        <v>0</v>
      </c>
      <c r="H505" s="119">
        <f>H507+H506</f>
        <v>2456.15024</v>
      </c>
      <c r="I505" s="66"/>
      <c r="J505" s="66"/>
      <c r="K505" s="66"/>
      <c r="L505" s="66"/>
    </row>
    <row r="506" spans="1:12" s="106" customFormat="1" ht="47.25" customHeight="1">
      <c r="A506" s="94" t="s">
        <v>203</v>
      </c>
      <c r="B506" s="22" t="s">
        <v>244</v>
      </c>
      <c r="C506" s="22" t="s">
        <v>172</v>
      </c>
      <c r="D506" s="22" t="s">
        <v>96</v>
      </c>
      <c r="E506" s="22" t="s">
        <v>204</v>
      </c>
      <c r="F506" s="181">
        <f t="shared" si="17"/>
        <v>36.84226</v>
      </c>
      <c r="G506" s="119"/>
      <c r="H506" s="119">
        <f>69.70985-32.86759</f>
        <v>36.84226</v>
      </c>
      <c r="I506" s="66"/>
      <c r="J506" s="66"/>
      <c r="K506" s="66"/>
      <c r="L506" s="66"/>
    </row>
    <row r="507" spans="1:12" s="106" customFormat="1" ht="35.25" customHeight="1">
      <c r="A507" s="60" t="s">
        <v>217</v>
      </c>
      <c r="B507" s="22" t="s">
        <v>244</v>
      </c>
      <c r="C507" s="22" t="s">
        <v>172</v>
      </c>
      <c r="D507" s="22" t="s">
        <v>96</v>
      </c>
      <c r="E507" s="22" t="s">
        <v>218</v>
      </c>
      <c r="F507" s="181">
        <f t="shared" si="17"/>
        <v>2419.30798</v>
      </c>
      <c r="G507" s="119"/>
      <c r="H507" s="119">
        <f>4577.61315-2158.30517</f>
        <v>2419.30798</v>
      </c>
      <c r="I507" s="66"/>
      <c r="J507" s="66"/>
      <c r="K507" s="66"/>
      <c r="L507" s="66"/>
    </row>
    <row r="508" spans="1:12" ht="48" customHeight="1">
      <c r="A508" s="64" t="s">
        <v>497</v>
      </c>
      <c r="B508" s="61" t="s">
        <v>244</v>
      </c>
      <c r="C508" s="61" t="s">
        <v>172</v>
      </c>
      <c r="D508" s="61" t="s">
        <v>37</v>
      </c>
      <c r="E508" s="61" t="s">
        <v>432</v>
      </c>
      <c r="F508" s="180">
        <f aca="true" t="shared" si="18" ref="F508:F517">H508</f>
        <v>400</v>
      </c>
      <c r="G508" s="120">
        <v>0</v>
      </c>
      <c r="H508" s="120">
        <f>H509</f>
        <v>400</v>
      </c>
      <c r="I508" s="66"/>
      <c r="J508" s="66"/>
      <c r="K508" s="66"/>
      <c r="L508" s="66"/>
    </row>
    <row r="509" spans="1:12" s="106" customFormat="1" ht="34.5" customHeight="1">
      <c r="A509" s="222" t="s">
        <v>485</v>
      </c>
      <c r="B509" s="61" t="s">
        <v>244</v>
      </c>
      <c r="C509" s="61" t="s">
        <v>172</v>
      </c>
      <c r="D509" s="61" t="s">
        <v>72</v>
      </c>
      <c r="E509" s="61" t="s">
        <v>432</v>
      </c>
      <c r="F509" s="180">
        <f t="shared" si="18"/>
        <v>400</v>
      </c>
      <c r="G509" s="120">
        <v>0</v>
      </c>
      <c r="H509" s="120">
        <f>H510</f>
        <v>400</v>
      </c>
      <c r="I509" s="66"/>
      <c r="J509" s="66"/>
      <c r="K509" s="66"/>
      <c r="L509" s="66"/>
    </row>
    <row r="510" spans="1:12" s="106" customFormat="1" ht="61.5" customHeight="1">
      <c r="A510" s="64" t="s">
        <v>783</v>
      </c>
      <c r="B510" s="22" t="s">
        <v>244</v>
      </c>
      <c r="C510" s="22" t="s">
        <v>172</v>
      </c>
      <c r="D510" s="61" t="s">
        <v>72</v>
      </c>
      <c r="E510" s="61" t="s">
        <v>432</v>
      </c>
      <c r="F510" s="181">
        <f t="shared" si="18"/>
        <v>400</v>
      </c>
      <c r="G510" s="119">
        <v>0</v>
      </c>
      <c r="H510" s="119">
        <f>H511</f>
        <v>400</v>
      </c>
      <c r="I510" s="66"/>
      <c r="J510" s="66"/>
      <c r="K510" s="66"/>
      <c r="L510" s="66"/>
    </row>
    <row r="511" spans="1:12" s="106" customFormat="1" ht="35.25" customHeight="1">
      <c r="A511" s="94" t="s">
        <v>216</v>
      </c>
      <c r="B511" s="22" t="s">
        <v>244</v>
      </c>
      <c r="C511" s="22" t="s">
        <v>172</v>
      </c>
      <c r="D511" s="22" t="s">
        <v>73</v>
      </c>
      <c r="E511" s="22" t="s">
        <v>171</v>
      </c>
      <c r="F511" s="181">
        <f t="shared" si="18"/>
        <v>400</v>
      </c>
      <c r="G511" s="119">
        <v>0</v>
      </c>
      <c r="H511" s="119">
        <f>H512</f>
        <v>400</v>
      </c>
      <c r="I511" s="66"/>
      <c r="J511" s="66"/>
      <c r="K511" s="66"/>
      <c r="L511" s="66"/>
    </row>
    <row r="512" spans="1:12" s="106" customFormat="1" ht="32.25" customHeight="1">
      <c r="A512" s="94" t="s">
        <v>217</v>
      </c>
      <c r="B512" s="22" t="s">
        <v>244</v>
      </c>
      <c r="C512" s="22" t="s">
        <v>172</v>
      </c>
      <c r="D512" s="22" t="s">
        <v>73</v>
      </c>
      <c r="E512" s="22" t="s">
        <v>218</v>
      </c>
      <c r="F512" s="181">
        <f t="shared" si="18"/>
        <v>400</v>
      </c>
      <c r="G512" s="119">
        <v>0</v>
      </c>
      <c r="H512" s="119">
        <v>400</v>
      </c>
      <c r="I512" s="66"/>
      <c r="J512" s="66"/>
      <c r="K512" s="66"/>
      <c r="L512" s="66"/>
    </row>
    <row r="513" spans="1:12" s="106" customFormat="1" ht="66.75" customHeight="1">
      <c r="A513" s="87" t="s">
        <v>590</v>
      </c>
      <c r="B513" s="61" t="s">
        <v>244</v>
      </c>
      <c r="C513" s="61" t="s">
        <v>172</v>
      </c>
      <c r="D513" s="61" t="s">
        <v>338</v>
      </c>
      <c r="E513" s="61" t="s">
        <v>432</v>
      </c>
      <c r="F513" s="180">
        <f t="shared" si="18"/>
        <v>21572.52985</v>
      </c>
      <c r="G513" s="120"/>
      <c r="H513" s="120">
        <f>H514+H516</f>
        <v>21572.52985</v>
      </c>
      <c r="I513" s="66"/>
      <c r="J513" s="66"/>
      <c r="K513" s="66"/>
      <c r="L513" s="66"/>
    </row>
    <row r="514" spans="1:12" s="106" customFormat="1" ht="36.75" customHeight="1">
      <c r="A514" s="60" t="s">
        <v>202</v>
      </c>
      <c r="B514" s="22" t="s">
        <v>244</v>
      </c>
      <c r="C514" s="22" t="s">
        <v>172</v>
      </c>
      <c r="D514" s="22" t="s">
        <v>591</v>
      </c>
      <c r="E514" s="22" t="s">
        <v>170</v>
      </c>
      <c r="F514" s="181">
        <f>G514+H514</f>
        <v>57</v>
      </c>
      <c r="G514" s="119"/>
      <c r="H514" s="119">
        <f>H515</f>
        <v>57</v>
      </c>
      <c r="I514" s="66"/>
      <c r="J514" s="66"/>
      <c r="K514" s="66"/>
      <c r="L514" s="66"/>
    </row>
    <row r="515" spans="1:12" s="106" customFormat="1" ht="47.25" customHeight="1">
      <c r="A515" s="94" t="s">
        <v>203</v>
      </c>
      <c r="B515" s="22" t="s">
        <v>244</v>
      </c>
      <c r="C515" s="22" t="s">
        <v>172</v>
      </c>
      <c r="D515" s="22" t="s">
        <v>591</v>
      </c>
      <c r="E515" s="22" t="s">
        <v>204</v>
      </c>
      <c r="F515" s="181">
        <f>G515+H515</f>
        <v>57</v>
      </c>
      <c r="G515" s="119"/>
      <c r="H515" s="119">
        <f>43+14</f>
        <v>57</v>
      </c>
      <c r="I515" s="66"/>
      <c r="J515" s="66"/>
      <c r="K515" s="66"/>
      <c r="L515" s="66"/>
    </row>
    <row r="516" spans="1:12" s="106" customFormat="1" ht="48.75" customHeight="1">
      <c r="A516" s="94" t="s">
        <v>631</v>
      </c>
      <c r="B516" s="22" t="s">
        <v>244</v>
      </c>
      <c r="C516" s="22" t="s">
        <v>172</v>
      </c>
      <c r="D516" s="22" t="s">
        <v>591</v>
      </c>
      <c r="E516" s="22" t="s">
        <v>632</v>
      </c>
      <c r="F516" s="181">
        <f t="shared" si="18"/>
        <v>21515.52985</v>
      </c>
      <c r="G516" s="119"/>
      <c r="H516" s="119">
        <f>H517</f>
        <v>21515.52985</v>
      </c>
      <c r="I516" s="66"/>
      <c r="J516" s="66"/>
      <c r="K516" s="66"/>
      <c r="L516" s="66"/>
    </row>
    <row r="517" spans="1:12" s="106" customFormat="1" ht="17.25" customHeight="1">
      <c r="A517" s="94" t="s">
        <v>633</v>
      </c>
      <c r="B517" s="22" t="s">
        <v>244</v>
      </c>
      <c r="C517" s="22" t="s">
        <v>172</v>
      </c>
      <c r="D517" s="22" t="s">
        <v>591</v>
      </c>
      <c r="E517" s="22" t="s">
        <v>634</v>
      </c>
      <c r="F517" s="181">
        <f t="shared" si="18"/>
        <v>21515.52985</v>
      </c>
      <c r="G517" s="119"/>
      <c r="H517" s="119">
        <f>21576.39094+128.39895-43-132.26004-14</f>
        <v>21515.52985</v>
      </c>
      <c r="I517" s="193"/>
      <c r="J517" s="66"/>
      <c r="K517" s="66"/>
      <c r="L517" s="66"/>
    </row>
    <row r="518" spans="1:12" s="106" customFormat="1" ht="115.5" customHeight="1">
      <c r="A518" s="64" t="s">
        <v>721</v>
      </c>
      <c r="B518" s="61" t="s">
        <v>244</v>
      </c>
      <c r="C518" s="61" t="s">
        <v>172</v>
      </c>
      <c r="D518" s="61" t="s">
        <v>741</v>
      </c>
      <c r="E518" s="61" t="s">
        <v>432</v>
      </c>
      <c r="F518" s="180">
        <f aca="true" t="shared" si="19" ref="F518:F528">G518+H518</f>
        <v>15875.701</v>
      </c>
      <c r="G518" s="120"/>
      <c r="H518" s="120">
        <f>H519+H521</f>
        <v>15875.701</v>
      </c>
      <c r="I518" s="193"/>
      <c r="J518" s="66"/>
      <c r="K518" s="66"/>
      <c r="L518" s="66"/>
    </row>
    <row r="519" spans="1:12" s="106" customFormat="1" ht="36.75" customHeight="1">
      <c r="A519" s="60" t="s">
        <v>202</v>
      </c>
      <c r="B519" s="22" t="s">
        <v>244</v>
      </c>
      <c r="C519" s="22" t="s">
        <v>172</v>
      </c>
      <c r="D519" s="22" t="s">
        <v>741</v>
      </c>
      <c r="E519" s="22" t="s">
        <v>170</v>
      </c>
      <c r="F519" s="181">
        <f>H519</f>
        <v>150</v>
      </c>
      <c r="G519" s="119"/>
      <c r="H519" s="119">
        <f>H520</f>
        <v>150</v>
      </c>
      <c r="I519" s="193"/>
      <c r="J519" s="66"/>
      <c r="K519" s="66"/>
      <c r="L519" s="66"/>
    </row>
    <row r="520" spans="1:12" s="106" customFormat="1" ht="50.25" customHeight="1">
      <c r="A520" s="94" t="s">
        <v>203</v>
      </c>
      <c r="B520" s="22" t="s">
        <v>244</v>
      </c>
      <c r="C520" s="22" t="s">
        <v>172</v>
      </c>
      <c r="D520" s="22" t="s">
        <v>741</v>
      </c>
      <c r="E520" s="22" t="s">
        <v>204</v>
      </c>
      <c r="F520" s="181">
        <f>H520</f>
        <v>150</v>
      </c>
      <c r="G520" s="119"/>
      <c r="H520" s="119">
        <v>150</v>
      </c>
      <c r="I520" s="193"/>
      <c r="J520" s="66"/>
      <c r="K520" s="66"/>
      <c r="L520" s="66"/>
    </row>
    <row r="521" spans="1:12" s="106" customFormat="1" ht="30" customHeight="1">
      <c r="A521" s="60" t="s">
        <v>216</v>
      </c>
      <c r="B521" s="22" t="s">
        <v>244</v>
      </c>
      <c r="C521" s="22" t="s">
        <v>172</v>
      </c>
      <c r="D521" s="22" t="s">
        <v>741</v>
      </c>
      <c r="E521" s="22" t="s">
        <v>171</v>
      </c>
      <c r="F521" s="181">
        <f t="shared" si="19"/>
        <v>15725.701</v>
      </c>
      <c r="G521" s="119"/>
      <c r="H521" s="119">
        <f>H522+H523</f>
        <v>15725.701</v>
      </c>
      <c r="I521" s="193"/>
      <c r="J521" s="66"/>
      <c r="K521" s="66"/>
      <c r="L521" s="66"/>
    </row>
    <row r="522" spans="1:12" s="106" customFormat="1" ht="30.75" customHeight="1">
      <c r="A522" s="94" t="s">
        <v>217</v>
      </c>
      <c r="B522" s="22" t="s">
        <v>244</v>
      </c>
      <c r="C522" s="22" t="s">
        <v>172</v>
      </c>
      <c r="D522" s="22" t="s">
        <v>741</v>
      </c>
      <c r="E522" s="22" t="s">
        <v>218</v>
      </c>
      <c r="F522" s="181">
        <f t="shared" si="19"/>
        <v>11103.796999999999</v>
      </c>
      <c r="G522" s="119"/>
      <c r="H522" s="119">
        <f>14592.018-1121.904-150-2216.317</f>
        <v>11103.796999999999</v>
      </c>
      <c r="I522" s="193"/>
      <c r="J522" s="66"/>
      <c r="K522" s="66"/>
      <c r="L522" s="66"/>
    </row>
    <row r="523" spans="1:12" s="106" customFormat="1" ht="30.75" customHeight="1">
      <c r="A523" s="60" t="s">
        <v>219</v>
      </c>
      <c r="B523" s="22" t="s">
        <v>244</v>
      </c>
      <c r="C523" s="22" t="s">
        <v>172</v>
      </c>
      <c r="D523" s="22" t="s">
        <v>741</v>
      </c>
      <c r="E523" s="22" t="s">
        <v>220</v>
      </c>
      <c r="F523" s="181">
        <f t="shared" si="19"/>
        <v>4621.904</v>
      </c>
      <c r="G523" s="119"/>
      <c r="H523" s="119">
        <f>3500+1121.904</f>
        <v>4621.904</v>
      </c>
      <c r="I523" s="193"/>
      <c r="J523" s="66"/>
      <c r="K523" s="66"/>
      <c r="L523" s="66"/>
    </row>
    <row r="524" spans="1:12" s="106" customFormat="1" ht="94.5" customHeight="1">
      <c r="A524" s="64" t="s">
        <v>724</v>
      </c>
      <c r="B524" s="61" t="s">
        <v>244</v>
      </c>
      <c r="C524" s="61" t="s">
        <v>172</v>
      </c>
      <c r="D524" s="61" t="s">
        <v>742</v>
      </c>
      <c r="E524" s="61" t="s">
        <v>432</v>
      </c>
      <c r="F524" s="180">
        <f t="shared" si="19"/>
        <v>500.835</v>
      </c>
      <c r="G524" s="120"/>
      <c r="H524" s="120">
        <f>H525+H527</f>
        <v>500.835</v>
      </c>
      <c r="I524" s="193"/>
      <c r="J524" s="66"/>
      <c r="K524" s="66"/>
      <c r="L524" s="66"/>
    </row>
    <row r="525" spans="1:12" s="106" customFormat="1" ht="36.75" customHeight="1">
      <c r="A525" s="60" t="s">
        <v>202</v>
      </c>
      <c r="B525" s="22" t="s">
        <v>244</v>
      </c>
      <c r="C525" s="22" t="s">
        <v>172</v>
      </c>
      <c r="D525" s="22" t="s">
        <v>742</v>
      </c>
      <c r="E525" s="22" t="s">
        <v>170</v>
      </c>
      <c r="F525" s="181">
        <f>H525</f>
        <v>5</v>
      </c>
      <c r="G525" s="119"/>
      <c r="H525" s="119">
        <f>H526</f>
        <v>5</v>
      </c>
      <c r="I525" s="193"/>
      <c r="J525" s="66"/>
      <c r="K525" s="66"/>
      <c r="L525" s="66"/>
    </row>
    <row r="526" spans="1:12" s="106" customFormat="1" ht="50.25" customHeight="1">
      <c r="A526" s="94" t="s">
        <v>203</v>
      </c>
      <c r="B526" s="22" t="s">
        <v>244</v>
      </c>
      <c r="C526" s="22" t="s">
        <v>172</v>
      </c>
      <c r="D526" s="22" t="s">
        <v>742</v>
      </c>
      <c r="E526" s="22" t="s">
        <v>204</v>
      </c>
      <c r="F526" s="181">
        <f>H526</f>
        <v>5</v>
      </c>
      <c r="G526" s="119"/>
      <c r="H526" s="119">
        <v>5</v>
      </c>
      <c r="I526" s="193"/>
      <c r="J526" s="66"/>
      <c r="K526" s="66"/>
      <c r="L526" s="66"/>
    </row>
    <row r="527" spans="1:12" s="106" customFormat="1" ht="30.75" customHeight="1">
      <c r="A527" s="60" t="s">
        <v>216</v>
      </c>
      <c r="B527" s="22" t="s">
        <v>244</v>
      </c>
      <c r="C527" s="22" t="s">
        <v>172</v>
      </c>
      <c r="D527" s="22" t="s">
        <v>742</v>
      </c>
      <c r="E527" s="22" t="s">
        <v>171</v>
      </c>
      <c r="F527" s="181">
        <f t="shared" si="19"/>
        <v>495.835</v>
      </c>
      <c r="G527" s="119"/>
      <c r="H527" s="119">
        <f>H528</f>
        <v>495.835</v>
      </c>
      <c r="I527" s="193"/>
      <c r="J527" s="66"/>
      <c r="K527" s="66"/>
      <c r="L527" s="66"/>
    </row>
    <row r="528" spans="1:12" s="106" customFormat="1" ht="32.25" customHeight="1">
      <c r="A528" s="94" t="s">
        <v>217</v>
      </c>
      <c r="B528" s="22" t="s">
        <v>244</v>
      </c>
      <c r="C528" s="22" t="s">
        <v>172</v>
      </c>
      <c r="D528" s="22" t="s">
        <v>742</v>
      </c>
      <c r="E528" s="22" t="s">
        <v>218</v>
      </c>
      <c r="F528" s="181">
        <f t="shared" si="19"/>
        <v>495.835</v>
      </c>
      <c r="G528" s="119"/>
      <c r="H528" s="119">
        <f>500.835-5</f>
        <v>495.835</v>
      </c>
      <c r="I528" s="193"/>
      <c r="J528" s="66"/>
      <c r="K528" s="66"/>
      <c r="L528" s="66"/>
    </row>
    <row r="529" spans="1:12" s="320" customFormat="1" ht="18.75" customHeight="1">
      <c r="A529" s="117" t="s">
        <v>247</v>
      </c>
      <c r="B529" s="29" t="s">
        <v>179</v>
      </c>
      <c r="C529" s="29" t="s">
        <v>162</v>
      </c>
      <c r="D529" s="29" t="s">
        <v>338</v>
      </c>
      <c r="E529" s="29" t="s">
        <v>432</v>
      </c>
      <c r="F529" s="186">
        <f aca="true" t="shared" si="20" ref="F529:F535">G529+H529</f>
        <v>38861.806169999996</v>
      </c>
      <c r="G529" s="187">
        <f>G530</f>
        <v>968.11395</v>
      </c>
      <c r="H529" s="187">
        <f>H530</f>
        <v>37893.69222</v>
      </c>
      <c r="I529" s="32"/>
      <c r="J529" s="32"/>
      <c r="K529" s="324"/>
      <c r="L529" s="324"/>
    </row>
    <row r="530" spans="1:12" ht="15.75" customHeight="1">
      <c r="A530" s="60" t="s">
        <v>366</v>
      </c>
      <c r="B530" s="22" t="s">
        <v>179</v>
      </c>
      <c r="C530" s="22" t="s">
        <v>163</v>
      </c>
      <c r="D530" s="22" t="s">
        <v>338</v>
      </c>
      <c r="E530" s="22" t="s">
        <v>432</v>
      </c>
      <c r="F530" s="181">
        <f t="shared" si="20"/>
        <v>38861.806169999996</v>
      </c>
      <c r="G530" s="119">
        <f>G531</f>
        <v>968.11395</v>
      </c>
      <c r="H530" s="119">
        <f>H531</f>
        <v>37893.69222</v>
      </c>
      <c r="I530" s="66"/>
      <c r="J530" s="66"/>
      <c r="K530" s="66"/>
      <c r="L530" s="66"/>
    </row>
    <row r="531" spans="1:12" ht="50.25" customHeight="1">
      <c r="A531" s="64" t="s">
        <v>502</v>
      </c>
      <c r="B531" s="61" t="s">
        <v>179</v>
      </c>
      <c r="C531" s="61" t="s">
        <v>163</v>
      </c>
      <c r="D531" s="61" t="s">
        <v>97</v>
      </c>
      <c r="E531" s="61" t="s">
        <v>432</v>
      </c>
      <c r="F531" s="180">
        <f t="shared" si="20"/>
        <v>38861.806169999996</v>
      </c>
      <c r="G531" s="120">
        <f>G532+G535+G553+G550+G560</f>
        <v>968.11395</v>
      </c>
      <c r="H531" s="120">
        <f>H532+H535+H553+H560</f>
        <v>37893.69222</v>
      </c>
      <c r="I531" s="66"/>
      <c r="J531" s="66"/>
      <c r="K531" s="66"/>
      <c r="L531" s="66"/>
    </row>
    <row r="532" spans="1:12" ht="33" customHeight="1">
      <c r="A532" s="60" t="s">
        <v>248</v>
      </c>
      <c r="B532" s="22" t="s">
        <v>179</v>
      </c>
      <c r="C532" s="22" t="s">
        <v>163</v>
      </c>
      <c r="D532" s="22" t="s">
        <v>98</v>
      </c>
      <c r="E532" s="22" t="s">
        <v>432</v>
      </c>
      <c r="F532" s="181">
        <f t="shared" si="20"/>
        <v>89.00303000000001</v>
      </c>
      <c r="G532" s="119">
        <f>G533</f>
        <v>89.00303000000001</v>
      </c>
      <c r="H532" s="119">
        <f>H534</f>
        <v>0</v>
      </c>
      <c r="I532" s="66"/>
      <c r="J532" s="66"/>
      <c r="K532" s="66"/>
      <c r="L532" s="66"/>
    </row>
    <row r="533" spans="1:12" ht="32.25" customHeight="1">
      <c r="A533" s="60" t="s">
        <v>202</v>
      </c>
      <c r="B533" s="22" t="s">
        <v>179</v>
      </c>
      <c r="C533" s="22" t="s">
        <v>163</v>
      </c>
      <c r="D533" s="22" t="s">
        <v>98</v>
      </c>
      <c r="E533" s="22" t="s">
        <v>170</v>
      </c>
      <c r="F533" s="181">
        <f t="shared" si="20"/>
        <v>89.00303000000001</v>
      </c>
      <c r="G533" s="119">
        <f>G534</f>
        <v>89.00303000000001</v>
      </c>
      <c r="H533" s="119"/>
      <c r="I533" s="66"/>
      <c r="J533" s="66"/>
      <c r="K533" s="66"/>
      <c r="L533" s="66"/>
    </row>
    <row r="534" spans="1:12" ht="49.5" customHeight="1">
      <c r="A534" s="94" t="s">
        <v>203</v>
      </c>
      <c r="B534" s="22" t="s">
        <v>179</v>
      </c>
      <c r="C534" s="22" t="s">
        <v>163</v>
      </c>
      <c r="D534" s="22" t="s">
        <v>98</v>
      </c>
      <c r="E534" s="22" t="s">
        <v>204</v>
      </c>
      <c r="F534" s="181">
        <f t="shared" si="20"/>
        <v>89.00303000000001</v>
      </c>
      <c r="G534" s="119">
        <f>150-9.69697-23-28.3</f>
        <v>89.00303000000001</v>
      </c>
      <c r="H534" s="119"/>
      <c r="I534" s="66"/>
      <c r="J534" s="66"/>
      <c r="K534" s="66"/>
      <c r="L534" s="66"/>
    </row>
    <row r="535" spans="1:12" s="106" customFormat="1" ht="49.5" customHeight="1">
      <c r="A535" s="118" t="s">
        <v>635</v>
      </c>
      <c r="B535" s="29" t="s">
        <v>179</v>
      </c>
      <c r="C535" s="29" t="s">
        <v>163</v>
      </c>
      <c r="D535" s="29" t="s">
        <v>97</v>
      </c>
      <c r="E535" s="29" t="s">
        <v>432</v>
      </c>
      <c r="F535" s="186">
        <f t="shared" si="20"/>
        <v>37291.48235</v>
      </c>
      <c r="G535" s="187">
        <f>G543</f>
        <v>357.79013000000003</v>
      </c>
      <c r="H535" s="187">
        <f>H536</f>
        <v>36933.69222</v>
      </c>
      <c r="I535" s="66"/>
      <c r="J535" s="66"/>
      <c r="K535" s="66"/>
      <c r="L535" s="66"/>
    </row>
    <row r="536" spans="1:12" s="106" customFormat="1" ht="83.25" customHeight="1">
      <c r="A536" s="87" t="s">
        <v>647</v>
      </c>
      <c r="B536" s="61" t="s">
        <v>179</v>
      </c>
      <c r="C536" s="61" t="s">
        <v>163</v>
      </c>
      <c r="D536" s="61" t="s">
        <v>636</v>
      </c>
      <c r="E536" s="61" t="s">
        <v>432</v>
      </c>
      <c r="F536" s="180">
        <f aca="true" t="shared" si="21" ref="F536:F542">H536</f>
        <v>36933.69222</v>
      </c>
      <c r="G536" s="120"/>
      <c r="H536" s="120">
        <f>H539+H541</f>
        <v>36933.69222</v>
      </c>
      <c r="I536" s="66"/>
      <c r="J536" s="66"/>
      <c r="K536" s="66"/>
      <c r="L536" s="66"/>
    </row>
    <row r="537" spans="1:12" s="106" customFormat="1" ht="39.75" customHeight="1" hidden="1">
      <c r="A537" s="60" t="s">
        <v>202</v>
      </c>
      <c r="B537" s="22" t="s">
        <v>179</v>
      </c>
      <c r="C537" s="22" t="s">
        <v>163</v>
      </c>
      <c r="D537" s="22" t="s">
        <v>636</v>
      </c>
      <c r="E537" s="22" t="s">
        <v>170</v>
      </c>
      <c r="F537" s="181">
        <f t="shared" si="21"/>
        <v>0</v>
      </c>
      <c r="G537" s="119"/>
      <c r="H537" s="119">
        <f>H538</f>
        <v>0</v>
      </c>
      <c r="I537" s="66"/>
      <c r="J537" s="66"/>
      <c r="K537" s="66"/>
      <c r="L537" s="66"/>
    </row>
    <row r="538" spans="1:12" s="106" customFormat="1" ht="64.5" customHeight="1" hidden="1">
      <c r="A538" s="94" t="s">
        <v>648</v>
      </c>
      <c r="B538" s="22" t="s">
        <v>179</v>
      </c>
      <c r="C538" s="22" t="s">
        <v>163</v>
      </c>
      <c r="D538" s="22" t="s">
        <v>636</v>
      </c>
      <c r="E538" s="22" t="s">
        <v>204</v>
      </c>
      <c r="F538" s="181">
        <f t="shared" si="21"/>
        <v>0</v>
      </c>
      <c r="G538" s="119"/>
      <c r="H538" s="119">
        <v>0</v>
      </c>
      <c r="I538" s="66"/>
      <c r="J538" s="66"/>
      <c r="K538" s="66"/>
      <c r="L538" s="66"/>
    </row>
    <row r="539" spans="1:12" s="106" customFormat="1" ht="47.25" customHeight="1">
      <c r="A539" s="94" t="s">
        <v>631</v>
      </c>
      <c r="B539" s="22" t="s">
        <v>179</v>
      </c>
      <c r="C539" s="22" t="s">
        <v>163</v>
      </c>
      <c r="D539" s="22" t="s">
        <v>636</v>
      </c>
      <c r="E539" s="22" t="s">
        <v>632</v>
      </c>
      <c r="F539" s="181">
        <f t="shared" si="21"/>
        <v>33900</v>
      </c>
      <c r="G539" s="119"/>
      <c r="H539" s="119">
        <f>H540</f>
        <v>33900</v>
      </c>
      <c r="I539" s="66"/>
      <c r="J539" s="66"/>
      <c r="K539" s="66"/>
      <c r="L539" s="66"/>
    </row>
    <row r="540" spans="1:12" s="106" customFormat="1" ht="15" customHeight="1">
      <c r="A540" s="94" t="s">
        <v>633</v>
      </c>
      <c r="B540" s="22" t="s">
        <v>179</v>
      </c>
      <c r="C540" s="22" t="s">
        <v>163</v>
      </c>
      <c r="D540" s="22" t="s">
        <v>636</v>
      </c>
      <c r="E540" s="22" t="s">
        <v>634</v>
      </c>
      <c r="F540" s="181">
        <f t="shared" si="21"/>
        <v>33900</v>
      </c>
      <c r="G540" s="119"/>
      <c r="H540" s="119">
        <f>45000-11100</f>
        <v>33900</v>
      </c>
      <c r="I540" s="66"/>
      <c r="J540" s="66"/>
      <c r="K540" s="66"/>
      <c r="L540" s="66"/>
    </row>
    <row r="541" spans="1:12" s="106" customFormat="1" ht="30" customHeight="1">
      <c r="A541" s="60" t="s">
        <v>637</v>
      </c>
      <c r="B541" s="22" t="s">
        <v>179</v>
      </c>
      <c r="C541" s="22" t="s">
        <v>163</v>
      </c>
      <c r="D541" s="22" t="s">
        <v>636</v>
      </c>
      <c r="E541" s="22" t="s">
        <v>226</v>
      </c>
      <c r="F541" s="181">
        <f t="shared" si="21"/>
        <v>3033.69222</v>
      </c>
      <c r="G541" s="119"/>
      <c r="H541" s="119">
        <f>H542</f>
        <v>3033.69222</v>
      </c>
      <c r="I541" s="66"/>
      <c r="J541" s="66"/>
      <c r="K541" s="66"/>
      <c r="L541" s="66"/>
    </row>
    <row r="542" spans="1:12" s="106" customFormat="1" ht="19.5" customHeight="1">
      <c r="A542" s="60" t="s">
        <v>191</v>
      </c>
      <c r="B542" s="22" t="s">
        <v>179</v>
      </c>
      <c r="C542" s="22" t="s">
        <v>163</v>
      </c>
      <c r="D542" s="22" t="s">
        <v>636</v>
      </c>
      <c r="E542" s="22" t="s">
        <v>304</v>
      </c>
      <c r="F542" s="181">
        <f t="shared" si="21"/>
        <v>3033.69222</v>
      </c>
      <c r="G542" s="119"/>
      <c r="H542" s="119">
        <f>358.2+2978.433-302.94078</f>
        <v>3033.69222</v>
      </c>
      <c r="I542" s="66"/>
      <c r="J542" s="66"/>
      <c r="K542" s="66"/>
      <c r="L542" s="66"/>
    </row>
    <row r="543" spans="1:12" s="106" customFormat="1" ht="97.5" customHeight="1">
      <c r="A543" s="87" t="s">
        <v>649</v>
      </c>
      <c r="B543" s="61" t="s">
        <v>179</v>
      </c>
      <c r="C543" s="61" t="s">
        <v>163</v>
      </c>
      <c r="D543" s="61" t="s">
        <v>638</v>
      </c>
      <c r="E543" s="61" t="s">
        <v>432</v>
      </c>
      <c r="F543" s="180">
        <f aca="true" t="shared" si="22" ref="F543:F549">G543</f>
        <v>357.79013000000003</v>
      </c>
      <c r="G543" s="120">
        <f>G546+G548</f>
        <v>357.79013000000003</v>
      </c>
      <c r="H543" s="120"/>
      <c r="I543" s="66"/>
      <c r="J543" s="66"/>
      <c r="K543" s="66"/>
      <c r="L543" s="66"/>
    </row>
    <row r="544" spans="1:12" s="106" customFormat="1" ht="38.25" customHeight="1" hidden="1">
      <c r="A544" s="60" t="s">
        <v>202</v>
      </c>
      <c r="B544" s="22" t="s">
        <v>179</v>
      </c>
      <c r="C544" s="22" t="s">
        <v>163</v>
      </c>
      <c r="D544" s="22" t="s">
        <v>638</v>
      </c>
      <c r="E544" s="22" t="s">
        <v>170</v>
      </c>
      <c r="F544" s="181">
        <f t="shared" si="22"/>
        <v>0</v>
      </c>
      <c r="G544" s="119">
        <f>G545</f>
        <v>0</v>
      </c>
      <c r="H544" s="119"/>
      <c r="I544" s="66"/>
      <c r="J544" s="66"/>
      <c r="K544" s="66"/>
      <c r="L544" s="66"/>
    </row>
    <row r="545" spans="1:12" s="106" customFormat="1" ht="65.25" customHeight="1" hidden="1">
      <c r="A545" s="94" t="s">
        <v>648</v>
      </c>
      <c r="B545" s="22" t="s">
        <v>179</v>
      </c>
      <c r="C545" s="22" t="s">
        <v>163</v>
      </c>
      <c r="D545" s="22" t="s">
        <v>638</v>
      </c>
      <c r="E545" s="22" t="s">
        <v>204</v>
      </c>
      <c r="F545" s="181">
        <f t="shared" si="22"/>
        <v>0</v>
      </c>
      <c r="G545" s="119">
        <v>0</v>
      </c>
      <c r="H545" s="119"/>
      <c r="I545" s="66"/>
      <c r="J545" s="66"/>
      <c r="K545" s="66"/>
      <c r="L545" s="66"/>
    </row>
    <row r="546" spans="1:14" s="106" customFormat="1" ht="49.5" customHeight="1">
      <c r="A546" s="94" t="s">
        <v>631</v>
      </c>
      <c r="B546" s="22" t="s">
        <v>179</v>
      </c>
      <c r="C546" s="22" t="s">
        <v>163</v>
      </c>
      <c r="D546" s="22" t="s">
        <v>638</v>
      </c>
      <c r="E546" s="22" t="s">
        <v>632</v>
      </c>
      <c r="F546" s="181">
        <f t="shared" si="22"/>
        <v>342.54545</v>
      </c>
      <c r="G546" s="119">
        <f>G547</f>
        <v>342.54545</v>
      </c>
      <c r="H546" s="119"/>
      <c r="I546" s="66"/>
      <c r="J546" s="66"/>
      <c r="K546" s="66"/>
      <c r="L546" s="66"/>
      <c r="N546" s="106" t="e">
        <f>N547/J547*100</f>
        <v>#DIV/0!</v>
      </c>
    </row>
    <row r="547" spans="1:14" s="106" customFormat="1" ht="18" customHeight="1">
      <c r="A547" s="94" t="s">
        <v>633</v>
      </c>
      <c r="B547" s="22" t="s">
        <v>179</v>
      </c>
      <c r="C547" s="22" t="s">
        <v>163</v>
      </c>
      <c r="D547" s="22" t="s">
        <v>638</v>
      </c>
      <c r="E547" s="22" t="s">
        <v>634</v>
      </c>
      <c r="F547" s="181">
        <f t="shared" si="22"/>
        <v>342.54545</v>
      </c>
      <c r="G547" s="119">
        <f>478.55295-7.2405-16.767-112</f>
        <v>342.54545</v>
      </c>
      <c r="H547" s="119"/>
      <c r="I547" s="66"/>
      <c r="J547" s="66"/>
      <c r="K547" s="66"/>
      <c r="L547" s="66"/>
      <c r="N547" s="106">
        <v>478.553</v>
      </c>
    </row>
    <row r="548" spans="1:12" s="106" customFormat="1" ht="45" customHeight="1">
      <c r="A548" s="60" t="s">
        <v>637</v>
      </c>
      <c r="B548" s="22" t="s">
        <v>179</v>
      </c>
      <c r="C548" s="22" t="s">
        <v>163</v>
      </c>
      <c r="D548" s="22" t="s">
        <v>636</v>
      </c>
      <c r="E548" s="22" t="s">
        <v>226</v>
      </c>
      <c r="F548" s="181">
        <f t="shared" si="22"/>
        <v>15.244679999999999</v>
      </c>
      <c r="G548" s="119">
        <f>G549</f>
        <v>15.244679999999999</v>
      </c>
      <c r="H548" s="119"/>
      <c r="I548" s="66"/>
      <c r="J548" s="66"/>
      <c r="K548" s="66"/>
      <c r="L548" s="66"/>
    </row>
    <row r="549" spans="1:12" s="106" customFormat="1" ht="18" customHeight="1">
      <c r="A549" s="60" t="s">
        <v>191</v>
      </c>
      <c r="B549" s="22" t="s">
        <v>179</v>
      </c>
      <c r="C549" s="22" t="s">
        <v>163</v>
      </c>
      <c r="D549" s="22" t="s">
        <v>636</v>
      </c>
      <c r="E549" s="22" t="s">
        <v>304</v>
      </c>
      <c r="F549" s="181">
        <f t="shared" si="22"/>
        <v>15.244679999999999</v>
      </c>
      <c r="G549" s="119">
        <f>16.767-1.52232</f>
        <v>15.244679999999999</v>
      </c>
      <c r="H549" s="119"/>
      <c r="I549" s="66"/>
      <c r="J549" s="66"/>
      <c r="K549" s="66"/>
      <c r="L549" s="66"/>
    </row>
    <row r="550" spans="1:12" s="106" customFormat="1" ht="48" customHeight="1">
      <c r="A550" s="64" t="s">
        <v>805</v>
      </c>
      <c r="B550" s="61" t="s">
        <v>179</v>
      </c>
      <c r="C550" s="61" t="s">
        <v>163</v>
      </c>
      <c r="D550" s="61" t="s">
        <v>801</v>
      </c>
      <c r="E550" s="61" t="s">
        <v>432</v>
      </c>
      <c r="F550" s="180">
        <f>G550+H550</f>
        <v>513</v>
      </c>
      <c r="G550" s="120">
        <f>G551</f>
        <v>513</v>
      </c>
      <c r="H550" s="120"/>
      <c r="I550" s="66"/>
      <c r="J550" s="66"/>
      <c r="K550" s="66"/>
      <c r="L550" s="66"/>
    </row>
    <row r="551" spans="1:12" s="106" customFormat="1" ht="34.5" customHeight="1">
      <c r="A551" s="60" t="s">
        <v>202</v>
      </c>
      <c r="B551" s="22" t="s">
        <v>179</v>
      </c>
      <c r="C551" s="22" t="s">
        <v>163</v>
      </c>
      <c r="D551" s="22" t="s">
        <v>801</v>
      </c>
      <c r="E551" s="22" t="s">
        <v>170</v>
      </c>
      <c r="F551" s="181">
        <f>G551+H551</f>
        <v>513</v>
      </c>
      <c r="G551" s="119">
        <f>G552</f>
        <v>513</v>
      </c>
      <c r="H551" s="119"/>
      <c r="I551" s="66"/>
      <c r="J551" s="66"/>
      <c r="K551" s="66"/>
      <c r="L551" s="66"/>
    </row>
    <row r="552" spans="1:12" s="106" customFormat="1" ht="45.75" customHeight="1">
      <c r="A552" s="94" t="s">
        <v>203</v>
      </c>
      <c r="B552" s="22" t="s">
        <v>179</v>
      </c>
      <c r="C552" s="22" t="s">
        <v>163</v>
      </c>
      <c r="D552" s="22" t="s">
        <v>801</v>
      </c>
      <c r="E552" s="22" t="s">
        <v>204</v>
      </c>
      <c r="F552" s="181">
        <f>G552+H552</f>
        <v>513</v>
      </c>
      <c r="G552" s="119">
        <f>250-27+140+150</f>
        <v>513</v>
      </c>
      <c r="H552" s="119"/>
      <c r="I552" s="66"/>
      <c r="J552" s="66"/>
      <c r="K552" s="66"/>
      <c r="L552" s="66"/>
    </row>
    <row r="553" spans="1:12" s="106" customFormat="1" ht="37.5" customHeight="1" hidden="1">
      <c r="A553" s="117" t="s">
        <v>764</v>
      </c>
      <c r="B553" s="29" t="s">
        <v>179</v>
      </c>
      <c r="C553" s="29" t="s">
        <v>163</v>
      </c>
      <c r="D553" s="29" t="s">
        <v>97</v>
      </c>
      <c r="E553" s="29" t="s">
        <v>432</v>
      </c>
      <c r="F553" s="186">
        <f aca="true" t="shared" si="23" ref="F553:F559">G553+H553</f>
        <v>0</v>
      </c>
      <c r="G553" s="187">
        <f>G554+G557</f>
        <v>0</v>
      </c>
      <c r="H553" s="187">
        <f>H554+H557</f>
        <v>0</v>
      </c>
      <c r="I553" s="66"/>
      <c r="J553" s="66"/>
      <c r="K553" s="66"/>
      <c r="L553" s="66"/>
    </row>
    <row r="554" spans="1:12" s="106" customFormat="1" ht="64.5" customHeight="1" hidden="1">
      <c r="A554" s="87" t="s">
        <v>772</v>
      </c>
      <c r="B554" s="22" t="s">
        <v>179</v>
      </c>
      <c r="C554" s="22" t="s">
        <v>163</v>
      </c>
      <c r="D554" s="22" t="s">
        <v>767</v>
      </c>
      <c r="E554" s="22" t="s">
        <v>432</v>
      </c>
      <c r="F554" s="181">
        <f t="shared" si="23"/>
        <v>0</v>
      </c>
      <c r="G554" s="119"/>
      <c r="H554" s="119">
        <f>H555</f>
        <v>0</v>
      </c>
      <c r="I554" s="66"/>
      <c r="J554" s="66"/>
      <c r="K554" s="66"/>
      <c r="L554" s="66"/>
    </row>
    <row r="555" spans="1:12" s="106" customFormat="1" ht="45" customHeight="1" hidden="1">
      <c r="A555" s="60" t="s">
        <v>637</v>
      </c>
      <c r="B555" s="22" t="s">
        <v>179</v>
      </c>
      <c r="C555" s="22" t="s">
        <v>163</v>
      </c>
      <c r="D555" s="22" t="s">
        <v>767</v>
      </c>
      <c r="E555" s="22" t="s">
        <v>226</v>
      </c>
      <c r="F555" s="181">
        <f t="shared" si="23"/>
        <v>0</v>
      </c>
      <c r="G555" s="119"/>
      <c r="H555" s="119">
        <f>H556</f>
        <v>0</v>
      </c>
      <c r="I555" s="66"/>
      <c r="J555" s="66"/>
      <c r="K555" s="66"/>
      <c r="L555" s="66"/>
    </row>
    <row r="556" spans="1:12" s="106" customFormat="1" ht="18.75" customHeight="1" hidden="1">
      <c r="A556" s="60" t="s">
        <v>191</v>
      </c>
      <c r="B556" s="22" t="s">
        <v>179</v>
      </c>
      <c r="C556" s="22" t="s">
        <v>163</v>
      </c>
      <c r="D556" s="22" t="s">
        <v>767</v>
      </c>
      <c r="E556" s="22" t="s">
        <v>304</v>
      </c>
      <c r="F556" s="181">
        <f t="shared" si="23"/>
        <v>0</v>
      </c>
      <c r="G556" s="119"/>
      <c r="H556" s="119">
        <f>156-156</f>
        <v>0</v>
      </c>
      <c r="I556" s="66"/>
      <c r="J556" s="66"/>
      <c r="K556" s="66"/>
      <c r="L556" s="66"/>
    </row>
    <row r="557" spans="1:12" s="106" customFormat="1" ht="81" customHeight="1" hidden="1">
      <c r="A557" s="87" t="s">
        <v>773</v>
      </c>
      <c r="B557" s="22" t="s">
        <v>179</v>
      </c>
      <c r="C557" s="22" t="s">
        <v>163</v>
      </c>
      <c r="D557" s="22" t="s">
        <v>768</v>
      </c>
      <c r="E557" s="22" t="s">
        <v>432</v>
      </c>
      <c r="F557" s="181">
        <f t="shared" si="23"/>
        <v>0</v>
      </c>
      <c r="G557" s="119">
        <f>G558</f>
        <v>0</v>
      </c>
      <c r="H557" s="119"/>
      <c r="I557" s="66"/>
      <c r="J557" s="66"/>
      <c r="K557" s="66"/>
      <c r="L557" s="66"/>
    </row>
    <row r="558" spans="1:12" s="106" customFormat="1" ht="42.75" customHeight="1" hidden="1">
      <c r="A558" s="60" t="s">
        <v>637</v>
      </c>
      <c r="B558" s="22" t="s">
        <v>179</v>
      </c>
      <c r="C558" s="22" t="s">
        <v>163</v>
      </c>
      <c r="D558" s="22" t="s">
        <v>768</v>
      </c>
      <c r="E558" s="22" t="s">
        <v>226</v>
      </c>
      <c r="F558" s="181">
        <f t="shared" si="23"/>
        <v>0</v>
      </c>
      <c r="G558" s="119">
        <f>G559</f>
        <v>0</v>
      </c>
      <c r="H558" s="119"/>
      <c r="I558" s="66"/>
      <c r="J558" s="66"/>
      <c r="K558" s="66"/>
      <c r="L558" s="66"/>
    </row>
    <row r="559" spans="1:12" s="106" customFormat="1" ht="18.75" customHeight="1" hidden="1">
      <c r="A559" s="60" t="s">
        <v>191</v>
      </c>
      <c r="B559" s="22" t="s">
        <v>179</v>
      </c>
      <c r="C559" s="22" t="s">
        <v>163</v>
      </c>
      <c r="D559" s="22" t="s">
        <v>768</v>
      </c>
      <c r="E559" s="22" t="s">
        <v>304</v>
      </c>
      <c r="F559" s="181">
        <f t="shared" si="23"/>
        <v>0</v>
      </c>
      <c r="G559" s="119">
        <f>1.57576-1.57576</f>
        <v>0</v>
      </c>
      <c r="H559" s="119"/>
      <c r="I559" s="66"/>
      <c r="J559" s="66"/>
      <c r="K559" s="66"/>
      <c r="L559" s="66"/>
    </row>
    <row r="560" spans="1:12" s="106" customFormat="1" ht="64.5" customHeight="1">
      <c r="A560" s="117" t="s">
        <v>806</v>
      </c>
      <c r="B560" s="29" t="s">
        <v>179</v>
      </c>
      <c r="C560" s="29" t="s">
        <v>163</v>
      </c>
      <c r="D560" s="29" t="s">
        <v>97</v>
      </c>
      <c r="E560" s="29" t="s">
        <v>432</v>
      </c>
      <c r="F560" s="186">
        <f>G560+H560</f>
        <v>968.32079</v>
      </c>
      <c r="G560" s="187">
        <f>G564</f>
        <v>8.32079</v>
      </c>
      <c r="H560" s="187">
        <f>H561</f>
        <v>960</v>
      </c>
      <c r="I560" s="66"/>
      <c r="J560" s="66"/>
      <c r="K560" s="66"/>
      <c r="L560" s="66"/>
    </row>
    <row r="561" spans="1:12" s="106" customFormat="1" ht="96.75" customHeight="1">
      <c r="A561" s="87" t="s">
        <v>808</v>
      </c>
      <c r="B561" s="61" t="s">
        <v>179</v>
      </c>
      <c r="C561" s="61" t="s">
        <v>163</v>
      </c>
      <c r="D561" s="61" t="s">
        <v>807</v>
      </c>
      <c r="E561" s="61" t="s">
        <v>432</v>
      </c>
      <c r="F561" s="180">
        <f aca="true" t="shared" si="24" ref="F561:F566">G561+H561</f>
        <v>960</v>
      </c>
      <c r="G561" s="120"/>
      <c r="H561" s="120">
        <f>H562</f>
        <v>960</v>
      </c>
      <c r="I561" s="66"/>
      <c r="J561" s="66"/>
      <c r="K561" s="66"/>
      <c r="L561" s="66"/>
    </row>
    <row r="562" spans="1:12" s="106" customFormat="1" ht="36" customHeight="1">
      <c r="A562" s="60" t="s">
        <v>202</v>
      </c>
      <c r="B562" s="22" t="s">
        <v>179</v>
      </c>
      <c r="C562" s="22" t="s">
        <v>163</v>
      </c>
      <c r="D562" s="22" t="s">
        <v>807</v>
      </c>
      <c r="E562" s="22" t="s">
        <v>170</v>
      </c>
      <c r="F562" s="181">
        <f t="shared" si="24"/>
        <v>960</v>
      </c>
      <c r="G562" s="119"/>
      <c r="H562" s="119">
        <f>H563</f>
        <v>960</v>
      </c>
      <c r="I562" s="66"/>
      <c r="J562" s="66"/>
      <c r="K562" s="66"/>
      <c r="L562" s="66"/>
    </row>
    <row r="563" spans="1:12" s="106" customFormat="1" ht="48" customHeight="1">
      <c r="A563" s="94" t="s">
        <v>203</v>
      </c>
      <c r="B563" s="22" t="s">
        <v>179</v>
      </c>
      <c r="C563" s="22" t="s">
        <v>163</v>
      </c>
      <c r="D563" s="22" t="s">
        <v>807</v>
      </c>
      <c r="E563" s="22" t="s">
        <v>204</v>
      </c>
      <c r="F563" s="181">
        <f t="shared" si="24"/>
        <v>960</v>
      </c>
      <c r="G563" s="119"/>
      <c r="H563" s="119">
        <v>960</v>
      </c>
      <c r="I563" s="66"/>
      <c r="J563" s="66"/>
      <c r="K563" s="66"/>
      <c r="L563" s="66"/>
    </row>
    <row r="564" spans="1:12" s="106" customFormat="1" ht="114.75" customHeight="1">
      <c r="A564" s="64" t="s">
        <v>809</v>
      </c>
      <c r="B564" s="61" t="s">
        <v>179</v>
      </c>
      <c r="C564" s="61" t="s">
        <v>163</v>
      </c>
      <c r="D564" s="61" t="s">
        <v>810</v>
      </c>
      <c r="E564" s="61" t="s">
        <v>432</v>
      </c>
      <c r="F564" s="180">
        <f t="shared" si="24"/>
        <v>8.32079</v>
      </c>
      <c r="G564" s="120">
        <f>G565</f>
        <v>8.32079</v>
      </c>
      <c r="H564" s="120"/>
      <c r="I564" s="66"/>
      <c r="J564" s="66"/>
      <c r="K564" s="66"/>
      <c r="L564" s="66"/>
    </row>
    <row r="565" spans="1:12" s="106" customFormat="1" ht="36" customHeight="1">
      <c r="A565" s="60" t="s">
        <v>202</v>
      </c>
      <c r="B565" s="22" t="s">
        <v>179</v>
      </c>
      <c r="C565" s="22" t="s">
        <v>163</v>
      </c>
      <c r="D565" s="22" t="s">
        <v>810</v>
      </c>
      <c r="E565" s="22" t="s">
        <v>170</v>
      </c>
      <c r="F565" s="181">
        <f t="shared" si="24"/>
        <v>8.32079</v>
      </c>
      <c r="G565" s="119">
        <f>G566</f>
        <v>8.32079</v>
      </c>
      <c r="H565" s="119"/>
      <c r="I565" s="66"/>
      <c r="J565" s="66"/>
      <c r="K565" s="66"/>
      <c r="L565" s="66"/>
    </row>
    <row r="566" spans="1:12" s="106" customFormat="1" ht="47.25" customHeight="1">
      <c r="A566" s="94" t="s">
        <v>203</v>
      </c>
      <c r="B566" s="22" t="s">
        <v>179</v>
      </c>
      <c r="C566" s="22" t="s">
        <v>163</v>
      </c>
      <c r="D566" s="22" t="s">
        <v>810</v>
      </c>
      <c r="E566" s="22" t="s">
        <v>204</v>
      </c>
      <c r="F566" s="181">
        <f t="shared" si="24"/>
        <v>8.32079</v>
      </c>
      <c r="G566" s="119">
        <f>9.69697-1.37618</f>
        <v>8.32079</v>
      </c>
      <c r="H566" s="119"/>
      <c r="I566" s="66"/>
      <c r="J566" s="66"/>
      <c r="K566" s="66"/>
      <c r="L566" s="66"/>
    </row>
    <row r="567" spans="1:12" s="151" customFormat="1" ht="49.5" customHeight="1">
      <c r="A567" s="117" t="s">
        <v>249</v>
      </c>
      <c r="B567" s="29" t="s">
        <v>181</v>
      </c>
      <c r="C567" s="29" t="s">
        <v>162</v>
      </c>
      <c r="D567" s="29" t="s">
        <v>338</v>
      </c>
      <c r="E567" s="29" t="s">
        <v>432</v>
      </c>
      <c r="F567" s="186">
        <f aca="true" t="shared" si="25" ref="F567:F582">G567+H567</f>
        <v>1200</v>
      </c>
      <c r="G567" s="187">
        <f>G568</f>
        <v>1200</v>
      </c>
      <c r="H567" s="187">
        <f>H568</f>
        <v>0</v>
      </c>
      <c r="I567" s="32"/>
      <c r="J567" s="32"/>
      <c r="K567" s="32"/>
      <c r="L567" s="32"/>
    </row>
    <row r="568" spans="1:12" s="106" customFormat="1" ht="33.75" customHeight="1">
      <c r="A568" s="60" t="s">
        <v>438</v>
      </c>
      <c r="B568" s="22" t="s">
        <v>181</v>
      </c>
      <c r="C568" s="22" t="s">
        <v>161</v>
      </c>
      <c r="D568" s="22" t="s">
        <v>338</v>
      </c>
      <c r="E568" s="22" t="s">
        <v>432</v>
      </c>
      <c r="F568" s="181">
        <f t="shared" si="25"/>
        <v>1200</v>
      </c>
      <c r="G568" s="119">
        <f>G569</f>
        <v>1200</v>
      </c>
      <c r="H568" s="119">
        <f>H570</f>
        <v>0</v>
      </c>
      <c r="I568" s="66"/>
      <c r="J568" s="66"/>
      <c r="K568" s="66"/>
      <c r="L568" s="66"/>
    </row>
    <row r="569" spans="1:12" s="106" customFormat="1" ht="78" customHeight="1">
      <c r="A569" s="64" t="s">
        <v>577</v>
      </c>
      <c r="B569" s="61" t="s">
        <v>181</v>
      </c>
      <c r="C569" s="61" t="s">
        <v>161</v>
      </c>
      <c r="D569" s="61" t="s">
        <v>560</v>
      </c>
      <c r="E569" s="61" t="s">
        <v>432</v>
      </c>
      <c r="F569" s="180">
        <f t="shared" si="25"/>
        <v>1200</v>
      </c>
      <c r="G569" s="120">
        <f>G570</f>
        <v>1200</v>
      </c>
      <c r="H569" s="120">
        <v>0</v>
      </c>
      <c r="I569" s="66"/>
      <c r="J569" s="66"/>
      <c r="K569" s="66"/>
      <c r="L569" s="66"/>
    </row>
    <row r="570" spans="1:12" s="106" customFormat="1" ht="33" customHeight="1">
      <c r="A570" s="60" t="s">
        <v>377</v>
      </c>
      <c r="B570" s="22" t="s">
        <v>181</v>
      </c>
      <c r="C570" s="22" t="s">
        <v>161</v>
      </c>
      <c r="D570" s="22" t="s">
        <v>555</v>
      </c>
      <c r="E570" s="22" t="s">
        <v>432</v>
      </c>
      <c r="F570" s="181">
        <f t="shared" si="25"/>
        <v>1200</v>
      </c>
      <c r="G570" s="119">
        <f>G571</f>
        <v>1200</v>
      </c>
      <c r="H570" s="119">
        <f>H571</f>
        <v>0</v>
      </c>
      <c r="I570" s="66"/>
      <c r="J570" s="66"/>
      <c r="K570" s="66"/>
      <c r="L570" s="66"/>
    </row>
    <row r="571" spans="1:12" s="106" customFormat="1" ht="33" customHeight="1">
      <c r="A571" s="60" t="s">
        <v>565</v>
      </c>
      <c r="B571" s="22" t="s">
        <v>181</v>
      </c>
      <c r="C571" s="22" t="s">
        <v>161</v>
      </c>
      <c r="D571" s="22" t="s">
        <v>555</v>
      </c>
      <c r="E571" s="22" t="s">
        <v>432</v>
      </c>
      <c r="F571" s="181">
        <f t="shared" si="25"/>
        <v>1200</v>
      </c>
      <c r="G571" s="119">
        <f>G572</f>
        <v>1200</v>
      </c>
      <c r="H571" s="119">
        <f>H573</f>
        <v>0</v>
      </c>
      <c r="I571" s="66"/>
      <c r="J571" s="66"/>
      <c r="K571" s="66"/>
      <c r="L571" s="66"/>
    </row>
    <row r="572" spans="1:12" s="106" customFormat="1" ht="33" customHeight="1">
      <c r="A572" s="60" t="s">
        <v>221</v>
      </c>
      <c r="B572" s="22" t="s">
        <v>181</v>
      </c>
      <c r="C572" s="22" t="s">
        <v>161</v>
      </c>
      <c r="D572" s="22" t="s">
        <v>555</v>
      </c>
      <c r="E572" s="22" t="s">
        <v>222</v>
      </c>
      <c r="F572" s="181">
        <f t="shared" si="25"/>
        <v>1200</v>
      </c>
      <c r="G572" s="119">
        <f>G573</f>
        <v>1200</v>
      </c>
      <c r="H572" s="119"/>
      <c r="I572" s="66"/>
      <c r="J572" s="66"/>
      <c r="K572" s="66"/>
      <c r="L572" s="66"/>
    </row>
    <row r="573" spans="1:12" s="106" customFormat="1" ht="17.25" customHeight="1">
      <c r="A573" s="60" t="s">
        <v>251</v>
      </c>
      <c r="B573" s="22" t="s">
        <v>181</v>
      </c>
      <c r="C573" s="22" t="s">
        <v>161</v>
      </c>
      <c r="D573" s="22" t="s">
        <v>555</v>
      </c>
      <c r="E573" s="22" t="s">
        <v>352</v>
      </c>
      <c r="F573" s="181">
        <f t="shared" si="25"/>
        <v>1200</v>
      </c>
      <c r="G573" s="119">
        <f>1300-80-20</f>
        <v>1200</v>
      </c>
      <c r="H573" s="119"/>
      <c r="I573" s="66"/>
      <c r="J573" s="66"/>
      <c r="K573" s="66"/>
      <c r="L573" s="66"/>
    </row>
    <row r="574" spans="1:12" s="320" customFormat="1" ht="78.75" customHeight="1">
      <c r="A574" s="117" t="s">
        <v>252</v>
      </c>
      <c r="B574" s="29" t="s">
        <v>253</v>
      </c>
      <c r="C574" s="29" t="s">
        <v>162</v>
      </c>
      <c r="D574" s="29" t="s">
        <v>338</v>
      </c>
      <c r="E574" s="29" t="s">
        <v>432</v>
      </c>
      <c r="F574" s="186">
        <f t="shared" si="25"/>
        <v>20941.299549999996</v>
      </c>
      <c r="G574" s="187">
        <f>G576+G583+G585+G589</f>
        <v>9439.365549999999</v>
      </c>
      <c r="H574" s="187">
        <f>H576+H585</f>
        <v>11501.934</v>
      </c>
      <c r="I574" s="32"/>
      <c r="J574" s="32"/>
      <c r="K574" s="32"/>
      <c r="L574" s="32"/>
    </row>
    <row r="575" spans="1:12" s="151" customFormat="1" ht="79.5" customHeight="1">
      <c r="A575" s="64" t="s">
        <v>577</v>
      </c>
      <c r="B575" s="107" t="s">
        <v>253</v>
      </c>
      <c r="C575" s="107" t="s">
        <v>162</v>
      </c>
      <c r="D575" s="107" t="s">
        <v>560</v>
      </c>
      <c r="E575" s="107" t="s">
        <v>432</v>
      </c>
      <c r="F575" s="183">
        <f t="shared" si="25"/>
        <v>20941.299549999996</v>
      </c>
      <c r="G575" s="184">
        <f>G576+G584+G586+G590</f>
        <v>9439.365549999999</v>
      </c>
      <c r="H575" s="184">
        <f>H577+H586</f>
        <v>11501.934</v>
      </c>
      <c r="I575" s="32"/>
      <c r="J575" s="32"/>
      <c r="K575" s="32"/>
      <c r="L575" s="32"/>
    </row>
    <row r="576" spans="1:12" s="106" customFormat="1" ht="48.75" customHeight="1">
      <c r="A576" s="60" t="s">
        <v>254</v>
      </c>
      <c r="B576" s="22" t="s">
        <v>253</v>
      </c>
      <c r="C576" s="22" t="s">
        <v>161</v>
      </c>
      <c r="D576" s="22" t="s">
        <v>560</v>
      </c>
      <c r="E576" s="22" t="s">
        <v>432</v>
      </c>
      <c r="F576" s="181">
        <f t="shared" si="25"/>
        <v>19877.351</v>
      </c>
      <c r="G576" s="119">
        <f>G581</f>
        <v>8375.417</v>
      </c>
      <c r="H576" s="119">
        <f>H577</f>
        <v>11501.934</v>
      </c>
      <c r="I576" s="66"/>
      <c r="J576" s="66"/>
      <c r="K576" s="66"/>
      <c r="L576" s="66"/>
    </row>
    <row r="577" spans="1:12" s="106" customFormat="1" ht="50.25" customHeight="1">
      <c r="A577" s="64" t="s">
        <v>255</v>
      </c>
      <c r="B577" s="61" t="s">
        <v>253</v>
      </c>
      <c r="C577" s="61" t="s">
        <v>161</v>
      </c>
      <c r="D577" s="61" t="s">
        <v>552</v>
      </c>
      <c r="E577" s="61" t="s">
        <v>432</v>
      </c>
      <c r="F577" s="180">
        <f t="shared" si="25"/>
        <v>11501.934</v>
      </c>
      <c r="G577" s="120">
        <f>G578</f>
        <v>0</v>
      </c>
      <c r="H577" s="120">
        <f>H578</f>
        <v>11501.934</v>
      </c>
      <c r="I577" s="114"/>
      <c r="J577" s="66"/>
      <c r="K577" s="66"/>
      <c r="L577" s="66"/>
    </row>
    <row r="578" spans="1:12" s="106" customFormat="1" ht="18.75" customHeight="1">
      <c r="A578" s="60" t="s">
        <v>213</v>
      </c>
      <c r="B578" s="22" t="s">
        <v>253</v>
      </c>
      <c r="C578" s="22" t="s">
        <v>161</v>
      </c>
      <c r="D578" s="22" t="s">
        <v>552</v>
      </c>
      <c r="E578" s="22" t="s">
        <v>432</v>
      </c>
      <c r="F578" s="181">
        <f t="shared" si="25"/>
        <v>11501.934</v>
      </c>
      <c r="G578" s="119">
        <f>G579</f>
        <v>0</v>
      </c>
      <c r="H578" s="119">
        <f>H579+H581</f>
        <v>11501.934</v>
      </c>
      <c r="I578" s="66"/>
      <c r="J578" s="66"/>
      <c r="K578" s="66"/>
      <c r="L578" s="66"/>
    </row>
    <row r="579" spans="1:12" s="106" customFormat="1" ht="96" customHeight="1">
      <c r="A579" s="60" t="s">
        <v>355</v>
      </c>
      <c r="B579" s="22" t="s">
        <v>253</v>
      </c>
      <c r="C579" s="22" t="s">
        <v>161</v>
      </c>
      <c r="D579" s="22" t="s">
        <v>552</v>
      </c>
      <c r="E579" s="22" t="s">
        <v>432</v>
      </c>
      <c r="F579" s="181">
        <f t="shared" si="25"/>
        <v>11501.934</v>
      </c>
      <c r="G579" s="119">
        <f>G580</f>
        <v>0</v>
      </c>
      <c r="H579" s="119">
        <f>H580</f>
        <v>11501.934</v>
      </c>
      <c r="I579" s="66"/>
      <c r="J579" s="66"/>
      <c r="K579" s="66"/>
      <c r="L579" s="66"/>
    </row>
    <row r="580" spans="1:12" s="106" customFormat="1" ht="18" customHeight="1">
      <c r="A580" s="60" t="s">
        <v>223</v>
      </c>
      <c r="B580" s="22" t="s">
        <v>253</v>
      </c>
      <c r="C580" s="22" t="s">
        <v>161</v>
      </c>
      <c r="D580" s="22" t="s">
        <v>552</v>
      </c>
      <c r="E580" s="22" t="s">
        <v>224</v>
      </c>
      <c r="F580" s="181">
        <f t="shared" si="25"/>
        <v>11501.934</v>
      </c>
      <c r="G580" s="119">
        <v>0</v>
      </c>
      <c r="H580" s="119">
        <f>11501.934</f>
        <v>11501.934</v>
      </c>
      <c r="I580" s="66"/>
      <c r="J580" s="66"/>
      <c r="K580" s="66"/>
      <c r="L580" s="66"/>
    </row>
    <row r="581" spans="1:12" ht="51" customHeight="1">
      <c r="A581" s="64" t="s">
        <v>331</v>
      </c>
      <c r="B581" s="61" t="s">
        <v>253</v>
      </c>
      <c r="C581" s="61" t="s">
        <v>161</v>
      </c>
      <c r="D581" s="61" t="s">
        <v>553</v>
      </c>
      <c r="E581" s="61" t="s">
        <v>432</v>
      </c>
      <c r="F581" s="180">
        <f t="shared" si="25"/>
        <v>8375.417</v>
      </c>
      <c r="G581" s="120">
        <f>G582</f>
        <v>8375.417</v>
      </c>
      <c r="H581" s="120">
        <f>H582</f>
        <v>0</v>
      </c>
      <c r="I581" s="66"/>
      <c r="J581" s="66"/>
      <c r="K581" s="66"/>
      <c r="L581" s="66"/>
    </row>
    <row r="582" spans="1:12" ht="16.5" customHeight="1">
      <c r="A582" s="60" t="s">
        <v>223</v>
      </c>
      <c r="B582" s="22" t="s">
        <v>253</v>
      </c>
      <c r="C582" s="22" t="s">
        <v>161</v>
      </c>
      <c r="D582" s="22" t="s">
        <v>553</v>
      </c>
      <c r="E582" s="22" t="s">
        <v>224</v>
      </c>
      <c r="F582" s="181">
        <f t="shared" si="25"/>
        <v>8375.417</v>
      </c>
      <c r="G582" s="119">
        <v>8375.417</v>
      </c>
      <c r="H582" s="119"/>
      <c r="I582" s="66"/>
      <c r="J582" s="66"/>
      <c r="K582" s="66"/>
      <c r="L582" s="66"/>
    </row>
    <row r="583" spans="1:12" ht="48" customHeight="1">
      <c r="A583" s="60" t="s">
        <v>331</v>
      </c>
      <c r="B583" s="22" t="s">
        <v>253</v>
      </c>
      <c r="C583" s="22" t="s">
        <v>161</v>
      </c>
      <c r="D583" s="22" t="s">
        <v>26</v>
      </c>
      <c r="E583" s="22" t="s">
        <v>432</v>
      </c>
      <c r="F583" s="181">
        <f>G583</f>
        <v>0</v>
      </c>
      <c r="G583" s="119">
        <f>G584</f>
        <v>0</v>
      </c>
      <c r="H583" s="119">
        <f>H584</f>
        <v>0</v>
      </c>
      <c r="I583" s="66"/>
      <c r="J583" s="66"/>
      <c r="K583" s="66"/>
      <c r="L583" s="66"/>
    </row>
    <row r="584" spans="1:12" ht="17.25" customHeight="1">
      <c r="A584" s="60" t="s">
        <v>211</v>
      </c>
      <c r="B584" s="22" t="s">
        <v>253</v>
      </c>
      <c r="C584" s="22" t="s">
        <v>161</v>
      </c>
      <c r="D584" s="22" t="s">
        <v>26</v>
      </c>
      <c r="E584" s="22" t="s">
        <v>224</v>
      </c>
      <c r="F584" s="181">
        <f>G584</f>
        <v>0</v>
      </c>
      <c r="G584" s="119"/>
      <c r="H584" s="119"/>
      <c r="I584" s="66"/>
      <c r="J584" s="66"/>
      <c r="K584" s="66"/>
      <c r="L584" s="66"/>
    </row>
    <row r="585" spans="1:12" ht="33" customHeight="1">
      <c r="A585" s="64" t="s">
        <v>367</v>
      </c>
      <c r="B585" s="61" t="s">
        <v>253</v>
      </c>
      <c r="C585" s="61" t="s">
        <v>168</v>
      </c>
      <c r="D585" s="61" t="s">
        <v>560</v>
      </c>
      <c r="E585" s="61" t="s">
        <v>432</v>
      </c>
      <c r="F585" s="180">
        <f>G585+H585</f>
        <v>1063.94855</v>
      </c>
      <c r="G585" s="120">
        <f>G586</f>
        <v>1063.94855</v>
      </c>
      <c r="H585" s="120">
        <f>H586</f>
        <v>0</v>
      </c>
      <c r="I585" s="66"/>
      <c r="J585" s="66"/>
      <c r="K585" s="66"/>
      <c r="L585" s="66"/>
    </row>
    <row r="586" spans="1:12" ht="33" customHeight="1">
      <c r="A586" s="60" t="s">
        <v>479</v>
      </c>
      <c r="B586" s="22" t="s">
        <v>253</v>
      </c>
      <c r="C586" s="22" t="s">
        <v>168</v>
      </c>
      <c r="D586" s="22" t="s">
        <v>560</v>
      </c>
      <c r="E586" s="22" t="s">
        <v>432</v>
      </c>
      <c r="F586" s="181">
        <f>G586+H586</f>
        <v>1063.94855</v>
      </c>
      <c r="G586" s="119">
        <f>G587</f>
        <v>1063.94855</v>
      </c>
      <c r="H586" s="119">
        <f>H588</f>
        <v>0</v>
      </c>
      <c r="I586" s="66"/>
      <c r="J586" s="66"/>
      <c r="K586" s="66"/>
      <c r="L586" s="66"/>
    </row>
    <row r="587" spans="1:12" ht="18.75" customHeight="1">
      <c r="A587" s="60" t="s">
        <v>213</v>
      </c>
      <c r="B587" s="22" t="s">
        <v>253</v>
      </c>
      <c r="C587" s="22" t="s">
        <v>168</v>
      </c>
      <c r="D587" s="22" t="s">
        <v>560</v>
      </c>
      <c r="E587" s="22" t="s">
        <v>214</v>
      </c>
      <c r="F587" s="181">
        <f>G587+H587</f>
        <v>1063.94855</v>
      </c>
      <c r="G587" s="119">
        <f>G588+G592+G593</f>
        <v>1063.94855</v>
      </c>
      <c r="H587" s="119"/>
      <c r="I587" s="66"/>
      <c r="J587" s="66"/>
      <c r="K587" s="66"/>
      <c r="L587" s="66"/>
    </row>
    <row r="588" spans="1:12" ht="17.25" customHeight="1">
      <c r="A588" s="60" t="s">
        <v>320</v>
      </c>
      <c r="B588" s="22" t="s">
        <v>253</v>
      </c>
      <c r="C588" s="22" t="s">
        <v>168</v>
      </c>
      <c r="D588" s="22" t="s">
        <v>554</v>
      </c>
      <c r="E588" s="22" t="s">
        <v>478</v>
      </c>
      <c r="F588" s="181">
        <f>G588+H588</f>
        <v>483.05930000000006</v>
      </c>
      <c r="G588" s="119">
        <f>849.75-318.3-48.3907</f>
        <v>483.05930000000006</v>
      </c>
      <c r="H588" s="119"/>
      <c r="I588" s="66"/>
      <c r="J588" s="66"/>
      <c r="K588" s="66"/>
      <c r="L588" s="66"/>
    </row>
    <row r="589" spans="1:12" ht="32.25" customHeight="1" hidden="1">
      <c r="A589" s="60" t="s">
        <v>367</v>
      </c>
      <c r="B589" s="22" t="s">
        <v>253</v>
      </c>
      <c r="C589" s="22" t="s">
        <v>168</v>
      </c>
      <c r="D589" s="22" t="s">
        <v>554</v>
      </c>
      <c r="E589" s="22" t="s">
        <v>478</v>
      </c>
      <c r="F589" s="181">
        <f>G589</f>
        <v>0</v>
      </c>
      <c r="G589" s="119">
        <f>G590</f>
        <v>0</v>
      </c>
      <c r="H589" s="119"/>
      <c r="I589" s="66"/>
      <c r="J589" s="66"/>
      <c r="K589" s="66"/>
      <c r="L589" s="66"/>
    </row>
    <row r="590" spans="1:12" ht="24.75" customHeight="1" hidden="1">
      <c r="A590" s="60" t="s">
        <v>213</v>
      </c>
      <c r="B590" s="22" t="s">
        <v>253</v>
      </c>
      <c r="C590" s="22" t="s">
        <v>168</v>
      </c>
      <c r="D590" s="22" t="s">
        <v>554</v>
      </c>
      <c r="E590" s="22" t="s">
        <v>478</v>
      </c>
      <c r="F590" s="181">
        <f>G590</f>
        <v>0</v>
      </c>
      <c r="G590" s="119">
        <f>G591</f>
        <v>0</v>
      </c>
      <c r="H590" s="119"/>
      <c r="I590" s="66"/>
      <c r="J590" s="66"/>
      <c r="K590" s="66"/>
      <c r="L590" s="66"/>
    </row>
    <row r="591" spans="1:12" ht="147.75" customHeight="1" hidden="1">
      <c r="A591" s="60" t="s">
        <v>538</v>
      </c>
      <c r="B591" s="22" t="s">
        <v>253</v>
      </c>
      <c r="C591" s="22" t="s">
        <v>168</v>
      </c>
      <c r="D591" s="22" t="s">
        <v>554</v>
      </c>
      <c r="E591" s="22" t="s">
        <v>478</v>
      </c>
      <c r="F591" s="181">
        <f>G591</f>
        <v>0</v>
      </c>
      <c r="G591" s="119"/>
      <c r="H591" s="119"/>
      <c r="I591" s="66"/>
      <c r="J591" s="66"/>
      <c r="K591" s="66"/>
      <c r="L591" s="66"/>
    </row>
    <row r="592" spans="1:12" ht="82.5" customHeight="1">
      <c r="A592" s="60" t="s">
        <v>739</v>
      </c>
      <c r="B592" s="22" t="s">
        <v>253</v>
      </c>
      <c r="C592" s="22" t="s">
        <v>168</v>
      </c>
      <c r="D592" s="22" t="s">
        <v>777</v>
      </c>
      <c r="E592" s="22" t="s">
        <v>478</v>
      </c>
      <c r="F592" s="181">
        <f>G592</f>
        <v>82.988</v>
      </c>
      <c r="G592" s="119">
        <f>116.13-33.142</f>
        <v>82.988</v>
      </c>
      <c r="H592" s="119"/>
      <c r="I592" s="66"/>
      <c r="J592" s="66"/>
      <c r="K592" s="66"/>
      <c r="L592" s="66"/>
    </row>
    <row r="593" spans="1:12" ht="158.25" customHeight="1">
      <c r="A593" s="60" t="s">
        <v>841</v>
      </c>
      <c r="B593" s="22" t="s">
        <v>253</v>
      </c>
      <c r="C593" s="22" t="s">
        <v>168</v>
      </c>
      <c r="D593" s="22" t="s">
        <v>846</v>
      </c>
      <c r="E593" s="22" t="s">
        <v>478</v>
      </c>
      <c r="F593" s="181">
        <f>G593</f>
        <v>497.90125</v>
      </c>
      <c r="G593" s="119">
        <f>497.90125</f>
        <v>497.90125</v>
      </c>
      <c r="H593" s="119"/>
      <c r="I593" s="66"/>
      <c r="J593" s="66"/>
      <c r="K593" s="66"/>
      <c r="L593" s="66"/>
    </row>
    <row r="594" spans="1:12" ht="18" customHeight="1">
      <c r="A594" s="117" t="s">
        <v>260</v>
      </c>
      <c r="B594" s="8"/>
      <c r="C594" s="8"/>
      <c r="D594" s="8"/>
      <c r="E594" s="8"/>
      <c r="F594" s="186">
        <f>H594+G594</f>
        <v>758034.2583300001</v>
      </c>
      <c r="G594" s="187">
        <f>G13+G175+G181+G197+G202+G247+G292+G436+G529+G567+G574+G486</f>
        <v>414907.46899</v>
      </c>
      <c r="H594" s="187">
        <f>H13+H175+H181+H197+H202+H247+H292+H436+H529+H567+H574+H486</f>
        <v>343126.78934</v>
      </c>
      <c r="I594" s="114"/>
      <c r="J594" s="66"/>
      <c r="K594" s="66"/>
      <c r="L594" s="66"/>
    </row>
    <row r="595" spans="6:8" ht="15">
      <c r="F595" s="326"/>
      <c r="G595" s="31"/>
      <c r="H595" s="80"/>
    </row>
    <row r="596" spans="1:8" ht="15">
      <c r="A596" s="17"/>
      <c r="B596" s="17"/>
      <c r="C596" s="5"/>
      <c r="D596" s="102" t="s">
        <v>692</v>
      </c>
      <c r="E596" s="5"/>
      <c r="F596" s="105">
        <f>G596+H596</f>
        <v>702068.78265</v>
      </c>
      <c r="G596" s="105">
        <v>358941.99331</v>
      </c>
      <c r="H596" s="105">
        <v>343126.78934</v>
      </c>
    </row>
    <row r="597" spans="4:8" ht="15">
      <c r="D597" s="103" t="s">
        <v>748</v>
      </c>
      <c r="E597" s="14"/>
      <c r="F597" s="105">
        <f>F598-F596</f>
        <v>55965.47568000003</v>
      </c>
      <c r="G597" s="105">
        <v>55965.47568</v>
      </c>
      <c r="H597" s="105"/>
    </row>
    <row r="598" spans="4:8" ht="15">
      <c r="D598" s="327" t="s">
        <v>749</v>
      </c>
      <c r="F598" s="105">
        <f>G598+H598</f>
        <v>758034.25833</v>
      </c>
      <c r="G598" s="105">
        <f>G596+G597</f>
        <v>414907.46898999996</v>
      </c>
      <c r="H598" s="105">
        <f>H596+H597</f>
        <v>343126.78934</v>
      </c>
    </row>
    <row r="599" spans="4:11" ht="15.75">
      <c r="D599" s="328"/>
      <c r="E599" s="328"/>
      <c r="F599" s="174"/>
      <c r="G599" s="174">
        <f>G594-G598</f>
        <v>0</v>
      </c>
      <c r="H599" s="174">
        <f>H594-H598</f>
        <v>0</v>
      </c>
      <c r="J599" s="80"/>
      <c r="K599" s="105"/>
    </row>
    <row r="600" spans="6:8" ht="15">
      <c r="F600" s="80"/>
      <c r="G600" s="80"/>
      <c r="H600" s="80"/>
    </row>
    <row r="601" spans="6:8" ht="15">
      <c r="F601" s="80"/>
      <c r="G601" s="80"/>
      <c r="H601" s="80"/>
    </row>
  </sheetData>
  <sheetProtection/>
  <mergeCells count="14">
    <mergeCell ref="F1:H1"/>
    <mergeCell ref="F2:H2"/>
    <mergeCell ref="F3:H3"/>
    <mergeCell ref="F4:H4"/>
    <mergeCell ref="A6:H6"/>
    <mergeCell ref="A7:H7"/>
    <mergeCell ref="A8:H8"/>
    <mergeCell ref="A10:A11"/>
    <mergeCell ref="B10:B11"/>
    <mergeCell ref="C10:C11"/>
    <mergeCell ref="D10:D11"/>
    <mergeCell ref="E10:E11"/>
    <mergeCell ref="F10:F11"/>
    <mergeCell ref="G10:H10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50" r:id="rId1"/>
  <rowBreaks count="5" manualBreakCount="5">
    <brk id="314" max="7" man="1"/>
    <brk id="358" max="7" man="1"/>
    <brk id="395" max="7" man="1"/>
    <brk id="453" max="7" man="1"/>
    <brk id="49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621"/>
  <sheetViews>
    <sheetView view="pageBreakPreview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43.125" style="2" customWidth="1"/>
    <col min="2" max="2" width="5.50390625" style="1" customWidth="1"/>
    <col min="3" max="3" width="4.625" style="1" customWidth="1"/>
    <col min="4" max="4" width="5.375" style="1" customWidth="1"/>
    <col min="5" max="5" width="13.875" style="48" customWidth="1"/>
    <col min="6" max="6" width="5.375" style="1" customWidth="1"/>
    <col min="7" max="7" width="17.625" style="7" customWidth="1"/>
    <col min="8" max="8" width="18.125" style="48" customWidth="1"/>
    <col min="9" max="9" width="16.875" style="48" customWidth="1"/>
    <col min="10" max="10" width="14.00390625" style="1" customWidth="1"/>
    <col min="11" max="16384" width="8.875" style="1" customWidth="1"/>
  </cols>
  <sheetData>
    <row r="1" spans="2:9" ht="15">
      <c r="B1" s="15"/>
      <c r="C1" s="15"/>
      <c r="D1" s="15"/>
      <c r="F1" s="15"/>
      <c r="G1" s="274" t="s">
        <v>762</v>
      </c>
      <c r="H1" s="274"/>
      <c r="I1" s="274"/>
    </row>
    <row r="2" spans="2:9" ht="15">
      <c r="B2" s="18"/>
      <c r="C2" s="18"/>
      <c r="D2" s="18"/>
      <c r="E2" s="49"/>
      <c r="F2" s="274" t="s">
        <v>428</v>
      </c>
      <c r="G2" s="274"/>
      <c r="H2" s="274"/>
      <c r="I2" s="274"/>
    </row>
    <row r="3" spans="2:9" ht="15">
      <c r="B3" s="274"/>
      <c r="C3" s="274"/>
      <c r="D3" s="274"/>
      <c r="E3" s="274"/>
      <c r="F3" s="274"/>
      <c r="G3" s="274" t="s">
        <v>429</v>
      </c>
      <c r="H3" s="274"/>
      <c r="I3" s="274"/>
    </row>
    <row r="4" spans="2:9" ht="15">
      <c r="B4" s="266"/>
      <c r="C4" s="266"/>
      <c r="D4" s="266"/>
      <c r="E4" s="266"/>
      <c r="F4" s="266"/>
      <c r="G4" s="266" t="s">
        <v>850</v>
      </c>
      <c r="H4" s="266"/>
      <c r="I4" s="266"/>
    </row>
    <row r="6" spans="1:9" ht="17.25">
      <c r="A6" s="275" t="s">
        <v>430</v>
      </c>
      <c r="B6" s="275"/>
      <c r="C6" s="275"/>
      <c r="D6" s="275"/>
      <c r="E6" s="275"/>
      <c r="F6" s="275"/>
      <c r="G6" s="275"/>
      <c r="H6" s="275"/>
      <c r="I6" s="275"/>
    </row>
    <row r="7" spans="1:9" ht="35.25" customHeight="1">
      <c r="A7" s="276" t="s">
        <v>547</v>
      </c>
      <c r="B7" s="276"/>
      <c r="C7" s="276"/>
      <c r="D7" s="276"/>
      <c r="E7" s="276"/>
      <c r="F7" s="276"/>
      <c r="G7" s="276"/>
      <c r="H7" s="276"/>
      <c r="I7" s="276"/>
    </row>
    <row r="9" spans="1:9" ht="13.5">
      <c r="A9" s="124"/>
      <c r="B9" s="48"/>
      <c r="C9" s="48"/>
      <c r="D9" s="48"/>
      <c r="F9" s="48"/>
      <c r="G9" s="48"/>
      <c r="I9" s="179" t="s">
        <v>145</v>
      </c>
    </row>
    <row r="10" spans="1:9" ht="13.5">
      <c r="A10" s="272" t="s">
        <v>368</v>
      </c>
      <c r="B10" s="272" t="s">
        <v>369</v>
      </c>
      <c r="C10" s="306" t="s">
        <v>157</v>
      </c>
      <c r="D10" s="306" t="s">
        <v>158</v>
      </c>
      <c r="E10" s="272" t="s">
        <v>370</v>
      </c>
      <c r="F10" s="272" t="s">
        <v>371</v>
      </c>
      <c r="G10" s="272" t="s">
        <v>548</v>
      </c>
      <c r="H10" s="248" t="s">
        <v>372</v>
      </c>
      <c r="I10" s="253"/>
    </row>
    <row r="11" spans="1:9" ht="13.5">
      <c r="A11" s="273"/>
      <c r="B11" s="273"/>
      <c r="C11" s="309"/>
      <c r="D11" s="309"/>
      <c r="E11" s="273"/>
      <c r="F11" s="273"/>
      <c r="G11" s="273"/>
      <c r="H11" s="101" t="s">
        <v>373</v>
      </c>
      <c r="I11" s="101" t="s">
        <v>305</v>
      </c>
    </row>
    <row r="12" spans="1:9" ht="30.75" customHeight="1">
      <c r="A12" s="329" t="s">
        <v>374</v>
      </c>
      <c r="B12" s="43">
        <v>951</v>
      </c>
      <c r="C12" s="43" t="s">
        <v>162</v>
      </c>
      <c r="D12" s="43" t="s">
        <v>162</v>
      </c>
      <c r="E12" s="43" t="s">
        <v>338</v>
      </c>
      <c r="F12" s="43" t="s">
        <v>432</v>
      </c>
      <c r="G12" s="167">
        <f>I12+H12</f>
        <v>189282.40035</v>
      </c>
      <c r="H12" s="167">
        <f>H13+H130+H135+H151+H156+H201+H246+H297+H344+H373+H400</f>
        <v>93169.75666</v>
      </c>
      <c r="I12" s="167">
        <f>I13+I130+I135+I151+I156+I201+I246+I297+I344+I373+I400</f>
        <v>96112.64369</v>
      </c>
    </row>
    <row r="13" spans="1:9" ht="18" customHeight="1">
      <c r="A13" s="329" t="s">
        <v>375</v>
      </c>
      <c r="B13" s="43">
        <v>951</v>
      </c>
      <c r="C13" s="43" t="s">
        <v>161</v>
      </c>
      <c r="D13" s="43" t="s">
        <v>162</v>
      </c>
      <c r="E13" s="43" t="s">
        <v>338</v>
      </c>
      <c r="F13" s="43" t="s">
        <v>432</v>
      </c>
      <c r="G13" s="167">
        <f>H13+I13</f>
        <v>42770.03125</v>
      </c>
      <c r="H13" s="167">
        <f>H14+H20+H30+H37+H43+H34</f>
        <v>26497.136420000003</v>
      </c>
      <c r="I13" s="167">
        <f>I14+I20+I30+I37+I43+I34</f>
        <v>16272.894830000001</v>
      </c>
    </row>
    <row r="14" spans="1:9" ht="44.25" customHeight="1">
      <c r="A14" s="35" t="s">
        <v>376</v>
      </c>
      <c r="B14" s="41">
        <v>951</v>
      </c>
      <c r="C14" s="33" t="s">
        <v>161</v>
      </c>
      <c r="D14" s="33" t="s">
        <v>163</v>
      </c>
      <c r="E14" s="33" t="s">
        <v>338</v>
      </c>
      <c r="F14" s="33" t="s">
        <v>432</v>
      </c>
      <c r="G14" s="156">
        <f>H14+I14</f>
        <v>1822.88</v>
      </c>
      <c r="H14" s="156">
        <f aca="true" t="shared" si="0" ref="H14:I18">H15</f>
        <v>1822.88</v>
      </c>
      <c r="I14" s="156">
        <f t="shared" si="0"/>
        <v>0</v>
      </c>
    </row>
    <row r="15" spans="1:9" ht="32.25" customHeight="1">
      <c r="A15" s="35" t="s">
        <v>164</v>
      </c>
      <c r="B15" s="41">
        <v>951</v>
      </c>
      <c r="C15" s="33" t="s">
        <v>161</v>
      </c>
      <c r="D15" s="33" t="s">
        <v>163</v>
      </c>
      <c r="E15" s="33" t="s">
        <v>16</v>
      </c>
      <c r="F15" s="33" t="s">
        <v>432</v>
      </c>
      <c r="G15" s="156">
        <f aca="true" t="shared" si="1" ref="G15:G132">H15+I15</f>
        <v>1822.88</v>
      </c>
      <c r="H15" s="156">
        <f t="shared" si="0"/>
        <v>1822.88</v>
      </c>
      <c r="I15" s="156">
        <f t="shared" si="0"/>
        <v>0</v>
      </c>
    </row>
    <row r="16" spans="1:9" ht="45.75" customHeight="1">
      <c r="A16" s="35" t="s">
        <v>165</v>
      </c>
      <c r="B16" s="41">
        <v>951</v>
      </c>
      <c r="C16" s="33" t="s">
        <v>161</v>
      </c>
      <c r="D16" s="33" t="s">
        <v>163</v>
      </c>
      <c r="E16" s="33" t="s">
        <v>17</v>
      </c>
      <c r="F16" s="33" t="s">
        <v>432</v>
      </c>
      <c r="G16" s="156">
        <f t="shared" si="1"/>
        <v>1822.88</v>
      </c>
      <c r="H16" s="156">
        <f t="shared" si="0"/>
        <v>1822.88</v>
      </c>
      <c r="I16" s="156">
        <f t="shared" si="0"/>
        <v>0</v>
      </c>
    </row>
    <row r="17" spans="1:9" ht="16.5" customHeight="1">
      <c r="A17" s="35" t="s">
        <v>437</v>
      </c>
      <c r="B17" s="41">
        <v>951</v>
      </c>
      <c r="C17" s="33" t="s">
        <v>161</v>
      </c>
      <c r="D17" s="33" t="s">
        <v>163</v>
      </c>
      <c r="E17" s="33" t="s">
        <v>18</v>
      </c>
      <c r="F17" s="33" t="s">
        <v>432</v>
      </c>
      <c r="G17" s="156">
        <f t="shared" si="1"/>
        <v>1822.88</v>
      </c>
      <c r="H17" s="156">
        <f t="shared" si="0"/>
        <v>1822.88</v>
      </c>
      <c r="I17" s="156">
        <f t="shared" si="0"/>
        <v>0</v>
      </c>
    </row>
    <row r="18" spans="1:9" ht="81" customHeight="1">
      <c r="A18" s="37" t="s">
        <v>199</v>
      </c>
      <c r="B18" s="41">
        <v>951</v>
      </c>
      <c r="C18" s="33" t="s">
        <v>161</v>
      </c>
      <c r="D18" s="33" t="s">
        <v>163</v>
      </c>
      <c r="E18" s="33" t="s">
        <v>18</v>
      </c>
      <c r="F18" s="33" t="s">
        <v>166</v>
      </c>
      <c r="G18" s="156">
        <f t="shared" si="1"/>
        <v>1822.88</v>
      </c>
      <c r="H18" s="156">
        <f t="shared" si="0"/>
        <v>1822.88</v>
      </c>
      <c r="I18" s="156">
        <f t="shared" si="0"/>
        <v>0</v>
      </c>
    </row>
    <row r="19" spans="1:9" s="106" customFormat="1" ht="30" customHeight="1">
      <c r="A19" s="25" t="s">
        <v>201</v>
      </c>
      <c r="B19" s="30">
        <v>951</v>
      </c>
      <c r="C19" s="69" t="s">
        <v>161</v>
      </c>
      <c r="D19" s="69" t="s">
        <v>163</v>
      </c>
      <c r="E19" s="69" t="s">
        <v>18</v>
      </c>
      <c r="F19" s="69" t="s">
        <v>200</v>
      </c>
      <c r="G19" s="156">
        <f t="shared" si="1"/>
        <v>1822.88</v>
      </c>
      <c r="H19" s="156">
        <f>1735.88+87</f>
        <v>1822.88</v>
      </c>
      <c r="I19" s="156"/>
    </row>
    <row r="20" spans="1:9" ht="69">
      <c r="A20" s="37" t="s">
        <v>357</v>
      </c>
      <c r="B20" s="41">
        <v>951</v>
      </c>
      <c r="C20" s="33" t="s">
        <v>161</v>
      </c>
      <c r="D20" s="33" t="s">
        <v>172</v>
      </c>
      <c r="E20" s="33" t="s">
        <v>338</v>
      </c>
      <c r="F20" s="33" t="s">
        <v>432</v>
      </c>
      <c r="G20" s="156">
        <f t="shared" si="1"/>
        <v>17521.01</v>
      </c>
      <c r="H20" s="156">
        <f>H21</f>
        <v>17521.01</v>
      </c>
      <c r="I20" s="156">
        <f aca="true" t="shared" si="2" ref="H20:I22">I21</f>
        <v>0</v>
      </c>
    </row>
    <row r="21" spans="1:9" ht="27">
      <c r="A21" s="37" t="s">
        <v>164</v>
      </c>
      <c r="B21" s="41">
        <v>951</v>
      </c>
      <c r="C21" s="33" t="s">
        <v>161</v>
      </c>
      <c r="D21" s="33" t="s">
        <v>172</v>
      </c>
      <c r="E21" s="33" t="s">
        <v>16</v>
      </c>
      <c r="F21" s="33" t="s">
        <v>432</v>
      </c>
      <c r="G21" s="156">
        <f t="shared" si="1"/>
        <v>17521.01</v>
      </c>
      <c r="H21" s="156">
        <f t="shared" si="2"/>
        <v>17521.01</v>
      </c>
      <c r="I21" s="156">
        <f t="shared" si="2"/>
        <v>0</v>
      </c>
    </row>
    <row r="22" spans="1:9" ht="45" customHeight="1">
      <c r="A22" s="37" t="s">
        <v>165</v>
      </c>
      <c r="B22" s="41">
        <v>951</v>
      </c>
      <c r="C22" s="33" t="s">
        <v>161</v>
      </c>
      <c r="D22" s="33" t="s">
        <v>172</v>
      </c>
      <c r="E22" s="33" t="s">
        <v>17</v>
      </c>
      <c r="F22" s="33" t="s">
        <v>432</v>
      </c>
      <c r="G22" s="156">
        <f t="shared" si="1"/>
        <v>17521.01</v>
      </c>
      <c r="H22" s="156">
        <f t="shared" si="2"/>
        <v>17521.01</v>
      </c>
      <c r="I22" s="156">
        <f t="shared" si="2"/>
        <v>0</v>
      </c>
    </row>
    <row r="23" spans="1:9" ht="45" customHeight="1">
      <c r="A23" s="37" t="s">
        <v>169</v>
      </c>
      <c r="B23" s="41">
        <v>951</v>
      </c>
      <c r="C23" s="33" t="s">
        <v>161</v>
      </c>
      <c r="D23" s="33" t="s">
        <v>172</v>
      </c>
      <c r="E23" s="33" t="s">
        <v>20</v>
      </c>
      <c r="F23" s="33" t="s">
        <v>432</v>
      </c>
      <c r="G23" s="156">
        <f t="shared" si="1"/>
        <v>17521.01</v>
      </c>
      <c r="H23" s="156">
        <f>H24+H26+H28</f>
        <v>17521.01</v>
      </c>
      <c r="I23" s="156">
        <f>I24+I26+I28</f>
        <v>0</v>
      </c>
    </row>
    <row r="24" spans="1:9" ht="90.75" customHeight="1">
      <c r="A24" s="37" t="s">
        <v>199</v>
      </c>
      <c r="B24" s="41">
        <v>951</v>
      </c>
      <c r="C24" s="33" t="s">
        <v>161</v>
      </c>
      <c r="D24" s="33" t="s">
        <v>172</v>
      </c>
      <c r="E24" s="33" t="s">
        <v>20</v>
      </c>
      <c r="F24" s="33" t="s">
        <v>166</v>
      </c>
      <c r="G24" s="156">
        <f>H24+I24</f>
        <v>10556.96</v>
      </c>
      <c r="H24" s="156">
        <f>H25</f>
        <v>10556.96</v>
      </c>
      <c r="I24" s="156">
        <f>I25</f>
        <v>0</v>
      </c>
    </row>
    <row r="25" spans="1:9" s="106" customFormat="1" ht="30.75" customHeight="1">
      <c r="A25" s="25" t="s">
        <v>201</v>
      </c>
      <c r="B25" s="30">
        <v>951</v>
      </c>
      <c r="C25" s="69" t="s">
        <v>161</v>
      </c>
      <c r="D25" s="69" t="s">
        <v>172</v>
      </c>
      <c r="E25" s="69" t="s">
        <v>20</v>
      </c>
      <c r="F25" s="69" t="s">
        <v>200</v>
      </c>
      <c r="G25" s="156">
        <f t="shared" si="1"/>
        <v>10556.96</v>
      </c>
      <c r="H25" s="156">
        <f>10888.16-80-64.2-50-87-50</f>
        <v>10556.96</v>
      </c>
      <c r="I25" s="156"/>
    </row>
    <row r="26" spans="1:9" ht="27">
      <c r="A26" s="25" t="s">
        <v>202</v>
      </c>
      <c r="B26" s="30">
        <v>951</v>
      </c>
      <c r="C26" s="69" t="s">
        <v>161</v>
      </c>
      <c r="D26" s="69" t="s">
        <v>172</v>
      </c>
      <c r="E26" s="69" t="s">
        <v>20</v>
      </c>
      <c r="F26" s="69" t="s">
        <v>170</v>
      </c>
      <c r="G26" s="156">
        <f t="shared" si="1"/>
        <v>6364.05</v>
      </c>
      <c r="H26" s="156">
        <f>H27</f>
        <v>6364.05</v>
      </c>
      <c r="I26" s="156">
        <f>I27</f>
        <v>0</v>
      </c>
    </row>
    <row r="27" spans="1:9" s="106" customFormat="1" ht="41.25">
      <c r="A27" s="25" t="s">
        <v>203</v>
      </c>
      <c r="B27" s="30">
        <v>951</v>
      </c>
      <c r="C27" s="69" t="s">
        <v>161</v>
      </c>
      <c r="D27" s="69" t="s">
        <v>172</v>
      </c>
      <c r="E27" s="69" t="s">
        <v>20</v>
      </c>
      <c r="F27" s="69" t="s">
        <v>204</v>
      </c>
      <c r="G27" s="156">
        <f t="shared" si="1"/>
        <v>6364.05</v>
      </c>
      <c r="H27" s="156">
        <f>6271.55+42.5+50</f>
        <v>6364.05</v>
      </c>
      <c r="I27" s="156"/>
    </row>
    <row r="28" spans="1:9" ht="13.5">
      <c r="A28" s="37" t="s">
        <v>207</v>
      </c>
      <c r="B28" s="41">
        <v>951</v>
      </c>
      <c r="C28" s="33" t="s">
        <v>161</v>
      </c>
      <c r="D28" s="33" t="s">
        <v>172</v>
      </c>
      <c r="E28" s="33" t="s">
        <v>20</v>
      </c>
      <c r="F28" s="33" t="s">
        <v>208</v>
      </c>
      <c r="G28" s="156">
        <f t="shared" si="1"/>
        <v>600</v>
      </c>
      <c r="H28" s="156">
        <f>H29</f>
        <v>600</v>
      </c>
      <c r="I28" s="156">
        <f>I29</f>
        <v>0</v>
      </c>
    </row>
    <row r="29" spans="1:9" s="106" customFormat="1" ht="13.5">
      <c r="A29" s="72" t="s">
        <v>205</v>
      </c>
      <c r="B29" s="30">
        <v>951</v>
      </c>
      <c r="C29" s="69" t="s">
        <v>161</v>
      </c>
      <c r="D29" s="69" t="s">
        <v>172</v>
      </c>
      <c r="E29" s="69" t="s">
        <v>20</v>
      </c>
      <c r="F29" s="69" t="s">
        <v>206</v>
      </c>
      <c r="G29" s="156">
        <f t="shared" si="1"/>
        <v>600</v>
      </c>
      <c r="H29" s="156">
        <f>562+50-12</f>
        <v>600</v>
      </c>
      <c r="I29" s="156"/>
    </row>
    <row r="30" spans="1:9" ht="13.5" hidden="1">
      <c r="A30" s="25" t="s">
        <v>178</v>
      </c>
      <c r="B30" s="30">
        <v>951</v>
      </c>
      <c r="C30" s="69" t="s">
        <v>161</v>
      </c>
      <c r="D30" s="69" t="s">
        <v>179</v>
      </c>
      <c r="E30" s="69" t="s">
        <v>338</v>
      </c>
      <c r="F30" s="69" t="s">
        <v>432</v>
      </c>
      <c r="G30" s="156">
        <f t="shared" si="1"/>
        <v>0</v>
      </c>
      <c r="H30" s="156">
        <f aca="true" t="shared" si="3" ref="H30:I32">H31</f>
        <v>0</v>
      </c>
      <c r="I30" s="156">
        <f t="shared" si="3"/>
        <v>0</v>
      </c>
    </row>
    <row r="31" spans="1:9" ht="27" hidden="1">
      <c r="A31" s="25" t="s">
        <v>180</v>
      </c>
      <c r="B31" s="30">
        <v>951</v>
      </c>
      <c r="C31" s="69" t="s">
        <v>161</v>
      </c>
      <c r="D31" s="69" t="s">
        <v>179</v>
      </c>
      <c r="E31" s="69" t="s">
        <v>354</v>
      </c>
      <c r="F31" s="69" t="s">
        <v>432</v>
      </c>
      <c r="G31" s="156">
        <f t="shared" si="1"/>
        <v>0</v>
      </c>
      <c r="H31" s="156">
        <f t="shared" si="3"/>
        <v>0</v>
      </c>
      <c r="I31" s="156">
        <f t="shared" si="3"/>
        <v>0</v>
      </c>
    </row>
    <row r="32" spans="1:9" ht="13.5" hidden="1">
      <c r="A32" s="25" t="s">
        <v>207</v>
      </c>
      <c r="B32" s="30">
        <v>951</v>
      </c>
      <c r="C32" s="69" t="s">
        <v>161</v>
      </c>
      <c r="D32" s="69" t="s">
        <v>179</v>
      </c>
      <c r="E32" s="69" t="s">
        <v>354</v>
      </c>
      <c r="F32" s="69" t="s">
        <v>208</v>
      </c>
      <c r="G32" s="156">
        <f t="shared" si="1"/>
        <v>0</v>
      </c>
      <c r="H32" s="156">
        <f t="shared" si="3"/>
        <v>0</v>
      </c>
      <c r="I32" s="156">
        <f t="shared" si="3"/>
        <v>0</v>
      </c>
    </row>
    <row r="33" spans="1:9" ht="13.5" hidden="1">
      <c r="A33" s="25" t="s">
        <v>209</v>
      </c>
      <c r="B33" s="30">
        <v>951</v>
      </c>
      <c r="C33" s="69" t="s">
        <v>161</v>
      </c>
      <c r="D33" s="69" t="s">
        <v>179</v>
      </c>
      <c r="E33" s="69" t="s">
        <v>354</v>
      </c>
      <c r="F33" s="69" t="s">
        <v>210</v>
      </c>
      <c r="G33" s="156">
        <f t="shared" si="1"/>
        <v>0</v>
      </c>
      <c r="H33" s="156">
        <v>0</v>
      </c>
      <c r="I33" s="156"/>
    </row>
    <row r="34" spans="1:9" ht="42" customHeight="1">
      <c r="A34" s="72" t="s">
        <v>782</v>
      </c>
      <c r="B34" s="30" t="s">
        <v>192</v>
      </c>
      <c r="C34" s="69" t="s">
        <v>161</v>
      </c>
      <c r="D34" s="69" t="s">
        <v>411</v>
      </c>
      <c r="E34" s="69" t="s">
        <v>484</v>
      </c>
      <c r="F34" s="69" t="s">
        <v>432</v>
      </c>
      <c r="G34" s="198">
        <f>I34</f>
        <v>17.047</v>
      </c>
      <c r="H34" s="156"/>
      <c r="I34" s="156">
        <f>I35</f>
        <v>17.047</v>
      </c>
    </row>
    <row r="35" spans="1:9" ht="27">
      <c r="A35" s="25" t="s">
        <v>202</v>
      </c>
      <c r="B35" s="30" t="s">
        <v>192</v>
      </c>
      <c r="C35" s="69" t="s">
        <v>161</v>
      </c>
      <c r="D35" s="69" t="s">
        <v>411</v>
      </c>
      <c r="E35" s="69" t="s">
        <v>484</v>
      </c>
      <c r="F35" s="69" t="s">
        <v>170</v>
      </c>
      <c r="G35" s="198">
        <f>I35</f>
        <v>17.047</v>
      </c>
      <c r="H35" s="156"/>
      <c r="I35" s="156">
        <f>I36</f>
        <v>17.047</v>
      </c>
    </row>
    <row r="36" spans="1:9" s="106" customFormat="1" ht="41.25">
      <c r="A36" s="25" t="s">
        <v>203</v>
      </c>
      <c r="B36" s="30" t="s">
        <v>192</v>
      </c>
      <c r="C36" s="69" t="s">
        <v>161</v>
      </c>
      <c r="D36" s="69" t="s">
        <v>411</v>
      </c>
      <c r="E36" s="69" t="s">
        <v>484</v>
      </c>
      <c r="F36" s="69" t="s">
        <v>204</v>
      </c>
      <c r="G36" s="198">
        <f>I36</f>
        <v>17.047</v>
      </c>
      <c r="H36" s="156"/>
      <c r="I36" s="156">
        <v>17.047</v>
      </c>
    </row>
    <row r="37" spans="1:9" ht="14.25">
      <c r="A37" s="125" t="s">
        <v>178</v>
      </c>
      <c r="B37" s="126" t="s">
        <v>192</v>
      </c>
      <c r="C37" s="127" t="s">
        <v>161</v>
      </c>
      <c r="D37" s="127" t="s">
        <v>179</v>
      </c>
      <c r="E37" s="127" t="s">
        <v>338</v>
      </c>
      <c r="F37" s="127" t="s">
        <v>432</v>
      </c>
      <c r="G37" s="199">
        <f aca="true" t="shared" si="4" ref="G37:G43">H37+I37</f>
        <v>91.90273000000005</v>
      </c>
      <c r="H37" s="159">
        <f>H38</f>
        <v>91.90273000000005</v>
      </c>
      <c r="I37" s="159"/>
    </row>
    <row r="38" spans="1:9" ht="27">
      <c r="A38" s="128" t="s">
        <v>164</v>
      </c>
      <c r="B38" s="41" t="s">
        <v>192</v>
      </c>
      <c r="C38" s="33" t="s">
        <v>161</v>
      </c>
      <c r="D38" s="33" t="s">
        <v>179</v>
      </c>
      <c r="E38" s="129" t="s">
        <v>16</v>
      </c>
      <c r="F38" s="129" t="s">
        <v>432</v>
      </c>
      <c r="G38" s="198">
        <f t="shared" si="4"/>
        <v>91.90273000000005</v>
      </c>
      <c r="H38" s="156">
        <f>H39</f>
        <v>91.90273000000005</v>
      </c>
      <c r="I38" s="156"/>
    </row>
    <row r="39" spans="1:9" ht="33" customHeight="1">
      <c r="A39" s="128" t="s">
        <v>165</v>
      </c>
      <c r="B39" s="41" t="s">
        <v>192</v>
      </c>
      <c r="C39" s="33" t="s">
        <v>161</v>
      </c>
      <c r="D39" s="33" t="s">
        <v>179</v>
      </c>
      <c r="E39" s="129" t="s">
        <v>17</v>
      </c>
      <c r="F39" s="129" t="s">
        <v>432</v>
      </c>
      <c r="G39" s="198">
        <f t="shared" si="4"/>
        <v>91.90273000000005</v>
      </c>
      <c r="H39" s="156">
        <f>H40</f>
        <v>91.90273000000005</v>
      </c>
      <c r="I39" s="156"/>
    </row>
    <row r="40" spans="1:9" ht="27">
      <c r="A40" s="128" t="s">
        <v>587</v>
      </c>
      <c r="B40" s="41" t="s">
        <v>192</v>
      </c>
      <c r="C40" s="33" t="s">
        <v>161</v>
      </c>
      <c r="D40" s="33" t="s">
        <v>179</v>
      </c>
      <c r="E40" s="33" t="s">
        <v>588</v>
      </c>
      <c r="F40" s="129" t="s">
        <v>432</v>
      </c>
      <c r="G40" s="198">
        <f t="shared" si="4"/>
        <v>91.90273000000005</v>
      </c>
      <c r="H40" s="156">
        <f>H41</f>
        <v>91.90273000000005</v>
      </c>
      <c r="I40" s="156"/>
    </row>
    <row r="41" spans="1:9" ht="13.5">
      <c r="A41" s="128" t="s">
        <v>207</v>
      </c>
      <c r="B41" s="41" t="s">
        <v>192</v>
      </c>
      <c r="C41" s="33" t="s">
        <v>161</v>
      </c>
      <c r="D41" s="33" t="s">
        <v>179</v>
      </c>
      <c r="E41" s="33" t="s">
        <v>588</v>
      </c>
      <c r="F41" s="129" t="s">
        <v>208</v>
      </c>
      <c r="G41" s="198">
        <f t="shared" si="4"/>
        <v>91.90273000000005</v>
      </c>
      <c r="H41" s="156">
        <f>H42</f>
        <v>91.90273000000005</v>
      </c>
      <c r="I41" s="156"/>
    </row>
    <row r="42" spans="1:9" s="106" customFormat="1" ht="13.5">
      <c r="A42" s="128" t="s">
        <v>209</v>
      </c>
      <c r="B42" s="30" t="s">
        <v>192</v>
      </c>
      <c r="C42" s="69" t="s">
        <v>161</v>
      </c>
      <c r="D42" s="69" t="s">
        <v>179</v>
      </c>
      <c r="E42" s="69" t="s">
        <v>588</v>
      </c>
      <c r="F42" s="129" t="s">
        <v>210</v>
      </c>
      <c r="G42" s="198">
        <f t="shared" si="4"/>
        <v>91.90273000000005</v>
      </c>
      <c r="H42" s="156">
        <f>100+150-48-13.698+450-13.55491-27.10982-33.61446-13.11601-13.11601-13.55491-13.55491-13.11601-13.55491-13.11601-13.55491-80.45164-13.55491-13.11601-53.78072-13.55491-78.602+75-187.37621</f>
        <v>91.90273000000005</v>
      </c>
      <c r="I42" s="156"/>
    </row>
    <row r="43" spans="1:9" ht="16.5" customHeight="1">
      <c r="A43" s="138" t="s">
        <v>378</v>
      </c>
      <c r="B43" s="126">
        <v>951</v>
      </c>
      <c r="C43" s="127" t="s">
        <v>161</v>
      </c>
      <c r="D43" s="127" t="s">
        <v>181</v>
      </c>
      <c r="E43" s="127" t="s">
        <v>338</v>
      </c>
      <c r="F43" s="127" t="s">
        <v>432</v>
      </c>
      <c r="G43" s="159">
        <f t="shared" si="4"/>
        <v>23317.19152</v>
      </c>
      <c r="H43" s="159">
        <f>H44+H73+H106+H124+H83+H67+H86+H127+H91+H143</f>
        <v>7061.34369</v>
      </c>
      <c r="I43" s="159">
        <f>I44+I73+I106+I124+I83+I128+I67+I96+I140+I148</f>
        <v>16255.84783</v>
      </c>
    </row>
    <row r="44" spans="1:9" ht="16.5" customHeight="1">
      <c r="A44" s="37" t="s">
        <v>182</v>
      </c>
      <c r="B44" s="41">
        <v>951</v>
      </c>
      <c r="C44" s="33" t="s">
        <v>161</v>
      </c>
      <c r="D44" s="33" t="s">
        <v>181</v>
      </c>
      <c r="E44" s="33" t="s">
        <v>338</v>
      </c>
      <c r="F44" s="33" t="s">
        <v>432</v>
      </c>
      <c r="G44" s="156">
        <f t="shared" si="1"/>
        <v>4674.381</v>
      </c>
      <c r="H44" s="156">
        <f>H45+H50+H55+H60</f>
        <v>0</v>
      </c>
      <c r="I44" s="156">
        <f>I45+I50+I55+I60+I65+I70</f>
        <v>4674.381</v>
      </c>
    </row>
    <row r="45" spans="1:10" ht="58.5" customHeight="1">
      <c r="A45" s="37" t="s">
        <v>183</v>
      </c>
      <c r="B45" s="41">
        <v>951</v>
      </c>
      <c r="C45" s="33" t="s">
        <v>161</v>
      </c>
      <c r="D45" s="33" t="s">
        <v>181</v>
      </c>
      <c r="E45" s="33" t="s">
        <v>22</v>
      </c>
      <c r="F45" s="33" t="s">
        <v>432</v>
      </c>
      <c r="G45" s="156">
        <f t="shared" si="1"/>
        <v>774.9810000000001</v>
      </c>
      <c r="H45" s="156">
        <f>H46+H48</f>
        <v>0</v>
      </c>
      <c r="I45" s="156">
        <f>I46+I48</f>
        <v>774.9810000000001</v>
      </c>
      <c r="J45" s="1">
        <v>768.474</v>
      </c>
    </row>
    <row r="46" spans="1:9" ht="84" customHeight="1">
      <c r="A46" s="37" t="s">
        <v>199</v>
      </c>
      <c r="B46" s="41">
        <v>951</v>
      </c>
      <c r="C46" s="33" t="s">
        <v>161</v>
      </c>
      <c r="D46" s="33" t="s">
        <v>181</v>
      </c>
      <c r="E46" s="33" t="s">
        <v>22</v>
      </c>
      <c r="F46" s="33" t="s">
        <v>166</v>
      </c>
      <c r="G46" s="156">
        <f t="shared" si="1"/>
        <v>515.4580000000001</v>
      </c>
      <c r="H46" s="156">
        <f>H47</f>
        <v>0</v>
      </c>
      <c r="I46" s="156">
        <f>I47</f>
        <v>515.4580000000001</v>
      </c>
    </row>
    <row r="47" spans="1:9" ht="29.25" customHeight="1">
      <c r="A47" s="38" t="s">
        <v>201</v>
      </c>
      <c r="B47" s="41">
        <v>951</v>
      </c>
      <c r="C47" s="33" t="s">
        <v>161</v>
      </c>
      <c r="D47" s="33" t="s">
        <v>181</v>
      </c>
      <c r="E47" s="33" t="s">
        <v>22</v>
      </c>
      <c r="F47" s="33" t="s">
        <v>200</v>
      </c>
      <c r="G47" s="156">
        <f t="shared" si="1"/>
        <v>515.4580000000001</v>
      </c>
      <c r="H47" s="156"/>
      <c r="I47" s="156">
        <f>514.7+0.758</f>
        <v>515.4580000000001</v>
      </c>
    </row>
    <row r="48" spans="1:9" ht="31.5" customHeight="1">
      <c r="A48" s="37" t="s">
        <v>202</v>
      </c>
      <c r="B48" s="41">
        <v>951</v>
      </c>
      <c r="C48" s="33" t="s">
        <v>161</v>
      </c>
      <c r="D48" s="33" t="s">
        <v>181</v>
      </c>
      <c r="E48" s="33" t="s">
        <v>22</v>
      </c>
      <c r="F48" s="33" t="s">
        <v>170</v>
      </c>
      <c r="G48" s="156">
        <f t="shared" si="1"/>
        <v>259.523</v>
      </c>
      <c r="H48" s="156">
        <f>H49</f>
        <v>0</v>
      </c>
      <c r="I48" s="156">
        <f>I49</f>
        <v>259.523</v>
      </c>
    </row>
    <row r="49" spans="1:9" ht="42.75" customHeight="1">
      <c r="A49" s="38" t="s">
        <v>203</v>
      </c>
      <c r="B49" s="41">
        <v>951</v>
      </c>
      <c r="C49" s="33" t="s">
        <v>161</v>
      </c>
      <c r="D49" s="33" t="s">
        <v>181</v>
      </c>
      <c r="E49" s="33" t="s">
        <v>22</v>
      </c>
      <c r="F49" s="33" t="s">
        <v>204</v>
      </c>
      <c r="G49" s="156">
        <f t="shared" si="1"/>
        <v>259.523</v>
      </c>
      <c r="H49" s="156"/>
      <c r="I49" s="156">
        <f>260.281-0.758</f>
        <v>259.523</v>
      </c>
    </row>
    <row r="50" spans="1:10" ht="47.25" customHeight="1">
      <c r="A50" s="37" t="s">
        <v>442</v>
      </c>
      <c r="B50" s="41">
        <v>951</v>
      </c>
      <c r="C50" s="33" t="s">
        <v>161</v>
      </c>
      <c r="D50" s="33" t="s">
        <v>181</v>
      </c>
      <c r="E50" s="33" t="s">
        <v>23</v>
      </c>
      <c r="F50" s="33" t="s">
        <v>432</v>
      </c>
      <c r="G50" s="156">
        <f t="shared" si="1"/>
        <v>1167.127</v>
      </c>
      <c r="H50" s="156">
        <f>H51+H53</f>
        <v>0</v>
      </c>
      <c r="I50" s="156">
        <f>I51+I53</f>
        <v>1167.127</v>
      </c>
      <c r="J50" s="1">
        <v>1157.09</v>
      </c>
    </row>
    <row r="51" spans="1:9" ht="75" customHeight="1">
      <c r="A51" s="37" t="s">
        <v>199</v>
      </c>
      <c r="B51" s="41" t="s">
        <v>192</v>
      </c>
      <c r="C51" s="33" t="s">
        <v>161</v>
      </c>
      <c r="D51" s="33" t="s">
        <v>181</v>
      </c>
      <c r="E51" s="33" t="s">
        <v>23</v>
      </c>
      <c r="F51" s="33" t="s">
        <v>166</v>
      </c>
      <c r="G51" s="156">
        <f t="shared" si="1"/>
        <v>1032.33028</v>
      </c>
      <c r="H51" s="156">
        <f>H52</f>
        <v>0</v>
      </c>
      <c r="I51" s="156">
        <f>I52</f>
        <v>1032.33028</v>
      </c>
    </row>
    <row r="52" spans="1:9" ht="32.25" customHeight="1">
      <c r="A52" s="38" t="s">
        <v>201</v>
      </c>
      <c r="B52" s="41" t="s">
        <v>192</v>
      </c>
      <c r="C52" s="33" t="s">
        <v>161</v>
      </c>
      <c r="D52" s="33" t="s">
        <v>181</v>
      </c>
      <c r="E52" s="33" t="s">
        <v>23</v>
      </c>
      <c r="F52" s="33" t="s">
        <v>200</v>
      </c>
      <c r="G52" s="156">
        <f t="shared" si="1"/>
        <v>1032.33028</v>
      </c>
      <c r="H52" s="156"/>
      <c r="I52" s="156">
        <f>954.8+77.59022-0.05994</f>
        <v>1032.33028</v>
      </c>
    </row>
    <row r="53" spans="1:9" ht="31.5" customHeight="1">
      <c r="A53" s="37" t="s">
        <v>202</v>
      </c>
      <c r="B53" s="41">
        <v>951</v>
      </c>
      <c r="C53" s="33" t="s">
        <v>161</v>
      </c>
      <c r="D53" s="33" t="s">
        <v>181</v>
      </c>
      <c r="E53" s="33" t="s">
        <v>23</v>
      </c>
      <c r="F53" s="33" t="s">
        <v>170</v>
      </c>
      <c r="G53" s="156">
        <f t="shared" si="1"/>
        <v>134.79672000000002</v>
      </c>
      <c r="H53" s="156">
        <f>H54</f>
        <v>0</v>
      </c>
      <c r="I53" s="156">
        <f>I54</f>
        <v>134.79672000000002</v>
      </c>
    </row>
    <row r="54" spans="1:9" ht="44.25" customHeight="1">
      <c r="A54" s="38" t="s">
        <v>203</v>
      </c>
      <c r="B54" s="41">
        <v>951</v>
      </c>
      <c r="C54" s="33" t="s">
        <v>161</v>
      </c>
      <c r="D54" s="33" t="s">
        <v>181</v>
      </c>
      <c r="E54" s="33" t="s">
        <v>23</v>
      </c>
      <c r="F54" s="33" t="s">
        <v>204</v>
      </c>
      <c r="G54" s="156">
        <f t="shared" si="1"/>
        <v>134.79672000000002</v>
      </c>
      <c r="H54" s="156"/>
      <c r="I54" s="156">
        <f>212.327-77.59022+0.05994</f>
        <v>134.79672000000002</v>
      </c>
    </row>
    <row r="55" spans="1:10" ht="44.25" customHeight="1">
      <c r="A55" s="37" t="s">
        <v>184</v>
      </c>
      <c r="B55" s="41" t="s">
        <v>192</v>
      </c>
      <c r="C55" s="33" t="s">
        <v>161</v>
      </c>
      <c r="D55" s="33" t="s">
        <v>181</v>
      </c>
      <c r="E55" s="33" t="s">
        <v>24</v>
      </c>
      <c r="F55" s="33" t="s">
        <v>432</v>
      </c>
      <c r="G55" s="156">
        <f t="shared" si="1"/>
        <v>746.896</v>
      </c>
      <c r="H55" s="156">
        <f>H56+H58</f>
        <v>0</v>
      </c>
      <c r="I55" s="156">
        <f>I56+I58</f>
        <v>746.896</v>
      </c>
      <c r="J55" s="1">
        <v>740.504</v>
      </c>
    </row>
    <row r="56" spans="1:9" ht="81" customHeight="1">
      <c r="A56" s="37" t="s">
        <v>199</v>
      </c>
      <c r="B56" s="41" t="s">
        <v>192</v>
      </c>
      <c r="C56" s="33" t="s">
        <v>161</v>
      </c>
      <c r="D56" s="33" t="s">
        <v>181</v>
      </c>
      <c r="E56" s="33" t="s">
        <v>24</v>
      </c>
      <c r="F56" s="33" t="s">
        <v>166</v>
      </c>
      <c r="G56" s="156">
        <f t="shared" si="1"/>
        <v>716.32736</v>
      </c>
      <c r="H56" s="156">
        <f>H57</f>
        <v>0</v>
      </c>
      <c r="I56" s="156">
        <f>I57</f>
        <v>716.32736</v>
      </c>
    </row>
    <row r="57" spans="1:9" ht="30" customHeight="1">
      <c r="A57" s="38" t="s">
        <v>201</v>
      </c>
      <c r="B57" s="41">
        <v>951</v>
      </c>
      <c r="C57" s="33" t="s">
        <v>161</v>
      </c>
      <c r="D57" s="33" t="s">
        <v>181</v>
      </c>
      <c r="E57" s="33" t="s">
        <v>24</v>
      </c>
      <c r="F57" s="33" t="s">
        <v>200</v>
      </c>
      <c r="G57" s="156">
        <f t="shared" si="1"/>
        <v>716.32736</v>
      </c>
      <c r="H57" s="156"/>
      <c r="I57" s="156">
        <f>718.6-11+8.72736</f>
        <v>716.32736</v>
      </c>
    </row>
    <row r="58" spans="1:9" ht="30.75" customHeight="1">
      <c r="A58" s="37" t="s">
        <v>202</v>
      </c>
      <c r="B58" s="41">
        <v>951</v>
      </c>
      <c r="C58" s="33" t="s">
        <v>161</v>
      </c>
      <c r="D58" s="33" t="s">
        <v>181</v>
      </c>
      <c r="E58" s="33" t="s">
        <v>24</v>
      </c>
      <c r="F58" s="33" t="s">
        <v>170</v>
      </c>
      <c r="G58" s="156">
        <f t="shared" si="1"/>
        <v>30.568640000000002</v>
      </c>
      <c r="H58" s="156">
        <f>H59</f>
        <v>0</v>
      </c>
      <c r="I58" s="156">
        <f>I59</f>
        <v>30.568640000000002</v>
      </c>
    </row>
    <row r="59" spans="1:9" ht="41.25">
      <c r="A59" s="38" t="s">
        <v>203</v>
      </c>
      <c r="B59" s="41">
        <v>951</v>
      </c>
      <c r="C59" s="33" t="s">
        <v>161</v>
      </c>
      <c r="D59" s="33" t="s">
        <v>181</v>
      </c>
      <c r="E59" s="33" t="s">
        <v>24</v>
      </c>
      <c r="F59" s="33" t="s">
        <v>204</v>
      </c>
      <c r="G59" s="156">
        <f t="shared" si="1"/>
        <v>30.568640000000002</v>
      </c>
      <c r="H59" s="156"/>
      <c r="I59" s="156">
        <f>28.296+11-8.72736</f>
        <v>30.568640000000002</v>
      </c>
    </row>
    <row r="60" spans="1:9" ht="87.75" customHeight="1">
      <c r="A60" s="37" t="s">
        <v>25</v>
      </c>
      <c r="B60" s="41">
        <v>951</v>
      </c>
      <c r="C60" s="33" t="s">
        <v>161</v>
      </c>
      <c r="D60" s="33" t="s">
        <v>181</v>
      </c>
      <c r="E60" s="33" t="s">
        <v>339</v>
      </c>
      <c r="F60" s="33" t="s">
        <v>432</v>
      </c>
      <c r="G60" s="156">
        <f t="shared" si="1"/>
        <v>1798.09</v>
      </c>
      <c r="H60" s="156">
        <f>H61+H63</f>
        <v>0</v>
      </c>
      <c r="I60" s="156">
        <f>I61+I63</f>
        <v>1798.09</v>
      </c>
    </row>
    <row r="61" spans="1:9" ht="90.75" customHeight="1">
      <c r="A61" s="37" t="s">
        <v>199</v>
      </c>
      <c r="B61" s="41">
        <v>951</v>
      </c>
      <c r="C61" s="33" t="s">
        <v>161</v>
      </c>
      <c r="D61" s="33" t="s">
        <v>181</v>
      </c>
      <c r="E61" s="33" t="s">
        <v>339</v>
      </c>
      <c r="F61" s="33" t="s">
        <v>166</v>
      </c>
      <c r="G61" s="156">
        <f t="shared" si="1"/>
        <v>1333.73176</v>
      </c>
      <c r="H61" s="156">
        <f>H62</f>
        <v>0</v>
      </c>
      <c r="I61" s="156">
        <f>I62</f>
        <v>1333.73176</v>
      </c>
    </row>
    <row r="62" spans="1:9" ht="27">
      <c r="A62" s="38" t="s">
        <v>201</v>
      </c>
      <c r="B62" s="41">
        <v>951</v>
      </c>
      <c r="C62" s="33" t="s">
        <v>161</v>
      </c>
      <c r="D62" s="33" t="s">
        <v>181</v>
      </c>
      <c r="E62" s="33" t="s">
        <v>339</v>
      </c>
      <c r="F62" s="33" t="s">
        <v>200</v>
      </c>
      <c r="G62" s="156">
        <f t="shared" si="1"/>
        <v>1333.73176</v>
      </c>
      <c r="H62" s="156"/>
      <c r="I62" s="156">
        <f>1547.74+147.56+1.8+8.6-194-101-76.96824</f>
        <v>1333.73176</v>
      </c>
    </row>
    <row r="63" spans="1:9" ht="27">
      <c r="A63" s="37" t="s">
        <v>202</v>
      </c>
      <c r="B63" s="41">
        <v>951</v>
      </c>
      <c r="C63" s="33" t="s">
        <v>161</v>
      </c>
      <c r="D63" s="33" t="s">
        <v>181</v>
      </c>
      <c r="E63" s="33" t="s">
        <v>339</v>
      </c>
      <c r="F63" s="33" t="s">
        <v>170</v>
      </c>
      <c r="G63" s="156">
        <f t="shared" si="1"/>
        <v>464.35823999999997</v>
      </c>
      <c r="H63" s="156">
        <f>H64</f>
        <v>0</v>
      </c>
      <c r="I63" s="156">
        <f>I64</f>
        <v>464.35823999999997</v>
      </c>
    </row>
    <row r="64" spans="1:9" ht="41.25">
      <c r="A64" s="38" t="s">
        <v>203</v>
      </c>
      <c r="B64" s="41">
        <v>951</v>
      </c>
      <c r="C64" s="33" t="s">
        <v>161</v>
      </c>
      <c r="D64" s="33" t="s">
        <v>181</v>
      </c>
      <c r="E64" s="33" t="s">
        <v>339</v>
      </c>
      <c r="F64" s="33" t="s">
        <v>204</v>
      </c>
      <c r="G64" s="156">
        <f t="shared" si="1"/>
        <v>464.35823999999997</v>
      </c>
      <c r="H64" s="156"/>
      <c r="I64" s="156">
        <f>250.35-150.96-7+194+101+76.96824</f>
        <v>464.35823999999997</v>
      </c>
    </row>
    <row r="65" spans="1:9" ht="96" hidden="1">
      <c r="A65" s="38" t="s">
        <v>190</v>
      </c>
      <c r="B65" s="41">
        <v>952</v>
      </c>
      <c r="C65" s="33" t="s">
        <v>161</v>
      </c>
      <c r="D65" s="33" t="s">
        <v>181</v>
      </c>
      <c r="E65" s="33" t="s">
        <v>358</v>
      </c>
      <c r="F65" s="33" t="s">
        <v>432</v>
      </c>
      <c r="G65" s="198">
        <f t="shared" si="1"/>
        <v>0</v>
      </c>
      <c r="H65" s="177"/>
      <c r="I65" s="156">
        <f>I66</f>
        <v>0</v>
      </c>
    </row>
    <row r="66" spans="1:9" ht="41.25" hidden="1">
      <c r="A66" s="38" t="s">
        <v>203</v>
      </c>
      <c r="B66" s="41">
        <v>953</v>
      </c>
      <c r="C66" s="33" t="s">
        <v>161</v>
      </c>
      <c r="D66" s="33" t="s">
        <v>181</v>
      </c>
      <c r="E66" s="33" t="s">
        <v>358</v>
      </c>
      <c r="F66" s="33" t="s">
        <v>204</v>
      </c>
      <c r="G66" s="198">
        <f t="shared" si="1"/>
        <v>0</v>
      </c>
      <c r="H66" s="177"/>
      <c r="I66" s="156"/>
    </row>
    <row r="67" spans="1:9" ht="54.75" hidden="1">
      <c r="A67" s="130" t="s">
        <v>456</v>
      </c>
      <c r="B67" s="41">
        <v>954</v>
      </c>
      <c r="C67" s="33" t="s">
        <v>161</v>
      </c>
      <c r="D67" s="33" t="s">
        <v>181</v>
      </c>
      <c r="E67" s="50" t="s">
        <v>36</v>
      </c>
      <c r="F67" s="50" t="s">
        <v>432</v>
      </c>
      <c r="G67" s="201">
        <f aca="true" t="shared" si="5" ref="G67:G73">H67+I67</f>
        <v>0</v>
      </c>
      <c r="H67" s="196">
        <f>H68+H69</f>
        <v>0</v>
      </c>
      <c r="I67" s="196">
        <f>I68+I69</f>
        <v>0</v>
      </c>
    </row>
    <row r="68" spans="1:9" ht="69" hidden="1">
      <c r="A68" s="131" t="s">
        <v>139</v>
      </c>
      <c r="B68" s="41">
        <v>955</v>
      </c>
      <c r="C68" s="33" t="s">
        <v>161</v>
      </c>
      <c r="D68" s="33" t="s">
        <v>181</v>
      </c>
      <c r="E68" s="33" t="s">
        <v>487</v>
      </c>
      <c r="F68" s="33" t="s">
        <v>132</v>
      </c>
      <c r="G68" s="156">
        <f t="shared" si="5"/>
        <v>0</v>
      </c>
      <c r="H68" s="156"/>
      <c r="I68" s="156"/>
    </row>
    <row r="69" spans="1:9" ht="69" hidden="1">
      <c r="A69" s="132" t="s">
        <v>133</v>
      </c>
      <c r="B69" s="41">
        <v>956</v>
      </c>
      <c r="C69" s="33" t="s">
        <v>161</v>
      </c>
      <c r="D69" s="33" t="s">
        <v>181</v>
      </c>
      <c r="E69" s="51" t="s">
        <v>105</v>
      </c>
      <c r="F69" s="51" t="s">
        <v>132</v>
      </c>
      <c r="G69" s="202">
        <f t="shared" si="5"/>
        <v>0</v>
      </c>
      <c r="H69" s="203"/>
      <c r="I69" s="203"/>
    </row>
    <row r="70" spans="1:9" s="27" customFormat="1" ht="54.75">
      <c r="A70" s="96" t="s">
        <v>832</v>
      </c>
      <c r="B70" s="53" t="s">
        <v>192</v>
      </c>
      <c r="C70" s="54" t="s">
        <v>161</v>
      </c>
      <c r="D70" s="54" t="s">
        <v>181</v>
      </c>
      <c r="E70" s="100" t="s">
        <v>833</v>
      </c>
      <c r="F70" s="100" t="s">
        <v>432</v>
      </c>
      <c r="G70" s="197">
        <f t="shared" si="5"/>
        <v>187.287</v>
      </c>
      <c r="H70" s="168"/>
      <c r="I70" s="168">
        <f>I71</f>
        <v>187.287</v>
      </c>
    </row>
    <row r="71" spans="1:9" ht="82.5">
      <c r="A71" s="25" t="s">
        <v>199</v>
      </c>
      <c r="B71" s="41" t="s">
        <v>192</v>
      </c>
      <c r="C71" s="33" t="s">
        <v>161</v>
      </c>
      <c r="D71" s="33" t="s">
        <v>181</v>
      </c>
      <c r="E71" s="69" t="s">
        <v>833</v>
      </c>
      <c r="F71" s="69" t="s">
        <v>166</v>
      </c>
      <c r="G71" s="198">
        <f t="shared" si="5"/>
        <v>187.287</v>
      </c>
      <c r="H71" s="156"/>
      <c r="I71" s="156">
        <f>I72</f>
        <v>187.287</v>
      </c>
    </row>
    <row r="72" spans="1:9" ht="27">
      <c r="A72" s="85" t="s">
        <v>201</v>
      </c>
      <c r="B72" s="41" t="s">
        <v>192</v>
      </c>
      <c r="C72" s="33" t="s">
        <v>161</v>
      </c>
      <c r="D72" s="33" t="s">
        <v>181</v>
      </c>
      <c r="E72" s="69" t="s">
        <v>833</v>
      </c>
      <c r="F72" s="69" t="s">
        <v>200</v>
      </c>
      <c r="G72" s="198">
        <f t="shared" si="5"/>
        <v>187.287</v>
      </c>
      <c r="H72" s="156">
        <v>0</v>
      </c>
      <c r="I72" s="156">
        <v>187.287</v>
      </c>
    </row>
    <row r="73" spans="1:9" ht="28.5">
      <c r="A73" s="138" t="s">
        <v>164</v>
      </c>
      <c r="B73" s="41">
        <v>951</v>
      </c>
      <c r="C73" s="33" t="s">
        <v>161</v>
      </c>
      <c r="D73" s="33" t="s">
        <v>181</v>
      </c>
      <c r="E73" s="33" t="s">
        <v>16</v>
      </c>
      <c r="F73" s="33" t="s">
        <v>432</v>
      </c>
      <c r="G73" s="156">
        <f t="shared" si="5"/>
        <v>3856.61201</v>
      </c>
      <c r="H73" s="156">
        <f>H74</f>
        <v>3856.61201</v>
      </c>
      <c r="I73" s="156">
        <f>I74</f>
        <v>0</v>
      </c>
    </row>
    <row r="74" spans="1:9" ht="32.25" customHeight="1">
      <c r="A74" s="37" t="s">
        <v>165</v>
      </c>
      <c r="B74" s="41">
        <v>951</v>
      </c>
      <c r="C74" s="33" t="s">
        <v>161</v>
      </c>
      <c r="D74" s="33" t="s">
        <v>181</v>
      </c>
      <c r="E74" s="33" t="s">
        <v>17</v>
      </c>
      <c r="F74" s="33" t="s">
        <v>432</v>
      </c>
      <c r="G74" s="156">
        <f t="shared" si="1"/>
        <v>3856.61201</v>
      </c>
      <c r="H74" s="156">
        <f>H75+H80+H103</f>
        <v>3856.61201</v>
      </c>
      <c r="I74" s="156">
        <f>I75</f>
        <v>0</v>
      </c>
    </row>
    <row r="75" spans="1:9" ht="45" customHeight="1">
      <c r="A75" s="37" t="s">
        <v>589</v>
      </c>
      <c r="B75" s="41">
        <v>951</v>
      </c>
      <c r="C75" s="33" t="s">
        <v>161</v>
      </c>
      <c r="D75" s="33" t="s">
        <v>181</v>
      </c>
      <c r="E75" s="33" t="s">
        <v>20</v>
      </c>
      <c r="F75" s="33" t="s">
        <v>432</v>
      </c>
      <c r="G75" s="156">
        <f t="shared" si="1"/>
        <v>3792.21405</v>
      </c>
      <c r="H75" s="156">
        <f>H76+H78</f>
        <v>3792.21405</v>
      </c>
      <c r="I75" s="156">
        <f>I76+I78</f>
        <v>0</v>
      </c>
    </row>
    <row r="76" spans="1:9" ht="81.75" customHeight="1">
      <c r="A76" s="37" t="s">
        <v>199</v>
      </c>
      <c r="B76" s="41">
        <v>951</v>
      </c>
      <c r="C76" s="33" t="s">
        <v>161</v>
      </c>
      <c r="D76" s="33" t="s">
        <v>181</v>
      </c>
      <c r="E76" s="33" t="s">
        <v>20</v>
      </c>
      <c r="F76" s="33" t="s">
        <v>166</v>
      </c>
      <c r="G76" s="156">
        <f t="shared" si="1"/>
        <v>3629.37905</v>
      </c>
      <c r="H76" s="156">
        <f>H77</f>
        <v>3629.37905</v>
      </c>
      <c r="I76" s="156">
        <f>I77</f>
        <v>0</v>
      </c>
    </row>
    <row r="77" spans="1:9" s="106" customFormat="1" ht="27">
      <c r="A77" s="85" t="s">
        <v>201</v>
      </c>
      <c r="B77" s="30">
        <v>951</v>
      </c>
      <c r="C77" s="69" t="s">
        <v>161</v>
      </c>
      <c r="D77" s="69" t="s">
        <v>181</v>
      </c>
      <c r="E77" s="69" t="s">
        <v>20</v>
      </c>
      <c r="F77" s="69" t="s">
        <v>200</v>
      </c>
      <c r="G77" s="156">
        <f t="shared" si="1"/>
        <v>3629.37905</v>
      </c>
      <c r="H77" s="156">
        <f>2799.4+41+845.43-1.64595-30-30-44.805+50</f>
        <v>3629.37905</v>
      </c>
      <c r="I77" s="156"/>
    </row>
    <row r="78" spans="1:9" ht="27">
      <c r="A78" s="25" t="s">
        <v>202</v>
      </c>
      <c r="B78" s="30">
        <v>951</v>
      </c>
      <c r="C78" s="69" t="s">
        <v>161</v>
      </c>
      <c r="D78" s="69" t="s">
        <v>181</v>
      </c>
      <c r="E78" s="69" t="s">
        <v>20</v>
      </c>
      <c r="F78" s="69" t="s">
        <v>170</v>
      </c>
      <c r="G78" s="156">
        <f t="shared" si="1"/>
        <v>162.835</v>
      </c>
      <c r="H78" s="156">
        <f>H79</f>
        <v>162.835</v>
      </c>
      <c r="I78" s="156">
        <f>I79</f>
        <v>0</v>
      </c>
    </row>
    <row r="79" spans="1:9" s="106" customFormat="1" ht="42.75" customHeight="1">
      <c r="A79" s="85" t="s">
        <v>203</v>
      </c>
      <c r="B79" s="30">
        <v>951</v>
      </c>
      <c r="C79" s="69" t="s">
        <v>161</v>
      </c>
      <c r="D79" s="69" t="s">
        <v>181</v>
      </c>
      <c r="E79" s="69" t="s">
        <v>20</v>
      </c>
      <c r="F79" s="69" t="s">
        <v>204</v>
      </c>
      <c r="G79" s="156">
        <f t="shared" si="1"/>
        <v>162.835</v>
      </c>
      <c r="H79" s="156">
        <f>118.03+44.805</f>
        <v>162.835</v>
      </c>
      <c r="I79" s="156"/>
    </row>
    <row r="80" spans="1:9" ht="13.5">
      <c r="A80" s="52" t="s">
        <v>211</v>
      </c>
      <c r="B80" s="53">
        <v>951</v>
      </c>
      <c r="C80" s="54" t="s">
        <v>161</v>
      </c>
      <c r="D80" s="54" t="s">
        <v>181</v>
      </c>
      <c r="E80" s="54" t="s">
        <v>26</v>
      </c>
      <c r="F80" s="54" t="s">
        <v>432</v>
      </c>
      <c r="G80" s="168">
        <f t="shared" si="1"/>
        <v>16.397959999999998</v>
      </c>
      <c r="H80" s="168">
        <f>H81</f>
        <v>16.397959999999998</v>
      </c>
      <c r="I80" s="168"/>
    </row>
    <row r="81" spans="1:9" ht="13.5">
      <c r="A81" s="37" t="s">
        <v>207</v>
      </c>
      <c r="B81" s="41">
        <v>951</v>
      </c>
      <c r="C81" s="33" t="s">
        <v>161</v>
      </c>
      <c r="D81" s="33" t="s">
        <v>181</v>
      </c>
      <c r="E81" s="33" t="s">
        <v>26</v>
      </c>
      <c r="F81" s="33" t="s">
        <v>208</v>
      </c>
      <c r="G81" s="156">
        <f t="shared" si="1"/>
        <v>16.397959999999998</v>
      </c>
      <c r="H81" s="156">
        <f>H82</f>
        <v>16.397959999999998</v>
      </c>
      <c r="I81" s="156"/>
    </row>
    <row r="82" spans="1:9" ht="13.5">
      <c r="A82" s="37" t="s">
        <v>211</v>
      </c>
      <c r="B82" s="41">
        <v>951</v>
      </c>
      <c r="C82" s="33" t="s">
        <v>161</v>
      </c>
      <c r="D82" s="33" t="s">
        <v>181</v>
      </c>
      <c r="E82" s="33" t="s">
        <v>26</v>
      </c>
      <c r="F82" s="33" t="s">
        <v>212</v>
      </c>
      <c r="G82" s="156">
        <f t="shared" si="1"/>
        <v>16.397959999999998</v>
      </c>
      <c r="H82" s="156">
        <f>2+1.45201+50+1.64595-38.7</f>
        <v>16.397959999999998</v>
      </c>
      <c r="I82" s="156"/>
    </row>
    <row r="83" spans="1:9" ht="41.25">
      <c r="A83" s="52" t="s">
        <v>390</v>
      </c>
      <c r="B83" s="53">
        <v>951</v>
      </c>
      <c r="C83" s="54" t="s">
        <v>161</v>
      </c>
      <c r="D83" s="54" t="s">
        <v>181</v>
      </c>
      <c r="E83" s="54" t="s">
        <v>27</v>
      </c>
      <c r="F83" s="54" t="s">
        <v>432</v>
      </c>
      <c r="G83" s="168">
        <f t="shared" si="1"/>
        <v>292</v>
      </c>
      <c r="H83" s="168">
        <f>H84</f>
        <v>292</v>
      </c>
      <c r="I83" s="168">
        <f>I84</f>
        <v>0</v>
      </c>
    </row>
    <row r="84" spans="1:9" ht="27">
      <c r="A84" s="37" t="s">
        <v>202</v>
      </c>
      <c r="B84" s="41">
        <v>951</v>
      </c>
      <c r="C84" s="33" t="s">
        <v>161</v>
      </c>
      <c r="D84" s="33" t="s">
        <v>181</v>
      </c>
      <c r="E84" s="33" t="s">
        <v>27</v>
      </c>
      <c r="F84" s="33" t="s">
        <v>170</v>
      </c>
      <c r="G84" s="156">
        <f t="shared" si="1"/>
        <v>292</v>
      </c>
      <c r="H84" s="156">
        <f>H85</f>
        <v>292</v>
      </c>
      <c r="I84" s="156">
        <f>I85</f>
        <v>0</v>
      </c>
    </row>
    <row r="85" spans="1:9" s="106" customFormat="1" ht="41.25">
      <c r="A85" s="85" t="s">
        <v>203</v>
      </c>
      <c r="B85" s="30">
        <v>951</v>
      </c>
      <c r="C85" s="69" t="s">
        <v>161</v>
      </c>
      <c r="D85" s="69" t="s">
        <v>181</v>
      </c>
      <c r="E85" s="69" t="s">
        <v>27</v>
      </c>
      <c r="F85" s="69" t="s">
        <v>204</v>
      </c>
      <c r="G85" s="156">
        <f t="shared" si="1"/>
        <v>292</v>
      </c>
      <c r="H85" s="156">
        <f>280+12</f>
        <v>292</v>
      </c>
      <c r="I85" s="156"/>
    </row>
    <row r="86" spans="1:9" ht="13.5">
      <c r="A86" s="68" t="s">
        <v>541</v>
      </c>
      <c r="B86" s="53" t="s">
        <v>192</v>
      </c>
      <c r="C86" s="54" t="s">
        <v>161</v>
      </c>
      <c r="D86" s="54" t="s">
        <v>181</v>
      </c>
      <c r="E86" s="54" t="s">
        <v>542</v>
      </c>
      <c r="F86" s="54" t="s">
        <v>432</v>
      </c>
      <c r="G86" s="168">
        <f aca="true" t="shared" si="6" ref="G86:G95">H86</f>
        <v>1433.9</v>
      </c>
      <c r="H86" s="168">
        <f>H87+H89</f>
        <v>1433.9</v>
      </c>
      <c r="I86" s="168"/>
    </row>
    <row r="87" spans="1:9" ht="27">
      <c r="A87" s="37" t="s">
        <v>202</v>
      </c>
      <c r="B87" s="41" t="s">
        <v>192</v>
      </c>
      <c r="C87" s="33" t="s">
        <v>161</v>
      </c>
      <c r="D87" s="33" t="s">
        <v>181</v>
      </c>
      <c r="E87" s="33" t="s">
        <v>542</v>
      </c>
      <c r="F87" s="33" t="s">
        <v>170</v>
      </c>
      <c r="G87" s="156">
        <f t="shared" si="6"/>
        <v>1433.9</v>
      </c>
      <c r="H87" s="156">
        <f>H88</f>
        <v>1433.9</v>
      </c>
      <c r="I87" s="156"/>
    </row>
    <row r="88" spans="1:9" ht="41.25">
      <c r="A88" s="38" t="s">
        <v>203</v>
      </c>
      <c r="B88" s="41" t="s">
        <v>192</v>
      </c>
      <c r="C88" s="33" t="s">
        <v>161</v>
      </c>
      <c r="D88" s="33" t="s">
        <v>181</v>
      </c>
      <c r="E88" s="33" t="s">
        <v>542</v>
      </c>
      <c r="F88" s="33" t="s">
        <v>204</v>
      </c>
      <c r="G88" s="156">
        <f t="shared" si="6"/>
        <v>1433.9</v>
      </c>
      <c r="H88" s="156">
        <f>1275.2+38.7+120</f>
        <v>1433.9</v>
      </c>
      <c r="I88" s="156"/>
    </row>
    <row r="89" spans="1:9" ht="13.5" hidden="1">
      <c r="A89" s="37" t="s">
        <v>207</v>
      </c>
      <c r="B89" s="41" t="s">
        <v>192</v>
      </c>
      <c r="C89" s="33" t="s">
        <v>161</v>
      </c>
      <c r="D89" s="33" t="s">
        <v>181</v>
      </c>
      <c r="E89" s="33" t="s">
        <v>542</v>
      </c>
      <c r="F89" s="33" t="s">
        <v>208</v>
      </c>
      <c r="G89" s="156">
        <f t="shared" si="6"/>
        <v>0</v>
      </c>
      <c r="H89" s="156">
        <f>H90</f>
        <v>0</v>
      </c>
      <c r="I89" s="156"/>
    </row>
    <row r="90" spans="1:9" ht="13.5" hidden="1">
      <c r="A90" s="83" t="s">
        <v>205</v>
      </c>
      <c r="B90" s="41" t="s">
        <v>192</v>
      </c>
      <c r="C90" s="33" t="s">
        <v>161</v>
      </c>
      <c r="D90" s="33" t="s">
        <v>181</v>
      </c>
      <c r="E90" s="33" t="s">
        <v>542</v>
      </c>
      <c r="F90" s="33" t="s">
        <v>206</v>
      </c>
      <c r="G90" s="156">
        <f t="shared" si="6"/>
        <v>0</v>
      </c>
      <c r="H90" s="156"/>
      <c r="I90" s="156"/>
    </row>
    <row r="91" spans="1:9" ht="13.5" hidden="1">
      <c r="A91" s="133" t="s">
        <v>575</v>
      </c>
      <c r="B91" s="53" t="s">
        <v>192</v>
      </c>
      <c r="C91" s="54" t="s">
        <v>161</v>
      </c>
      <c r="D91" s="54" t="s">
        <v>181</v>
      </c>
      <c r="E91" s="54" t="s">
        <v>576</v>
      </c>
      <c r="F91" s="54" t="s">
        <v>432</v>
      </c>
      <c r="G91" s="197">
        <f t="shared" si="6"/>
        <v>0</v>
      </c>
      <c r="H91" s="168">
        <f>H92+H94</f>
        <v>0</v>
      </c>
      <c r="I91" s="168"/>
    </row>
    <row r="92" spans="1:9" ht="27" hidden="1">
      <c r="A92" s="37" t="s">
        <v>202</v>
      </c>
      <c r="B92" s="41" t="s">
        <v>192</v>
      </c>
      <c r="C92" s="33" t="s">
        <v>161</v>
      </c>
      <c r="D92" s="33" t="s">
        <v>181</v>
      </c>
      <c r="E92" s="33" t="s">
        <v>576</v>
      </c>
      <c r="F92" s="33" t="s">
        <v>170</v>
      </c>
      <c r="G92" s="198">
        <f t="shared" si="6"/>
        <v>0</v>
      </c>
      <c r="H92" s="156">
        <f>H93</f>
        <v>0</v>
      </c>
      <c r="I92" s="168"/>
    </row>
    <row r="93" spans="1:9" ht="41.25" hidden="1">
      <c r="A93" s="38" t="s">
        <v>203</v>
      </c>
      <c r="B93" s="41" t="s">
        <v>192</v>
      </c>
      <c r="C93" s="33" t="s">
        <v>161</v>
      </c>
      <c r="D93" s="33" t="s">
        <v>181</v>
      </c>
      <c r="E93" s="33" t="s">
        <v>576</v>
      </c>
      <c r="F93" s="33" t="s">
        <v>204</v>
      </c>
      <c r="G93" s="198">
        <f t="shared" si="6"/>
        <v>0</v>
      </c>
      <c r="H93" s="156"/>
      <c r="I93" s="156"/>
    </row>
    <row r="94" spans="1:9" ht="13.5" hidden="1">
      <c r="A94" s="37" t="s">
        <v>207</v>
      </c>
      <c r="B94" s="41" t="s">
        <v>192</v>
      </c>
      <c r="C94" s="33" t="s">
        <v>161</v>
      </c>
      <c r="D94" s="33" t="s">
        <v>181</v>
      </c>
      <c r="E94" s="33" t="s">
        <v>576</v>
      </c>
      <c r="F94" s="33" t="s">
        <v>208</v>
      </c>
      <c r="G94" s="198">
        <f t="shared" si="6"/>
        <v>0</v>
      </c>
      <c r="H94" s="156">
        <f>H95</f>
        <v>0</v>
      </c>
      <c r="I94" s="156"/>
    </row>
    <row r="95" spans="1:9" ht="13.5" hidden="1">
      <c r="A95" s="83" t="s">
        <v>205</v>
      </c>
      <c r="B95" s="41" t="s">
        <v>192</v>
      </c>
      <c r="C95" s="33" t="s">
        <v>161</v>
      </c>
      <c r="D95" s="33" t="s">
        <v>181</v>
      </c>
      <c r="E95" s="33" t="s">
        <v>576</v>
      </c>
      <c r="F95" s="33" t="s">
        <v>206</v>
      </c>
      <c r="G95" s="198">
        <f t="shared" si="6"/>
        <v>0</v>
      </c>
      <c r="H95" s="156"/>
      <c r="I95" s="156"/>
    </row>
    <row r="96" spans="1:9" ht="60.75" customHeight="1">
      <c r="A96" s="134" t="s">
        <v>590</v>
      </c>
      <c r="B96" s="126" t="s">
        <v>192</v>
      </c>
      <c r="C96" s="127" t="s">
        <v>161</v>
      </c>
      <c r="D96" s="127" t="s">
        <v>181</v>
      </c>
      <c r="E96" s="135" t="s">
        <v>338</v>
      </c>
      <c r="F96" s="127" t="s">
        <v>432</v>
      </c>
      <c r="G96" s="199">
        <f>H96+I96</f>
        <v>899.07583</v>
      </c>
      <c r="H96" s="159">
        <v>0</v>
      </c>
      <c r="I96" s="159">
        <f>I97</f>
        <v>899.07583</v>
      </c>
    </row>
    <row r="97" spans="1:9" ht="27">
      <c r="A97" s="37" t="s">
        <v>531</v>
      </c>
      <c r="B97" s="41" t="s">
        <v>192</v>
      </c>
      <c r="C97" s="33" t="s">
        <v>161</v>
      </c>
      <c r="D97" s="33" t="s">
        <v>181</v>
      </c>
      <c r="E97" s="33" t="s">
        <v>16</v>
      </c>
      <c r="F97" s="33" t="s">
        <v>432</v>
      </c>
      <c r="G97" s="198">
        <f aca="true" t="shared" si="7" ref="G97:G105">H97+I97</f>
        <v>899.07583</v>
      </c>
      <c r="H97" s="156"/>
      <c r="I97" s="156">
        <f>I98</f>
        <v>899.07583</v>
      </c>
    </row>
    <row r="98" spans="1:9" ht="41.25">
      <c r="A98" s="37" t="s">
        <v>165</v>
      </c>
      <c r="B98" s="41" t="s">
        <v>192</v>
      </c>
      <c r="C98" s="33" t="s">
        <v>161</v>
      </c>
      <c r="D98" s="33" t="s">
        <v>181</v>
      </c>
      <c r="E98" s="33" t="s">
        <v>17</v>
      </c>
      <c r="F98" s="33" t="s">
        <v>432</v>
      </c>
      <c r="G98" s="198">
        <f t="shared" si="7"/>
        <v>899.07583</v>
      </c>
      <c r="H98" s="156"/>
      <c r="I98" s="156">
        <f>I99+I101</f>
        <v>899.07583</v>
      </c>
    </row>
    <row r="99" spans="1:9" ht="82.5">
      <c r="A99" s="37" t="s">
        <v>199</v>
      </c>
      <c r="B99" s="41" t="s">
        <v>192</v>
      </c>
      <c r="C99" s="33" t="s">
        <v>161</v>
      </c>
      <c r="D99" s="33" t="s">
        <v>181</v>
      </c>
      <c r="E99" s="69" t="s">
        <v>591</v>
      </c>
      <c r="F99" s="33" t="s">
        <v>166</v>
      </c>
      <c r="G99" s="198">
        <f t="shared" si="7"/>
        <v>532.3799</v>
      </c>
      <c r="H99" s="156">
        <v>0</v>
      </c>
      <c r="I99" s="156">
        <f>I100</f>
        <v>532.3799</v>
      </c>
    </row>
    <row r="100" spans="1:9" ht="27">
      <c r="A100" s="37" t="s">
        <v>201</v>
      </c>
      <c r="B100" s="41" t="s">
        <v>192</v>
      </c>
      <c r="C100" s="33" t="s">
        <v>161</v>
      </c>
      <c r="D100" s="33" t="s">
        <v>181</v>
      </c>
      <c r="E100" s="69" t="s">
        <v>591</v>
      </c>
      <c r="F100" s="33" t="s">
        <v>200</v>
      </c>
      <c r="G100" s="198">
        <f t="shared" si="7"/>
        <v>532.3799</v>
      </c>
      <c r="H100" s="156"/>
      <c r="I100" s="156">
        <f>312.4799+219.9</f>
        <v>532.3799</v>
      </c>
    </row>
    <row r="101" spans="1:9" ht="27">
      <c r="A101" s="37" t="s">
        <v>202</v>
      </c>
      <c r="B101" s="41" t="s">
        <v>192</v>
      </c>
      <c r="C101" s="33" t="s">
        <v>161</v>
      </c>
      <c r="D101" s="33" t="s">
        <v>181</v>
      </c>
      <c r="E101" s="69" t="s">
        <v>591</v>
      </c>
      <c r="F101" s="33" t="s">
        <v>170</v>
      </c>
      <c r="G101" s="198">
        <f t="shared" si="7"/>
        <v>366.69593</v>
      </c>
      <c r="H101" s="156">
        <v>0</v>
      </c>
      <c r="I101" s="156">
        <f>I102</f>
        <v>366.69593</v>
      </c>
    </row>
    <row r="102" spans="1:9" ht="41.25">
      <c r="A102" s="38" t="s">
        <v>203</v>
      </c>
      <c r="B102" s="41" t="s">
        <v>192</v>
      </c>
      <c r="C102" s="33" t="s">
        <v>161</v>
      </c>
      <c r="D102" s="33" t="s">
        <v>181</v>
      </c>
      <c r="E102" s="69" t="s">
        <v>591</v>
      </c>
      <c r="F102" s="33" t="s">
        <v>204</v>
      </c>
      <c r="G102" s="198">
        <f t="shared" si="7"/>
        <v>366.69593</v>
      </c>
      <c r="H102" s="156"/>
      <c r="I102" s="156">
        <f>354.83116-128.39895-219.9+365.45389-5.29017</f>
        <v>366.69593</v>
      </c>
    </row>
    <row r="103" spans="1:9" ht="41.25">
      <c r="A103" s="97" t="s">
        <v>799</v>
      </c>
      <c r="B103" s="53" t="s">
        <v>192</v>
      </c>
      <c r="C103" s="54" t="s">
        <v>161</v>
      </c>
      <c r="D103" s="54" t="s">
        <v>181</v>
      </c>
      <c r="E103" s="100" t="s">
        <v>800</v>
      </c>
      <c r="F103" s="100" t="s">
        <v>432</v>
      </c>
      <c r="G103" s="197">
        <f t="shared" si="7"/>
        <v>48</v>
      </c>
      <c r="H103" s="168">
        <f>H104</f>
        <v>48</v>
      </c>
      <c r="I103" s="156"/>
    </row>
    <row r="104" spans="1:9" ht="27">
      <c r="A104" s="25" t="s">
        <v>202</v>
      </c>
      <c r="B104" s="41" t="s">
        <v>192</v>
      </c>
      <c r="C104" s="33" t="s">
        <v>161</v>
      </c>
      <c r="D104" s="33" t="s">
        <v>181</v>
      </c>
      <c r="E104" s="69" t="s">
        <v>800</v>
      </c>
      <c r="F104" s="69" t="s">
        <v>170</v>
      </c>
      <c r="G104" s="198">
        <f t="shared" si="7"/>
        <v>48</v>
      </c>
      <c r="H104" s="156">
        <f>H105</f>
        <v>48</v>
      </c>
      <c r="I104" s="156"/>
    </row>
    <row r="105" spans="1:9" ht="41.25">
      <c r="A105" s="85" t="s">
        <v>203</v>
      </c>
      <c r="B105" s="41" t="s">
        <v>192</v>
      </c>
      <c r="C105" s="33" t="s">
        <v>161</v>
      </c>
      <c r="D105" s="33" t="s">
        <v>181</v>
      </c>
      <c r="E105" s="69" t="s">
        <v>800</v>
      </c>
      <c r="F105" s="69" t="s">
        <v>204</v>
      </c>
      <c r="G105" s="198">
        <f t="shared" si="7"/>
        <v>48</v>
      </c>
      <c r="H105" s="156">
        <v>48</v>
      </c>
      <c r="I105" s="156"/>
    </row>
    <row r="106" spans="1:9" ht="41.25">
      <c r="A106" s="52" t="s">
        <v>496</v>
      </c>
      <c r="B106" s="53">
        <v>951</v>
      </c>
      <c r="C106" s="54" t="s">
        <v>161</v>
      </c>
      <c r="D106" s="54" t="s">
        <v>181</v>
      </c>
      <c r="E106" s="54" t="s">
        <v>37</v>
      </c>
      <c r="F106" s="54" t="s">
        <v>432</v>
      </c>
      <c r="G106" s="168">
        <f t="shared" si="1"/>
        <v>7432.83168</v>
      </c>
      <c r="H106" s="168">
        <f>H110+H118+H107+H121</f>
        <v>502.83168</v>
      </c>
      <c r="I106" s="168">
        <f>I110</f>
        <v>6930</v>
      </c>
    </row>
    <row r="107" spans="1:9" ht="27" hidden="1">
      <c r="A107" s="55" t="s">
        <v>39</v>
      </c>
      <c r="B107" s="53">
        <v>951</v>
      </c>
      <c r="C107" s="54" t="s">
        <v>161</v>
      </c>
      <c r="D107" s="54" t="s">
        <v>181</v>
      </c>
      <c r="E107" s="41" t="s">
        <v>38</v>
      </c>
      <c r="F107" s="33" t="s">
        <v>432</v>
      </c>
      <c r="G107" s="156">
        <f t="shared" si="1"/>
        <v>0</v>
      </c>
      <c r="H107" s="156">
        <f>H108</f>
        <v>0</v>
      </c>
      <c r="I107" s="156">
        <f>I108</f>
        <v>0</v>
      </c>
    </row>
    <row r="108" spans="1:9" ht="27" hidden="1">
      <c r="A108" s="37" t="s">
        <v>202</v>
      </c>
      <c r="B108" s="53">
        <v>951</v>
      </c>
      <c r="C108" s="54" t="s">
        <v>161</v>
      </c>
      <c r="D108" s="54" t="s">
        <v>181</v>
      </c>
      <c r="E108" s="41" t="s">
        <v>38</v>
      </c>
      <c r="F108" s="33" t="s">
        <v>170</v>
      </c>
      <c r="G108" s="156">
        <f t="shared" si="1"/>
        <v>0</v>
      </c>
      <c r="H108" s="156">
        <f>H109</f>
        <v>0</v>
      </c>
      <c r="I108" s="156">
        <f>I109</f>
        <v>0</v>
      </c>
    </row>
    <row r="109" spans="1:9" ht="41.25" hidden="1">
      <c r="A109" s="38" t="s">
        <v>203</v>
      </c>
      <c r="B109" s="53">
        <v>951</v>
      </c>
      <c r="C109" s="54" t="s">
        <v>161</v>
      </c>
      <c r="D109" s="54" t="s">
        <v>181</v>
      </c>
      <c r="E109" s="41" t="s">
        <v>38</v>
      </c>
      <c r="F109" s="33" t="s">
        <v>204</v>
      </c>
      <c r="G109" s="156">
        <f t="shared" si="1"/>
        <v>0</v>
      </c>
      <c r="H109" s="156"/>
      <c r="I109" s="156"/>
    </row>
    <row r="110" spans="1:9" ht="27">
      <c r="A110" s="223" t="s">
        <v>313</v>
      </c>
      <c r="B110" s="53">
        <v>951</v>
      </c>
      <c r="C110" s="54" t="s">
        <v>161</v>
      </c>
      <c r="D110" s="54" t="s">
        <v>181</v>
      </c>
      <c r="E110" s="30" t="s">
        <v>55</v>
      </c>
      <c r="F110" s="69" t="s">
        <v>432</v>
      </c>
      <c r="G110" s="198">
        <f>G111</f>
        <v>6954.83168</v>
      </c>
      <c r="H110" s="156">
        <f>H111</f>
        <v>24.83168</v>
      </c>
      <c r="I110" s="156">
        <f>I111</f>
        <v>6930</v>
      </c>
    </row>
    <row r="111" spans="1:9" ht="54.75">
      <c r="A111" s="96" t="s">
        <v>726</v>
      </c>
      <c r="B111" s="53">
        <v>951</v>
      </c>
      <c r="C111" s="54" t="s">
        <v>161</v>
      </c>
      <c r="D111" s="54" t="s">
        <v>181</v>
      </c>
      <c r="E111" s="100" t="s">
        <v>338</v>
      </c>
      <c r="F111" s="100" t="s">
        <v>432</v>
      </c>
      <c r="G111" s="197">
        <f>H111+I111</f>
        <v>6954.83168</v>
      </c>
      <c r="H111" s="168">
        <f>H115</f>
        <v>24.83168</v>
      </c>
      <c r="I111" s="168">
        <f>I112</f>
        <v>6930</v>
      </c>
    </row>
    <row r="112" spans="1:9" ht="69">
      <c r="A112" s="25" t="s">
        <v>750</v>
      </c>
      <c r="B112" s="41">
        <v>951</v>
      </c>
      <c r="C112" s="33" t="s">
        <v>161</v>
      </c>
      <c r="D112" s="33" t="s">
        <v>181</v>
      </c>
      <c r="E112" s="69" t="s">
        <v>733</v>
      </c>
      <c r="F112" s="69" t="s">
        <v>432</v>
      </c>
      <c r="G112" s="198">
        <f aca="true" t="shared" si="8" ref="G112:G117">H112+I112</f>
        <v>6930</v>
      </c>
      <c r="H112" s="156"/>
      <c r="I112" s="156">
        <f>I113</f>
        <v>6930</v>
      </c>
    </row>
    <row r="113" spans="1:9" ht="41.25">
      <c r="A113" s="85" t="s">
        <v>631</v>
      </c>
      <c r="B113" s="41">
        <v>951</v>
      </c>
      <c r="C113" s="33" t="s">
        <v>161</v>
      </c>
      <c r="D113" s="33" t="s">
        <v>181</v>
      </c>
      <c r="E113" s="69" t="s">
        <v>733</v>
      </c>
      <c r="F113" s="69" t="s">
        <v>632</v>
      </c>
      <c r="G113" s="198">
        <f t="shared" si="8"/>
        <v>6930</v>
      </c>
      <c r="H113" s="156"/>
      <c r="I113" s="156">
        <f>I114</f>
        <v>6930</v>
      </c>
    </row>
    <row r="114" spans="1:9" ht="13.5">
      <c r="A114" s="85" t="s">
        <v>633</v>
      </c>
      <c r="B114" s="41">
        <v>951</v>
      </c>
      <c r="C114" s="33" t="s">
        <v>161</v>
      </c>
      <c r="D114" s="33" t="s">
        <v>181</v>
      </c>
      <c r="E114" s="69" t="s">
        <v>733</v>
      </c>
      <c r="F114" s="69" t="s">
        <v>634</v>
      </c>
      <c r="G114" s="198">
        <f t="shared" si="8"/>
        <v>6930</v>
      </c>
      <c r="H114" s="156"/>
      <c r="I114" s="156">
        <v>6930</v>
      </c>
    </row>
    <row r="115" spans="1:9" ht="82.5">
      <c r="A115" s="25" t="s">
        <v>751</v>
      </c>
      <c r="B115" s="41">
        <v>951</v>
      </c>
      <c r="C115" s="33" t="s">
        <v>161</v>
      </c>
      <c r="D115" s="33" t="s">
        <v>181</v>
      </c>
      <c r="E115" s="69" t="s">
        <v>785</v>
      </c>
      <c r="F115" s="69" t="s">
        <v>432</v>
      </c>
      <c r="G115" s="198">
        <f t="shared" si="8"/>
        <v>24.83168</v>
      </c>
      <c r="H115" s="156">
        <f>H116</f>
        <v>24.83168</v>
      </c>
      <c r="I115" s="156"/>
    </row>
    <row r="116" spans="1:9" ht="41.25">
      <c r="A116" s="85" t="s">
        <v>631</v>
      </c>
      <c r="B116" s="41">
        <v>951</v>
      </c>
      <c r="C116" s="33" t="s">
        <v>161</v>
      </c>
      <c r="D116" s="33" t="s">
        <v>181</v>
      </c>
      <c r="E116" s="69" t="s">
        <v>785</v>
      </c>
      <c r="F116" s="69" t="s">
        <v>632</v>
      </c>
      <c r="G116" s="198">
        <f t="shared" si="8"/>
        <v>24.83168</v>
      </c>
      <c r="H116" s="156">
        <f>H117</f>
        <v>24.83168</v>
      </c>
      <c r="I116" s="156"/>
    </row>
    <row r="117" spans="1:9" ht="13.5">
      <c r="A117" s="85" t="s">
        <v>633</v>
      </c>
      <c r="B117" s="41">
        <v>951</v>
      </c>
      <c r="C117" s="33" t="s">
        <v>161</v>
      </c>
      <c r="D117" s="33" t="s">
        <v>181</v>
      </c>
      <c r="E117" s="69" t="s">
        <v>785</v>
      </c>
      <c r="F117" s="69" t="s">
        <v>634</v>
      </c>
      <c r="G117" s="198">
        <f t="shared" si="8"/>
        <v>24.83168</v>
      </c>
      <c r="H117" s="156">
        <f>70-35.17588-9.99244</f>
        <v>24.83168</v>
      </c>
      <c r="I117" s="156"/>
    </row>
    <row r="118" spans="1:9" ht="71.25" customHeight="1">
      <c r="A118" s="96" t="s">
        <v>743</v>
      </c>
      <c r="B118" s="53">
        <v>951</v>
      </c>
      <c r="C118" s="54" t="s">
        <v>161</v>
      </c>
      <c r="D118" s="54" t="s">
        <v>181</v>
      </c>
      <c r="E118" s="100" t="s">
        <v>734</v>
      </c>
      <c r="F118" s="100" t="s">
        <v>432</v>
      </c>
      <c r="G118" s="197">
        <f>H118+I118</f>
        <v>395</v>
      </c>
      <c r="H118" s="168">
        <f>H119</f>
        <v>395</v>
      </c>
      <c r="I118" s="168"/>
    </row>
    <row r="119" spans="1:9" ht="27">
      <c r="A119" s="25" t="s">
        <v>202</v>
      </c>
      <c r="B119" s="41">
        <v>951</v>
      </c>
      <c r="C119" s="33" t="s">
        <v>161</v>
      </c>
      <c r="D119" s="33" t="s">
        <v>181</v>
      </c>
      <c r="E119" s="69" t="s">
        <v>734</v>
      </c>
      <c r="F119" s="69" t="s">
        <v>170</v>
      </c>
      <c r="G119" s="198">
        <f>H119+I119</f>
        <v>395</v>
      </c>
      <c r="H119" s="156">
        <f>H120</f>
        <v>395</v>
      </c>
      <c r="I119" s="156"/>
    </row>
    <row r="120" spans="1:9" ht="41.25">
      <c r="A120" s="85" t="s">
        <v>203</v>
      </c>
      <c r="B120" s="41">
        <v>951</v>
      </c>
      <c r="C120" s="33" t="s">
        <v>161</v>
      </c>
      <c r="D120" s="33" t="s">
        <v>181</v>
      </c>
      <c r="E120" s="69" t="s">
        <v>734</v>
      </c>
      <c r="F120" s="69" t="s">
        <v>204</v>
      </c>
      <c r="G120" s="198">
        <f>H120+I120</f>
        <v>395</v>
      </c>
      <c r="H120" s="156">
        <v>395</v>
      </c>
      <c r="I120" s="156"/>
    </row>
    <row r="121" spans="1:9" ht="27">
      <c r="A121" s="55" t="s">
        <v>42</v>
      </c>
      <c r="B121" s="41">
        <v>951</v>
      </c>
      <c r="C121" s="33" t="s">
        <v>161</v>
      </c>
      <c r="D121" s="33" t="s">
        <v>181</v>
      </c>
      <c r="E121" s="33" t="s">
        <v>43</v>
      </c>
      <c r="F121" s="33" t="s">
        <v>432</v>
      </c>
      <c r="G121" s="156">
        <f t="shared" si="1"/>
        <v>83</v>
      </c>
      <c r="H121" s="156">
        <f>H122</f>
        <v>83</v>
      </c>
      <c r="I121" s="156">
        <f>I122</f>
        <v>0</v>
      </c>
    </row>
    <row r="122" spans="1:9" ht="29.25" customHeight="1">
      <c r="A122" s="37" t="s">
        <v>202</v>
      </c>
      <c r="B122" s="41">
        <v>951</v>
      </c>
      <c r="C122" s="33" t="s">
        <v>161</v>
      </c>
      <c r="D122" s="33" t="s">
        <v>181</v>
      </c>
      <c r="E122" s="69" t="s">
        <v>736</v>
      </c>
      <c r="F122" s="33" t="s">
        <v>170</v>
      </c>
      <c r="G122" s="156">
        <f t="shared" si="1"/>
        <v>83</v>
      </c>
      <c r="H122" s="156">
        <f>H123</f>
        <v>83</v>
      </c>
      <c r="I122" s="156">
        <f>I123</f>
        <v>0</v>
      </c>
    </row>
    <row r="123" spans="1:9" ht="43.5" customHeight="1">
      <c r="A123" s="38" t="s">
        <v>203</v>
      </c>
      <c r="B123" s="41">
        <v>951</v>
      </c>
      <c r="C123" s="33" t="s">
        <v>161</v>
      </c>
      <c r="D123" s="33" t="s">
        <v>181</v>
      </c>
      <c r="E123" s="69" t="s">
        <v>736</v>
      </c>
      <c r="F123" s="33" t="s">
        <v>204</v>
      </c>
      <c r="G123" s="156">
        <f t="shared" si="1"/>
        <v>83</v>
      </c>
      <c r="H123" s="156">
        <v>83</v>
      </c>
      <c r="I123" s="156"/>
    </row>
    <row r="124" spans="1:9" ht="54.75">
      <c r="A124" s="52" t="s">
        <v>511</v>
      </c>
      <c r="B124" s="53">
        <v>951</v>
      </c>
      <c r="C124" s="54" t="s">
        <v>161</v>
      </c>
      <c r="D124" s="54" t="s">
        <v>181</v>
      </c>
      <c r="E124" s="54" t="s">
        <v>44</v>
      </c>
      <c r="F124" s="54" t="s">
        <v>432</v>
      </c>
      <c r="G124" s="168">
        <f t="shared" si="1"/>
        <v>43</v>
      </c>
      <c r="H124" s="168">
        <f>H125</f>
        <v>43</v>
      </c>
      <c r="I124" s="168">
        <f>I125</f>
        <v>0</v>
      </c>
    </row>
    <row r="125" spans="1:9" ht="33.75" customHeight="1">
      <c r="A125" s="37" t="s">
        <v>202</v>
      </c>
      <c r="B125" s="41">
        <v>951</v>
      </c>
      <c r="C125" s="33" t="s">
        <v>161</v>
      </c>
      <c r="D125" s="33" t="s">
        <v>181</v>
      </c>
      <c r="E125" s="33" t="s">
        <v>46</v>
      </c>
      <c r="F125" s="33" t="s">
        <v>170</v>
      </c>
      <c r="G125" s="156">
        <f t="shared" si="1"/>
        <v>43</v>
      </c>
      <c r="H125" s="156">
        <f>H126</f>
        <v>43</v>
      </c>
      <c r="I125" s="156">
        <f>I126</f>
        <v>0</v>
      </c>
    </row>
    <row r="126" spans="1:9" ht="41.25">
      <c r="A126" s="38" t="s">
        <v>203</v>
      </c>
      <c r="B126" s="41">
        <v>951</v>
      </c>
      <c r="C126" s="33" t="s">
        <v>161</v>
      </c>
      <c r="D126" s="33" t="s">
        <v>181</v>
      </c>
      <c r="E126" s="33" t="s">
        <v>46</v>
      </c>
      <c r="F126" s="33" t="s">
        <v>204</v>
      </c>
      <c r="G126" s="156">
        <f t="shared" si="1"/>
        <v>43</v>
      </c>
      <c r="H126" s="156">
        <f>10+43-10</f>
        <v>43</v>
      </c>
      <c r="I126" s="156"/>
    </row>
    <row r="127" spans="1:9" ht="41.25">
      <c r="A127" s="68" t="s">
        <v>592</v>
      </c>
      <c r="B127" s="136" t="s">
        <v>192</v>
      </c>
      <c r="C127" s="54" t="s">
        <v>161</v>
      </c>
      <c r="D127" s="54" t="s">
        <v>181</v>
      </c>
      <c r="E127" s="100" t="s">
        <v>593</v>
      </c>
      <c r="F127" s="100" t="s">
        <v>432</v>
      </c>
      <c r="G127" s="197">
        <f t="shared" si="1"/>
        <v>15</v>
      </c>
      <c r="H127" s="168">
        <f>H128</f>
        <v>15</v>
      </c>
      <c r="I127" s="168"/>
    </row>
    <row r="128" spans="1:9" ht="48" customHeight="1">
      <c r="A128" s="38" t="s">
        <v>594</v>
      </c>
      <c r="B128" s="136" t="s">
        <v>192</v>
      </c>
      <c r="C128" s="33" t="s">
        <v>161</v>
      </c>
      <c r="D128" s="33" t="s">
        <v>181</v>
      </c>
      <c r="E128" s="69" t="s">
        <v>595</v>
      </c>
      <c r="F128" s="69" t="s">
        <v>170</v>
      </c>
      <c r="G128" s="198">
        <f t="shared" si="1"/>
        <v>15</v>
      </c>
      <c r="H128" s="156">
        <f>H129</f>
        <v>15</v>
      </c>
      <c r="I128" s="156"/>
    </row>
    <row r="129" spans="1:9" ht="13.5">
      <c r="A129" s="38" t="s">
        <v>650</v>
      </c>
      <c r="B129" s="136" t="s">
        <v>192</v>
      </c>
      <c r="C129" s="33" t="s">
        <v>161</v>
      </c>
      <c r="D129" s="33" t="s">
        <v>181</v>
      </c>
      <c r="E129" s="69" t="s">
        <v>597</v>
      </c>
      <c r="F129" s="69" t="s">
        <v>204</v>
      </c>
      <c r="G129" s="198">
        <f t="shared" si="1"/>
        <v>15</v>
      </c>
      <c r="H129" s="156">
        <v>15</v>
      </c>
      <c r="I129" s="156"/>
    </row>
    <row r="130" spans="1:9" ht="13.5" hidden="1">
      <c r="A130" s="330" t="s">
        <v>394</v>
      </c>
      <c r="B130" s="136" t="s">
        <v>192</v>
      </c>
      <c r="C130" s="33" t="s">
        <v>161</v>
      </c>
      <c r="D130" s="33" t="s">
        <v>181</v>
      </c>
      <c r="E130" s="44" t="s">
        <v>338</v>
      </c>
      <c r="F130" s="44" t="s">
        <v>432</v>
      </c>
      <c r="G130" s="167">
        <f>H130+I130</f>
        <v>0</v>
      </c>
      <c r="H130" s="167">
        <f aca="true" t="shared" si="9" ref="H130:I133">H131</f>
        <v>0</v>
      </c>
      <c r="I130" s="167">
        <f t="shared" si="9"/>
        <v>0</v>
      </c>
    </row>
    <row r="131" spans="1:9" ht="69" hidden="1">
      <c r="A131" s="96" t="s">
        <v>577</v>
      </c>
      <c r="B131" s="136" t="s">
        <v>192</v>
      </c>
      <c r="C131" s="33" t="s">
        <v>161</v>
      </c>
      <c r="D131" s="33" t="s">
        <v>181</v>
      </c>
      <c r="E131" s="33" t="s">
        <v>338</v>
      </c>
      <c r="F131" s="33" t="s">
        <v>432</v>
      </c>
      <c r="G131" s="156">
        <f>H131+I131</f>
        <v>0</v>
      </c>
      <c r="H131" s="156">
        <f t="shared" si="9"/>
        <v>0</v>
      </c>
      <c r="I131" s="156">
        <f t="shared" si="9"/>
        <v>0</v>
      </c>
    </row>
    <row r="132" spans="1:9" ht="41.25" hidden="1">
      <c r="A132" s="25" t="s">
        <v>395</v>
      </c>
      <c r="B132" s="136" t="s">
        <v>192</v>
      </c>
      <c r="C132" s="33" t="s">
        <v>161</v>
      </c>
      <c r="D132" s="33" t="s">
        <v>181</v>
      </c>
      <c r="E132" s="33" t="s">
        <v>556</v>
      </c>
      <c r="F132" s="33" t="s">
        <v>432</v>
      </c>
      <c r="G132" s="156">
        <f t="shared" si="1"/>
        <v>0</v>
      </c>
      <c r="H132" s="156">
        <f t="shared" si="9"/>
        <v>0</v>
      </c>
      <c r="I132" s="156">
        <f t="shared" si="9"/>
        <v>0</v>
      </c>
    </row>
    <row r="133" spans="1:9" ht="13.5" hidden="1">
      <c r="A133" s="25" t="s">
        <v>213</v>
      </c>
      <c r="B133" s="136" t="s">
        <v>192</v>
      </c>
      <c r="C133" s="33" t="s">
        <v>161</v>
      </c>
      <c r="D133" s="33" t="s">
        <v>181</v>
      </c>
      <c r="E133" s="33" t="s">
        <v>556</v>
      </c>
      <c r="F133" s="33" t="s">
        <v>214</v>
      </c>
      <c r="G133" s="156">
        <f>H133+I133</f>
        <v>0</v>
      </c>
      <c r="H133" s="156">
        <f t="shared" si="9"/>
        <v>0</v>
      </c>
      <c r="I133" s="156">
        <f t="shared" si="9"/>
        <v>0</v>
      </c>
    </row>
    <row r="134" spans="1:9" ht="13.5" hidden="1">
      <c r="A134" s="25" t="s">
        <v>182</v>
      </c>
      <c r="B134" s="136" t="s">
        <v>192</v>
      </c>
      <c r="C134" s="33" t="s">
        <v>161</v>
      </c>
      <c r="D134" s="33" t="s">
        <v>181</v>
      </c>
      <c r="E134" s="33" t="s">
        <v>556</v>
      </c>
      <c r="F134" s="33" t="s">
        <v>396</v>
      </c>
      <c r="G134" s="156">
        <f>H134+I134</f>
        <v>0</v>
      </c>
      <c r="H134" s="156"/>
      <c r="I134" s="156">
        <v>0</v>
      </c>
    </row>
    <row r="135" spans="1:9" ht="41.25" hidden="1">
      <c r="A135" s="330" t="s">
        <v>397</v>
      </c>
      <c r="B135" s="136" t="s">
        <v>192</v>
      </c>
      <c r="C135" s="33" t="s">
        <v>161</v>
      </c>
      <c r="D135" s="33" t="s">
        <v>181</v>
      </c>
      <c r="E135" s="44" t="s">
        <v>338</v>
      </c>
      <c r="F135" s="44" t="s">
        <v>432</v>
      </c>
      <c r="G135" s="167">
        <f>H135+I135</f>
        <v>0</v>
      </c>
      <c r="H135" s="167">
        <f aca="true" t="shared" si="10" ref="H135:I138">H136</f>
        <v>0</v>
      </c>
      <c r="I135" s="167">
        <f t="shared" si="10"/>
        <v>0</v>
      </c>
    </row>
    <row r="136" spans="1:9" ht="43.5" customHeight="1" hidden="1">
      <c r="A136" s="37" t="s">
        <v>398</v>
      </c>
      <c r="B136" s="136" t="s">
        <v>192</v>
      </c>
      <c r="C136" s="33" t="s">
        <v>161</v>
      </c>
      <c r="D136" s="33" t="s">
        <v>181</v>
      </c>
      <c r="E136" s="33" t="s">
        <v>338</v>
      </c>
      <c r="F136" s="33" t="s">
        <v>432</v>
      </c>
      <c r="G136" s="156">
        <f aca="true" t="shared" si="11" ref="G136:G323">H136+I136</f>
        <v>0</v>
      </c>
      <c r="H136" s="156">
        <f>H137</f>
        <v>0</v>
      </c>
      <c r="I136" s="156">
        <f t="shared" si="10"/>
        <v>0</v>
      </c>
    </row>
    <row r="137" spans="1:9" ht="43.5" customHeight="1" hidden="1">
      <c r="A137" s="37" t="s">
        <v>400</v>
      </c>
      <c r="B137" s="136" t="s">
        <v>192</v>
      </c>
      <c r="C137" s="33" t="s">
        <v>161</v>
      </c>
      <c r="D137" s="33" t="s">
        <v>181</v>
      </c>
      <c r="E137" s="33" t="s">
        <v>28</v>
      </c>
      <c r="F137" s="33" t="s">
        <v>432</v>
      </c>
      <c r="G137" s="156">
        <f t="shared" si="11"/>
        <v>0</v>
      </c>
      <c r="H137" s="156">
        <f>H138</f>
        <v>0</v>
      </c>
      <c r="I137" s="156">
        <f t="shared" si="10"/>
        <v>0</v>
      </c>
    </row>
    <row r="138" spans="1:9" ht="31.5" customHeight="1" hidden="1">
      <c r="A138" s="37" t="s">
        <v>202</v>
      </c>
      <c r="B138" s="136" t="s">
        <v>192</v>
      </c>
      <c r="C138" s="33" t="s">
        <v>161</v>
      </c>
      <c r="D138" s="33" t="s">
        <v>181</v>
      </c>
      <c r="E138" s="33" t="s">
        <v>28</v>
      </c>
      <c r="F138" s="33" t="s">
        <v>170</v>
      </c>
      <c r="G138" s="156">
        <f t="shared" si="11"/>
        <v>0</v>
      </c>
      <c r="H138" s="156">
        <f>H139</f>
        <v>0</v>
      </c>
      <c r="I138" s="156">
        <f t="shared" si="10"/>
        <v>0</v>
      </c>
    </row>
    <row r="139" spans="1:9" ht="43.5" customHeight="1" hidden="1">
      <c r="A139" s="38" t="s">
        <v>203</v>
      </c>
      <c r="B139" s="136" t="s">
        <v>192</v>
      </c>
      <c r="C139" s="33" t="s">
        <v>161</v>
      </c>
      <c r="D139" s="33" t="s">
        <v>181</v>
      </c>
      <c r="E139" s="33" t="s">
        <v>28</v>
      </c>
      <c r="F139" s="33" t="s">
        <v>204</v>
      </c>
      <c r="G139" s="156">
        <f t="shared" si="11"/>
        <v>0</v>
      </c>
      <c r="H139" s="156">
        <v>0</v>
      </c>
      <c r="I139" s="156"/>
    </row>
    <row r="140" spans="1:9" ht="84.75" customHeight="1">
      <c r="A140" s="97" t="s">
        <v>813</v>
      </c>
      <c r="B140" s="136" t="s">
        <v>192</v>
      </c>
      <c r="C140" s="33" t="s">
        <v>161</v>
      </c>
      <c r="D140" s="33" t="s">
        <v>181</v>
      </c>
      <c r="E140" s="100" t="s">
        <v>797</v>
      </c>
      <c r="F140" s="33" t="s">
        <v>432</v>
      </c>
      <c r="G140" s="197">
        <f>H140+I140</f>
        <v>3106.391</v>
      </c>
      <c r="H140" s="168"/>
      <c r="I140" s="168">
        <f>I141</f>
        <v>3106.391</v>
      </c>
    </row>
    <row r="141" spans="1:9" ht="84.75" customHeight="1">
      <c r="A141" s="25" t="s">
        <v>199</v>
      </c>
      <c r="B141" s="30" t="s">
        <v>192</v>
      </c>
      <c r="C141" s="33" t="s">
        <v>161</v>
      </c>
      <c r="D141" s="33" t="s">
        <v>181</v>
      </c>
      <c r="E141" s="69" t="s">
        <v>797</v>
      </c>
      <c r="F141" s="33" t="s">
        <v>166</v>
      </c>
      <c r="G141" s="198">
        <f>H141+I141</f>
        <v>3106.391</v>
      </c>
      <c r="H141" s="156"/>
      <c r="I141" s="156">
        <f>I142</f>
        <v>3106.391</v>
      </c>
    </row>
    <row r="142" spans="1:9" ht="30.75" customHeight="1">
      <c r="A142" s="85" t="s">
        <v>201</v>
      </c>
      <c r="B142" s="30" t="s">
        <v>192</v>
      </c>
      <c r="C142" s="33" t="s">
        <v>161</v>
      </c>
      <c r="D142" s="33" t="s">
        <v>181</v>
      </c>
      <c r="E142" s="69" t="s">
        <v>797</v>
      </c>
      <c r="F142" s="33" t="s">
        <v>200</v>
      </c>
      <c r="G142" s="198">
        <f>H142+I142</f>
        <v>3106.391</v>
      </c>
      <c r="H142" s="156"/>
      <c r="I142" s="156">
        <v>3106.391</v>
      </c>
    </row>
    <row r="143" spans="1:9" ht="70.5" customHeight="1">
      <c r="A143" s="97" t="s">
        <v>814</v>
      </c>
      <c r="B143" s="136" t="s">
        <v>192</v>
      </c>
      <c r="C143" s="54" t="s">
        <v>161</v>
      </c>
      <c r="D143" s="54" t="s">
        <v>181</v>
      </c>
      <c r="E143" s="100" t="s">
        <v>798</v>
      </c>
      <c r="F143" s="54" t="s">
        <v>432</v>
      </c>
      <c r="G143" s="197">
        <f>H143</f>
        <v>918</v>
      </c>
      <c r="H143" s="168">
        <f>H144+H146</f>
        <v>918</v>
      </c>
      <c r="I143" s="168"/>
    </row>
    <row r="144" spans="1:9" ht="81.75" customHeight="1">
      <c r="A144" s="25" t="s">
        <v>199</v>
      </c>
      <c r="B144" s="30" t="s">
        <v>192</v>
      </c>
      <c r="C144" s="33" t="s">
        <v>161</v>
      </c>
      <c r="D144" s="33" t="s">
        <v>181</v>
      </c>
      <c r="E144" s="69" t="s">
        <v>798</v>
      </c>
      <c r="F144" s="33" t="s">
        <v>166</v>
      </c>
      <c r="G144" s="198">
        <f>H144</f>
        <v>268</v>
      </c>
      <c r="H144" s="156">
        <f>H145</f>
        <v>268</v>
      </c>
      <c r="I144" s="156"/>
    </row>
    <row r="145" spans="1:9" ht="30" customHeight="1">
      <c r="A145" s="85" t="s">
        <v>201</v>
      </c>
      <c r="B145" s="30" t="s">
        <v>192</v>
      </c>
      <c r="C145" s="33" t="s">
        <v>161</v>
      </c>
      <c r="D145" s="33" t="s">
        <v>181</v>
      </c>
      <c r="E145" s="69" t="s">
        <v>798</v>
      </c>
      <c r="F145" s="33" t="s">
        <v>200</v>
      </c>
      <c r="G145" s="198">
        <f>H145</f>
        <v>268</v>
      </c>
      <c r="H145" s="156">
        <v>268</v>
      </c>
      <c r="I145" s="156"/>
    </row>
    <row r="146" spans="1:9" ht="30.75" customHeight="1">
      <c r="A146" s="25" t="s">
        <v>202</v>
      </c>
      <c r="B146" s="30" t="s">
        <v>192</v>
      </c>
      <c r="C146" s="33" t="s">
        <v>161</v>
      </c>
      <c r="D146" s="33" t="s">
        <v>181</v>
      </c>
      <c r="E146" s="69" t="s">
        <v>798</v>
      </c>
      <c r="F146" s="69" t="s">
        <v>170</v>
      </c>
      <c r="G146" s="198">
        <f>H146</f>
        <v>650</v>
      </c>
      <c r="H146" s="156">
        <f>H147</f>
        <v>650</v>
      </c>
      <c r="I146" s="156"/>
    </row>
    <row r="147" spans="1:9" ht="42" customHeight="1">
      <c r="A147" s="85" t="s">
        <v>203</v>
      </c>
      <c r="B147" s="30" t="s">
        <v>192</v>
      </c>
      <c r="C147" s="33" t="s">
        <v>161</v>
      </c>
      <c r="D147" s="33" t="s">
        <v>181</v>
      </c>
      <c r="E147" s="69" t="s">
        <v>798</v>
      </c>
      <c r="F147" s="69" t="s">
        <v>204</v>
      </c>
      <c r="G147" s="198">
        <f>H147</f>
        <v>650</v>
      </c>
      <c r="H147" s="156">
        <f>768+150-268</f>
        <v>650</v>
      </c>
      <c r="I147" s="156"/>
    </row>
    <row r="148" spans="1:9" ht="82.5" customHeight="1">
      <c r="A148" s="97" t="s">
        <v>815</v>
      </c>
      <c r="B148" s="136" t="s">
        <v>192</v>
      </c>
      <c r="C148" s="54" t="s">
        <v>161</v>
      </c>
      <c r="D148" s="54" t="s">
        <v>181</v>
      </c>
      <c r="E148" s="100" t="s">
        <v>816</v>
      </c>
      <c r="F148" s="100" t="s">
        <v>432</v>
      </c>
      <c r="G148" s="197">
        <f aca="true" t="shared" si="12" ref="G148:G155">H148+I148</f>
        <v>646</v>
      </c>
      <c r="H148" s="168"/>
      <c r="I148" s="168">
        <f>I149</f>
        <v>646</v>
      </c>
    </row>
    <row r="149" spans="1:9" ht="33" customHeight="1">
      <c r="A149" s="25" t="s">
        <v>202</v>
      </c>
      <c r="B149" s="30" t="s">
        <v>192</v>
      </c>
      <c r="C149" s="33" t="s">
        <v>161</v>
      </c>
      <c r="D149" s="33" t="s">
        <v>181</v>
      </c>
      <c r="E149" s="69" t="s">
        <v>816</v>
      </c>
      <c r="F149" s="69" t="s">
        <v>170</v>
      </c>
      <c r="G149" s="198">
        <f t="shared" si="12"/>
        <v>646</v>
      </c>
      <c r="H149" s="156"/>
      <c r="I149" s="156">
        <f>I150</f>
        <v>646</v>
      </c>
    </row>
    <row r="150" spans="1:9" ht="41.25" customHeight="1">
      <c r="A150" s="85" t="s">
        <v>203</v>
      </c>
      <c r="B150" s="30" t="s">
        <v>192</v>
      </c>
      <c r="C150" s="33" t="s">
        <v>161</v>
      </c>
      <c r="D150" s="33" t="s">
        <v>181</v>
      </c>
      <c r="E150" s="69" t="s">
        <v>816</v>
      </c>
      <c r="F150" s="69" t="s">
        <v>204</v>
      </c>
      <c r="G150" s="198">
        <f t="shared" si="12"/>
        <v>646</v>
      </c>
      <c r="H150" s="156"/>
      <c r="I150" s="156">
        <v>646</v>
      </c>
    </row>
    <row r="151" spans="1:9" ht="33" customHeight="1">
      <c r="A151" s="330" t="s">
        <v>397</v>
      </c>
      <c r="B151" s="43">
        <v>951</v>
      </c>
      <c r="C151" s="44" t="s">
        <v>168</v>
      </c>
      <c r="D151" s="44" t="s">
        <v>162</v>
      </c>
      <c r="E151" s="44" t="s">
        <v>338</v>
      </c>
      <c r="F151" s="44" t="s">
        <v>432</v>
      </c>
      <c r="G151" s="331">
        <f t="shared" si="12"/>
        <v>78.602</v>
      </c>
      <c r="H151" s="332">
        <f aca="true" t="shared" si="13" ref="H151:I154">H152</f>
        <v>78.602</v>
      </c>
      <c r="I151" s="332">
        <f t="shared" si="13"/>
        <v>0</v>
      </c>
    </row>
    <row r="152" spans="1:9" ht="43.5" customHeight="1">
      <c r="A152" s="37" t="s">
        <v>398</v>
      </c>
      <c r="B152" s="36">
        <v>951</v>
      </c>
      <c r="C152" s="33" t="s">
        <v>168</v>
      </c>
      <c r="D152" s="33" t="s">
        <v>399</v>
      </c>
      <c r="E152" s="33" t="s">
        <v>338</v>
      </c>
      <c r="F152" s="33" t="s">
        <v>432</v>
      </c>
      <c r="G152" s="232">
        <f t="shared" si="12"/>
        <v>78.602</v>
      </c>
      <c r="H152" s="233">
        <f>H153</f>
        <v>78.602</v>
      </c>
      <c r="I152" s="233">
        <f t="shared" si="13"/>
        <v>0</v>
      </c>
    </row>
    <row r="153" spans="1:9" ht="58.5" customHeight="1">
      <c r="A153" s="37" t="s">
        <v>830</v>
      </c>
      <c r="B153" s="36">
        <v>951</v>
      </c>
      <c r="C153" s="33" t="s">
        <v>168</v>
      </c>
      <c r="D153" s="33" t="s">
        <v>399</v>
      </c>
      <c r="E153" s="33" t="s">
        <v>831</v>
      </c>
      <c r="F153" s="33" t="s">
        <v>432</v>
      </c>
      <c r="G153" s="232">
        <f t="shared" si="12"/>
        <v>78.602</v>
      </c>
      <c r="H153" s="233">
        <f>H154</f>
        <v>78.602</v>
      </c>
      <c r="I153" s="233">
        <f t="shared" si="13"/>
        <v>0</v>
      </c>
    </row>
    <row r="154" spans="1:9" ht="34.5" customHeight="1">
      <c r="A154" s="37" t="s">
        <v>202</v>
      </c>
      <c r="B154" s="36">
        <v>951</v>
      </c>
      <c r="C154" s="33" t="s">
        <v>168</v>
      </c>
      <c r="D154" s="33" t="s">
        <v>399</v>
      </c>
      <c r="E154" s="33" t="s">
        <v>831</v>
      </c>
      <c r="F154" s="33" t="s">
        <v>170</v>
      </c>
      <c r="G154" s="232">
        <f t="shared" si="12"/>
        <v>78.602</v>
      </c>
      <c r="H154" s="233">
        <f>H155</f>
        <v>78.602</v>
      </c>
      <c r="I154" s="233">
        <f t="shared" si="13"/>
        <v>0</v>
      </c>
    </row>
    <row r="155" spans="1:9" ht="43.5" customHeight="1">
      <c r="A155" s="38" t="s">
        <v>203</v>
      </c>
      <c r="B155" s="36">
        <v>951</v>
      </c>
      <c r="C155" s="33" t="s">
        <v>168</v>
      </c>
      <c r="D155" s="33" t="s">
        <v>399</v>
      </c>
      <c r="E155" s="33" t="s">
        <v>831</v>
      </c>
      <c r="F155" s="33" t="s">
        <v>204</v>
      </c>
      <c r="G155" s="232">
        <f t="shared" si="12"/>
        <v>78.602</v>
      </c>
      <c r="H155" s="233">
        <v>78.602</v>
      </c>
      <c r="I155" s="233"/>
    </row>
    <row r="156" spans="1:9" ht="13.5">
      <c r="A156" s="42" t="s">
        <v>401</v>
      </c>
      <c r="B156" s="43">
        <v>951</v>
      </c>
      <c r="C156" s="44" t="s">
        <v>172</v>
      </c>
      <c r="D156" s="44" t="s">
        <v>162</v>
      </c>
      <c r="E156" s="44" t="s">
        <v>338</v>
      </c>
      <c r="F156" s="44" t="s">
        <v>432</v>
      </c>
      <c r="G156" s="206">
        <f>I156+H156</f>
        <v>25440.03601</v>
      </c>
      <c r="H156" s="167">
        <f>H161+H172+H193+H157</f>
        <v>22163.62501</v>
      </c>
      <c r="I156" s="167">
        <f>I161+I172+I193+I157+I198</f>
        <v>3276.411</v>
      </c>
    </row>
    <row r="157" spans="1:9" ht="13.5">
      <c r="A157" s="37" t="s">
        <v>257</v>
      </c>
      <c r="B157" s="41" t="s">
        <v>192</v>
      </c>
      <c r="C157" s="33" t="s">
        <v>172</v>
      </c>
      <c r="D157" s="33" t="s">
        <v>411</v>
      </c>
      <c r="E157" s="33" t="s">
        <v>338</v>
      </c>
      <c r="F157" s="33" t="s">
        <v>432</v>
      </c>
      <c r="G157" s="156">
        <f t="shared" si="11"/>
        <v>273.188</v>
      </c>
      <c r="H157" s="156"/>
      <c r="I157" s="156">
        <f>I158</f>
        <v>273.188</v>
      </c>
    </row>
    <row r="158" spans="1:9" ht="82.5">
      <c r="A158" s="37" t="s">
        <v>760</v>
      </c>
      <c r="B158" s="41" t="s">
        <v>192</v>
      </c>
      <c r="C158" s="33" t="s">
        <v>172</v>
      </c>
      <c r="D158" s="33" t="s">
        <v>411</v>
      </c>
      <c r="E158" s="33" t="s">
        <v>48</v>
      </c>
      <c r="F158" s="33" t="s">
        <v>432</v>
      </c>
      <c r="G158" s="156">
        <f t="shared" si="11"/>
        <v>273.188</v>
      </c>
      <c r="H158" s="156"/>
      <c r="I158" s="156">
        <f>I159</f>
        <v>273.188</v>
      </c>
    </row>
    <row r="159" spans="1:9" ht="30" customHeight="1">
      <c r="A159" s="37" t="s">
        <v>202</v>
      </c>
      <c r="B159" s="41" t="s">
        <v>192</v>
      </c>
      <c r="C159" s="33" t="s">
        <v>172</v>
      </c>
      <c r="D159" s="33" t="s">
        <v>411</v>
      </c>
      <c r="E159" s="33" t="s">
        <v>48</v>
      </c>
      <c r="F159" s="33" t="s">
        <v>170</v>
      </c>
      <c r="G159" s="156">
        <f t="shared" si="11"/>
        <v>273.188</v>
      </c>
      <c r="H159" s="156"/>
      <c r="I159" s="156">
        <f>I160</f>
        <v>273.188</v>
      </c>
    </row>
    <row r="160" spans="1:9" ht="45" customHeight="1">
      <c r="A160" s="38" t="s">
        <v>203</v>
      </c>
      <c r="B160" s="41" t="s">
        <v>192</v>
      </c>
      <c r="C160" s="33" t="s">
        <v>172</v>
      </c>
      <c r="D160" s="33" t="s">
        <v>411</v>
      </c>
      <c r="E160" s="33" t="s">
        <v>48</v>
      </c>
      <c r="F160" s="33" t="s">
        <v>204</v>
      </c>
      <c r="G160" s="156">
        <f t="shared" si="11"/>
        <v>273.188</v>
      </c>
      <c r="H160" s="156"/>
      <c r="I160" s="156">
        <v>273.188</v>
      </c>
    </row>
    <row r="161" spans="1:9" ht="13.5">
      <c r="A161" s="37" t="s">
        <v>439</v>
      </c>
      <c r="B161" s="41">
        <v>951</v>
      </c>
      <c r="C161" s="33" t="s">
        <v>172</v>
      </c>
      <c r="D161" s="33" t="s">
        <v>402</v>
      </c>
      <c r="E161" s="33" t="s">
        <v>338</v>
      </c>
      <c r="F161" s="33" t="s">
        <v>432</v>
      </c>
      <c r="G161" s="156">
        <f t="shared" si="11"/>
        <v>1911.7439</v>
      </c>
      <c r="H161" s="156">
        <f>H162</f>
        <v>1908.5209</v>
      </c>
      <c r="I161" s="156">
        <f>I163+I169</f>
        <v>3.223</v>
      </c>
    </row>
    <row r="162" spans="1:9" ht="87.75" customHeight="1">
      <c r="A162" s="96" t="s">
        <v>515</v>
      </c>
      <c r="B162" s="53" t="s">
        <v>192</v>
      </c>
      <c r="C162" s="54" t="s">
        <v>172</v>
      </c>
      <c r="D162" s="54" t="s">
        <v>402</v>
      </c>
      <c r="E162" s="54" t="s">
        <v>338</v>
      </c>
      <c r="F162" s="54" t="s">
        <v>432</v>
      </c>
      <c r="G162" s="168">
        <f t="shared" si="11"/>
        <v>1908.5209</v>
      </c>
      <c r="H162" s="168">
        <f>H163+H167</f>
        <v>1908.5209</v>
      </c>
      <c r="I162" s="168"/>
    </row>
    <row r="163" spans="1:9" ht="13.5">
      <c r="A163" s="37" t="s">
        <v>440</v>
      </c>
      <c r="B163" s="41">
        <v>951</v>
      </c>
      <c r="C163" s="33" t="s">
        <v>172</v>
      </c>
      <c r="D163" s="33" t="s">
        <v>402</v>
      </c>
      <c r="E163" s="69" t="s">
        <v>516</v>
      </c>
      <c r="F163" s="33" t="s">
        <v>432</v>
      </c>
      <c r="G163" s="156">
        <f t="shared" si="11"/>
        <v>1605.6</v>
      </c>
      <c r="H163" s="156">
        <f aca="true" t="shared" si="14" ref="H163:I165">H164</f>
        <v>1605.6</v>
      </c>
      <c r="I163" s="156">
        <f t="shared" si="14"/>
        <v>0</v>
      </c>
    </row>
    <row r="164" spans="1:9" ht="30.75" customHeight="1">
      <c r="A164" s="37" t="s">
        <v>441</v>
      </c>
      <c r="B164" s="41">
        <v>951</v>
      </c>
      <c r="C164" s="33" t="s">
        <v>172</v>
      </c>
      <c r="D164" s="33" t="s">
        <v>402</v>
      </c>
      <c r="E164" s="69" t="s">
        <v>516</v>
      </c>
      <c r="F164" s="33" t="s">
        <v>432</v>
      </c>
      <c r="G164" s="156">
        <f t="shared" si="11"/>
        <v>1605.6</v>
      </c>
      <c r="H164" s="156">
        <f t="shared" si="14"/>
        <v>1605.6</v>
      </c>
      <c r="I164" s="156">
        <f t="shared" si="14"/>
        <v>0</v>
      </c>
    </row>
    <row r="165" spans="1:9" ht="13.5">
      <c r="A165" s="37" t="s">
        <v>207</v>
      </c>
      <c r="B165" s="41">
        <v>951</v>
      </c>
      <c r="C165" s="33" t="s">
        <v>172</v>
      </c>
      <c r="D165" s="33" t="s">
        <v>402</v>
      </c>
      <c r="E165" s="69" t="s">
        <v>516</v>
      </c>
      <c r="F165" s="33" t="s">
        <v>208</v>
      </c>
      <c r="G165" s="156">
        <f t="shared" si="11"/>
        <v>1605.6</v>
      </c>
      <c r="H165" s="156">
        <f t="shared" si="14"/>
        <v>1605.6</v>
      </c>
      <c r="I165" s="156">
        <f t="shared" si="14"/>
        <v>0</v>
      </c>
    </row>
    <row r="166" spans="1:9" ht="48.75" customHeight="1">
      <c r="A166" s="37" t="s">
        <v>755</v>
      </c>
      <c r="B166" s="41">
        <v>951</v>
      </c>
      <c r="C166" s="33" t="s">
        <v>172</v>
      </c>
      <c r="D166" s="33" t="s">
        <v>402</v>
      </c>
      <c r="E166" s="69" t="s">
        <v>516</v>
      </c>
      <c r="F166" s="33" t="s">
        <v>481</v>
      </c>
      <c r="G166" s="156">
        <f t="shared" si="11"/>
        <v>1605.6</v>
      </c>
      <c r="H166" s="156">
        <f>1955+39.3-100-270-18.7</f>
        <v>1605.6</v>
      </c>
      <c r="I166" s="156"/>
    </row>
    <row r="167" spans="1:9" ht="17.25" customHeight="1">
      <c r="A167" s="85" t="s">
        <v>213</v>
      </c>
      <c r="B167" s="41" t="s">
        <v>192</v>
      </c>
      <c r="C167" s="33" t="s">
        <v>172</v>
      </c>
      <c r="D167" s="33" t="s">
        <v>402</v>
      </c>
      <c r="E167" s="69" t="s">
        <v>723</v>
      </c>
      <c r="F167" s="33" t="s">
        <v>214</v>
      </c>
      <c r="G167" s="198">
        <f>H167+I167</f>
        <v>302.92089999999996</v>
      </c>
      <c r="H167" s="156">
        <f>H168</f>
        <v>302.92089999999996</v>
      </c>
      <c r="I167" s="156"/>
    </row>
    <row r="168" spans="1:9" ht="18.75" customHeight="1">
      <c r="A168" s="85" t="s">
        <v>320</v>
      </c>
      <c r="B168" s="41" t="s">
        <v>192</v>
      </c>
      <c r="C168" s="33" t="s">
        <v>172</v>
      </c>
      <c r="D168" s="33" t="s">
        <v>402</v>
      </c>
      <c r="E168" s="69" t="s">
        <v>723</v>
      </c>
      <c r="F168" s="33" t="s">
        <v>478</v>
      </c>
      <c r="G168" s="198">
        <f>H168+I168</f>
        <v>302.92089999999996</v>
      </c>
      <c r="H168" s="156">
        <f>345-39.3-2.7791</f>
        <v>302.92089999999996</v>
      </c>
      <c r="I168" s="156"/>
    </row>
    <row r="169" spans="1:9" ht="111.75" customHeight="1">
      <c r="A169" s="97" t="s">
        <v>598</v>
      </c>
      <c r="B169" s="136" t="s">
        <v>192</v>
      </c>
      <c r="C169" s="100" t="s">
        <v>172</v>
      </c>
      <c r="D169" s="100" t="s">
        <v>402</v>
      </c>
      <c r="E169" s="100" t="s">
        <v>338</v>
      </c>
      <c r="F169" s="100" t="s">
        <v>432</v>
      </c>
      <c r="G169" s="197">
        <f>H169+I169</f>
        <v>3.223</v>
      </c>
      <c r="H169" s="168"/>
      <c r="I169" s="168">
        <f>I170</f>
        <v>3.223</v>
      </c>
    </row>
    <row r="170" spans="1:9" ht="33" customHeight="1">
      <c r="A170" s="25" t="s">
        <v>202</v>
      </c>
      <c r="B170" s="30" t="s">
        <v>192</v>
      </c>
      <c r="C170" s="69" t="s">
        <v>172</v>
      </c>
      <c r="D170" s="69" t="s">
        <v>402</v>
      </c>
      <c r="E170" s="69" t="s">
        <v>599</v>
      </c>
      <c r="F170" s="69" t="s">
        <v>170</v>
      </c>
      <c r="G170" s="198">
        <f>H170+I170</f>
        <v>3.223</v>
      </c>
      <c r="H170" s="156"/>
      <c r="I170" s="156">
        <f>I171</f>
        <v>3.223</v>
      </c>
    </row>
    <row r="171" spans="1:9" ht="33" customHeight="1">
      <c r="A171" s="85" t="s">
        <v>203</v>
      </c>
      <c r="B171" s="30" t="s">
        <v>192</v>
      </c>
      <c r="C171" s="69" t="s">
        <v>172</v>
      </c>
      <c r="D171" s="69" t="s">
        <v>402</v>
      </c>
      <c r="E171" s="69" t="s">
        <v>599</v>
      </c>
      <c r="F171" s="69" t="s">
        <v>204</v>
      </c>
      <c r="G171" s="198">
        <f>H171+I171</f>
        <v>3.223</v>
      </c>
      <c r="H171" s="156"/>
      <c r="I171" s="156">
        <v>3.223</v>
      </c>
    </row>
    <row r="172" spans="1:9" ht="17.25" customHeight="1">
      <c r="A172" s="52" t="s">
        <v>403</v>
      </c>
      <c r="B172" s="53">
        <v>951</v>
      </c>
      <c r="C172" s="54" t="s">
        <v>172</v>
      </c>
      <c r="D172" s="54" t="s">
        <v>399</v>
      </c>
      <c r="E172" s="54" t="s">
        <v>338</v>
      </c>
      <c r="F172" s="54" t="s">
        <v>432</v>
      </c>
      <c r="G172" s="168">
        <f t="shared" si="11"/>
        <v>23255.10411</v>
      </c>
      <c r="H172" s="168">
        <f>H173+H186</f>
        <v>20255.10411</v>
      </c>
      <c r="I172" s="168">
        <f>I173</f>
        <v>3000</v>
      </c>
    </row>
    <row r="173" spans="1:9" ht="87" customHeight="1">
      <c r="A173" s="96" t="s">
        <v>515</v>
      </c>
      <c r="B173" s="53" t="s">
        <v>192</v>
      </c>
      <c r="C173" s="54" t="s">
        <v>172</v>
      </c>
      <c r="D173" s="54" t="s">
        <v>399</v>
      </c>
      <c r="E173" s="54" t="s">
        <v>338</v>
      </c>
      <c r="F173" s="54" t="s">
        <v>432</v>
      </c>
      <c r="G173" s="168">
        <f t="shared" si="11"/>
        <v>23174.40411</v>
      </c>
      <c r="H173" s="168">
        <f>H174+H177+H181</f>
        <v>20174.40411</v>
      </c>
      <c r="I173" s="168">
        <f>I174+I181</f>
        <v>3000</v>
      </c>
    </row>
    <row r="174" spans="1:9" ht="33" customHeight="1">
      <c r="A174" s="37" t="s">
        <v>404</v>
      </c>
      <c r="B174" s="41">
        <v>951</v>
      </c>
      <c r="C174" s="33" t="s">
        <v>172</v>
      </c>
      <c r="D174" s="33" t="s">
        <v>399</v>
      </c>
      <c r="E174" s="69" t="s">
        <v>518</v>
      </c>
      <c r="F174" s="33" t="s">
        <v>432</v>
      </c>
      <c r="G174" s="156">
        <f t="shared" si="11"/>
        <v>10432.247080000001</v>
      </c>
      <c r="H174" s="156">
        <f>H175</f>
        <v>10432.247080000001</v>
      </c>
      <c r="I174" s="156">
        <f>I175</f>
        <v>0</v>
      </c>
    </row>
    <row r="175" spans="1:9" ht="33" customHeight="1">
      <c r="A175" s="37" t="s">
        <v>202</v>
      </c>
      <c r="B175" s="41">
        <v>951</v>
      </c>
      <c r="C175" s="33" t="s">
        <v>172</v>
      </c>
      <c r="D175" s="33" t="s">
        <v>399</v>
      </c>
      <c r="E175" s="69" t="s">
        <v>518</v>
      </c>
      <c r="F175" s="33" t="s">
        <v>170</v>
      </c>
      <c r="G175" s="156">
        <f t="shared" si="11"/>
        <v>10432.247080000001</v>
      </c>
      <c r="H175" s="156">
        <f>H176</f>
        <v>10432.247080000001</v>
      </c>
      <c r="I175" s="156">
        <f>I176</f>
        <v>0</v>
      </c>
    </row>
    <row r="176" spans="1:9" ht="41.25" customHeight="1">
      <c r="A176" s="85" t="s">
        <v>203</v>
      </c>
      <c r="B176" s="30">
        <v>951</v>
      </c>
      <c r="C176" s="69" t="s">
        <v>172</v>
      </c>
      <c r="D176" s="69" t="s">
        <v>399</v>
      </c>
      <c r="E176" s="69" t="s">
        <v>518</v>
      </c>
      <c r="F176" s="69" t="s">
        <v>204</v>
      </c>
      <c r="G176" s="156">
        <f t="shared" si="11"/>
        <v>10432.247080000001</v>
      </c>
      <c r="H176" s="156">
        <f>5099.946+5646.60411-30.30303-284</f>
        <v>10432.247080000001</v>
      </c>
      <c r="I176" s="156"/>
    </row>
    <row r="177" spans="1:9" ht="13.5">
      <c r="A177" s="85" t="s">
        <v>213</v>
      </c>
      <c r="B177" s="30">
        <v>951</v>
      </c>
      <c r="C177" s="69" t="s">
        <v>172</v>
      </c>
      <c r="D177" s="69" t="s">
        <v>399</v>
      </c>
      <c r="E177" s="69" t="s">
        <v>517</v>
      </c>
      <c r="F177" s="69" t="s">
        <v>214</v>
      </c>
      <c r="G177" s="156">
        <f t="shared" si="11"/>
        <v>9711.854</v>
      </c>
      <c r="H177" s="156">
        <f>H178+H179+H180</f>
        <v>9711.854</v>
      </c>
      <c r="I177" s="156"/>
    </row>
    <row r="178" spans="1:9" ht="13.5">
      <c r="A178" s="85" t="s">
        <v>320</v>
      </c>
      <c r="B178" s="30">
        <v>951</v>
      </c>
      <c r="C178" s="69" t="s">
        <v>172</v>
      </c>
      <c r="D178" s="69" t="s">
        <v>399</v>
      </c>
      <c r="E178" s="69" t="s">
        <v>517</v>
      </c>
      <c r="F178" s="69" t="s">
        <v>478</v>
      </c>
      <c r="G178" s="156">
        <f t="shared" si="11"/>
        <v>9711.854</v>
      </c>
      <c r="H178" s="156">
        <f>9330.054+901.8-520</f>
        <v>9711.854</v>
      </c>
      <c r="I178" s="156"/>
    </row>
    <row r="179" spans="1:9" ht="82.5" hidden="1">
      <c r="A179" s="85" t="s">
        <v>539</v>
      </c>
      <c r="B179" s="30">
        <v>952</v>
      </c>
      <c r="C179" s="69" t="s">
        <v>172</v>
      </c>
      <c r="D179" s="69" t="s">
        <v>399</v>
      </c>
      <c r="E179" s="69" t="s">
        <v>540</v>
      </c>
      <c r="F179" s="69" t="s">
        <v>478</v>
      </c>
      <c r="G179" s="156">
        <f>H179</f>
        <v>0</v>
      </c>
      <c r="H179" s="156"/>
      <c r="I179" s="156"/>
    </row>
    <row r="180" spans="1:9" ht="82.5" hidden="1">
      <c r="A180" s="85" t="s">
        <v>543</v>
      </c>
      <c r="B180" s="30">
        <v>953</v>
      </c>
      <c r="C180" s="69" t="s">
        <v>172</v>
      </c>
      <c r="D180" s="69" t="s">
        <v>399</v>
      </c>
      <c r="E180" s="69" t="s">
        <v>540</v>
      </c>
      <c r="F180" s="69" t="s">
        <v>478</v>
      </c>
      <c r="G180" s="156">
        <f>H180</f>
        <v>0</v>
      </c>
      <c r="H180" s="156"/>
      <c r="I180" s="156"/>
    </row>
    <row r="181" spans="1:9" ht="29.25" customHeight="1">
      <c r="A181" s="97" t="s">
        <v>769</v>
      </c>
      <c r="B181" s="136">
        <v>951</v>
      </c>
      <c r="C181" s="100" t="s">
        <v>172</v>
      </c>
      <c r="D181" s="100" t="s">
        <v>399</v>
      </c>
      <c r="E181" s="100" t="s">
        <v>494</v>
      </c>
      <c r="F181" s="100" t="s">
        <v>432</v>
      </c>
      <c r="G181" s="197">
        <f>H181+I181</f>
        <v>3030.30303</v>
      </c>
      <c r="H181" s="168">
        <f>H183+H185</f>
        <v>30.30303</v>
      </c>
      <c r="I181" s="168">
        <f>I183+I185</f>
        <v>3000</v>
      </c>
    </row>
    <row r="182" spans="1:9" ht="29.25" customHeight="1">
      <c r="A182" s="25" t="s">
        <v>202</v>
      </c>
      <c r="B182" s="30">
        <v>951</v>
      </c>
      <c r="C182" s="69" t="s">
        <v>172</v>
      </c>
      <c r="D182" s="69" t="s">
        <v>399</v>
      </c>
      <c r="E182" s="69" t="s">
        <v>763</v>
      </c>
      <c r="F182" s="69" t="s">
        <v>170</v>
      </c>
      <c r="G182" s="198">
        <f>I182</f>
        <v>3000</v>
      </c>
      <c r="H182" s="156"/>
      <c r="I182" s="156">
        <f>I183</f>
        <v>3000</v>
      </c>
    </row>
    <row r="183" spans="1:9" ht="41.25">
      <c r="A183" s="85" t="s">
        <v>203</v>
      </c>
      <c r="B183" s="30">
        <v>951</v>
      </c>
      <c r="C183" s="69" t="s">
        <v>172</v>
      </c>
      <c r="D183" s="69" t="s">
        <v>399</v>
      </c>
      <c r="E183" s="69" t="s">
        <v>763</v>
      </c>
      <c r="F183" s="69" t="s">
        <v>204</v>
      </c>
      <c r="G183" s="198">
        <f>H183+I183</f>
        <v>3000</v>
      </c>
      <c r="H183" s="156"/>
      <c r="I183" s="156">
        <v>3000</v>
      </c>
    </row>
    <row r="184" spans="1:9" ht="27">
      <c r="A184" s="25" t="s">
        <v>202</v>
      </c>
      <c r="B184" s="30">
        <v>951</v>
      </c>
      <c r="C184" s="69" t="s">
        <v>172</v>
      </c>
      <c r="D184" s="69" t="s">
        <v>399</v>
      </c>
      <c r="E184" s="69" t="s">
        <v>788</v>
      </c>
      <c r="F184" s="69" t="s">
        <v>170</v>
      </c>
      <c r="G184" s="198">
        <f>H184</f>
        <v>30.30303</v>
      </c>
      <c r="H184" s="156">
        <f>H185</f>
        <v>30.30303</v>
      </c>
      <c r="I184" s="156"/>
    </row>
    <row r="185" spans="1:9" ht="41.25">
      <c r="A185" s="85" t="s">
        <v>203</v>
      </c>
      <c r="B185" s="30">
        <v>951</v>
      </c>
      <c r="C185" s="69" t="s">
        <v>172</v>
      </c>
      <c r="D185" s="69" t="s">
        <v>399</v>
      </c>
      <c r="E185" s="69" t="s">
        <v>788</v>
      </c>
      <c r="F185" s="69" t="s">
        <v>204</v>
      </c>
      <c r="G185" s="198">
        <f>H185</f>
        <v>30.30303</v>
      </c>
      <c r="H185" s="156">
        <v>30.30303</v>
      </c>
      <c r="I185" s="228"/>
    </row>
    <row r="186" spans="1:9" ht="30.75" customHeight="1">
      <c r="A186" s="97" t="s">
        <v>164</v>
      </c>
      <c r="B186" s="53" t="s">
        <v>192</v>
      </c>
      <c r="C186" s="54" t="s">
        <v>172</v>
      </c>
      <c r="D186" s="54" t="s">
        <v>399</v>
      </c>
      <c r="E186" s="100" t="s">
        <v>16</v>
      </c>
      <c r="F186" s="100" t="s">
        <v>432</v>
      </c>
      <c r="G186" s="168">
        <f t="shared" si="11"/>
        <v>80.7</v>
      </c>
      <c r="H186" s="168">
        <f>H187</f>
        <v>80.7</v>
      </c>
      <c r="I186" s="168"/>
    </row>
    <row r="187" spans="1:9" ht="31.5" customHeight="1">
      <c r="A187" s="85" t="s">
        <v>165</v>
      </c>
      <c r="B187" s="41" t="s">
        <v>192</v>
      </c>
      <c r="C187" s="33" t="s">
        <v>172</v>
      </c>
      <c r="D187" s="33" t="s">
        <v>399</v>
      </c>
      <c r="E187" s="69" t="s">
        <v>17</v>
      </c>
      <c r="F187" s="69" t="s">
        <v>432</v>
      </c>
      <c r="G187" s="156">
        <f t="shared" si="11"/>
        <v>80.7</v>
      </c>
      <c r="H187" s="156">
        <f>H188</f>
        <v>80.7</v>
      </c>
      <c r="I187" s="156"/>
    </row>
    <row r="188" spans="1:9" ht="19.5" customHeight="1">
      <c r="A188" s="25" t="s">
        <v>600</v>
      </c>
      <c r="B188" s="41" t="s">
        <v>192</v>
      </c>
      <c r="C188" s="33" t="s">
        <v>172</v>
      </c>
      <c r="D188" s="33" t="s">
        <v>399</v>
      </c>
      <c r="E188" s="30" t="s">
        <v>601</v>
      </c>
      <c r="F188" s="69" t="s">
        <v>432</v>
      </c>
      <c r="G188" s="156">
        <f t="shared" si="11"/>
        <v>80.7</v>
      </c>
      <c r="H188" s="156">
        <f>H189+H191</f>
        <v>80.7</v>
      </c>
      <c r="I188" s="156"/>
    </row>
    <row r="189" spans="1:9" ht="30.75" customHeight="1" hidden="1">
      <c r="A189" s="25" t="s">
        <v>202</v>
      </c>
      <c r="B189" s="41" t="s">
        <v>192</v>
      </c>
      <c r="C189" s="33" t="s">
        <v>172</v>
      </c>
      <c r="D189" s="33" t="s">
        <v>399</v>
      </c>
      <c r="E189" s="30" t="s">
        <v>601</v>
      </c>
      <c r="F189" s="69" t="s">
        <v>170</v>
      </c>
      <c r="G189" s="156">
        <f t="shared" si="11"/>
        <v>0</v>
      </c>
      <c r="H189" s="156">
        <f>H190</f>
        <v>0</v>
      </c>
      <c r="I189" s="156"/>
    </row>
    <row r="190" spans="1:9" ht="45" customHeight="1" hidden="1">
      <c r="A190" s="85" t="s">
        <v>203</v>
      </c>
      <c r="B190" s="41" t="s">
        <v>192</v>
      </c>
      <c r="C190" s="33" t="s">
        <v>172</v>
      </c>
      <c r="D190" s="33" t="s">
        <v>399</v>
      </c>
      <c r="E190" s="30" t="s">
        <v>601</v>
      </c>
      <c r="F190" s="69" t="s">
        <v>204</v>
      </c>
      <c r="G190" s="156">
        <f t="shared" si="11"/>
        <v>0</v>
      </c>
      <c r="H190" s="156">
        <v>0</v>
      </c>
      <c r="I190" s="156"/>
    </row>
    <row r="191" spans="1:9" ht="18" customHeight="1">
      <c r="A191" s="37" t="s">
        <v>207</v>
      </c>
      <c r="B191" s="41" t="s">
        <v>192</v>
      </c>
      <c r="C191" s="33" t="s">
        <v>172</v>
      </c>
      <c r="D191" s="33" t="s">
        <v>399</v>
      </c>
      <c r="E191" s="30" t="s">
        <v>601</v>
      </c>
      <c r="F191" s="33" t="s">
        <v>208</v>
      </c>
      <c r="G191" s="156">
        <f t="shared" si="11"/>
        <v>80.7</v>
      </c>
      <c r="H191" s="156">
        <f>H192</f>
        <v>80.7</v>
      </c>
      <c r="I191" s="156"/>
    </row>
    <row r="192" spans="1:9" ht="15" customHeight="1">
      <c r="A192" s="83" t="s">
        <v>205</v>
      </c>
      <c r="B192" s="41" t="s">
        <v>192</v>
      </c>
      <c r="C192" s="33" t="s">
        <v>172</v>
      </c>
      <c r="D192" s="33" t="s">
        <v>399</v>
      </c>
      <c r="E192" s="30" t="s">
        <v>601</v>
      </c>
      <c r="F192" s="33" t="s">
        <v>206</v>
      </c>
      <c r="G192" s="156">
        <f t="shared" si="11"/>
        <v>80.7</v>
      </c>
      <c r="H192" s="156">
        <f>60.7+20</f>
        <v>80.7</v>
      </c>
      <c r="I192" s="156"/>
    </row>
    <row r="193" spans="1:9" ht="27" hidden="1">
      <c r="A193" s="37" t="s">
        <v>382</v>
      </c>
      <c r="B193" s="36">
        <v>951</v>
      </c>
      <c r="C193" s="33" t="s">
        <v>172</v>
      </c>
      <c r="D193" s="33" t="s">
        <v>405</v>
      </c>
      <c r="E193" s="33" t="s">
        <v>338</v>
      </c>
      <c r="F193" s="33" t="s">
        <v>432</v>
      </c>
      <c r="G193" s="156">
        <f t="shared" si="11"/>
        <v>0</v>
      </c>
      <c r="H193" s="177">
        <f>H194</f>
        <v>0</v>
      </c>
      <c r="I193" s="177">
        <f>I194</f>
        <v>0</v>
      </c>
    </row>
    <row r="194" spans="1:9" ht="43.5" customHeight="1" hidden="1">
      <c r="A194" s="52" t="s">
        <v>491</v>
      </c>
      <c r="B194" s="36">
        <v>951</v>
      </c>
      <c r="C194" s="33" t="s">
        <v>172</v>
      </c>
      <c r="D194" s="33" t="s">
        <v>405</v>
      </c>
      <c r="E194" s="100" t="s">
        <v>492</v>
      </c>
      <c r="F194" s="33" t="s">
        <v>432</v>
      </c>
      <c r="G194" s="156">
        <f t="shared" si="11"/>
        <v>0</v>
      </c>
      <c r="H194" s="177">
        <f aca="true" t="shared" si="15" ref="H194:I196">H195</f>
        <v>0</v>
      </c>
      <c r="I194" s="177">
        <f t="shared" si="15"/>
        <v>0</v>
      </c>
    </row>
    <row r="195" spans="1:9" ht="99" customHeight="1" hidden="1">
      <c r="A195" s="37" t="s">
        <v>407</v>
      </c>
      <c r="B195" s="36">
        <v>951</v>
      </c>
      <c r="C195" s="33" t="s">
        <v>172</v>
      </c>
      <c r="D195" s="33" t="s">
        <v>405</v>
      </c>
      <c r="E195" s="69" t="s">
        <v>493</v>
      </c>
      <c r="F195" s="33" t="s">
        <v>432</v>
      </c>
      <c r="G195" s="156">
        <f t="shared" si="11"/>
        <v>0</v>
      </c>
      <c r="H195" s="177">
        <f t="shared" si="15"/>
        <v>0</v>
      </c>
      <c r="I195" s="177">
        <f t="shared" si="15"/>
        <v>0</v>
      </c>
    </row>
    <row r="196" spans="1:9" ht="16.5" customHeight="1" hidden="1">
      <c r="A196" s="37" t="s">
        <v>207</v>
      </c>
      <c r="B196" s="36">
        <v>951</v>
      </c>
      <c r="C196" s="33" t="s">
        <v>172</v>
      </c>
      <c r="D196" s="33" t="s">
        <v>405</v>
      </c>
      <c r="E196" s="69" t="s">
        <v>493</v>
      </c>
      <c r="F196" s="33" t="s">
        <v>208</v>
      </c>
      <c r="G196" s="156">
        <f t="shared" si="11"/>
        <v>0</v>
      </c>
      <c r="H196" s="177">
        <f t="shared" si="15"/>
        <v>0</v>
      </c>
      <c r="I196" s="177">
        <f t="shared" si="15"/>
        <v>0</v>
      </c>
    </row>
    <row r="197" spans="1:9" ht="48" customHeight="1" hidden="1">
      <c r="A197" s="37" t="s">
        <v>755</v>
      </c>
      <c r="B197" s="36">
        <v>951</v>
      </c>
      <c r="C197" s="33" t="s">
        <v>172</v>
      </c>
      <c r="D197" s="33" t="s">
        <v>405</v>
      </c>
      <c r="E197" s="69" t="s">
        <v>493</v>
      </c>
      <c r="F197" s="33" t="s">
        <v>409</v>
      </c>
      <c r="G197" s="156">
        <f t="shared" si="11"/>
        <v>0</v>
      </c>
      <c r="H197" s="177">
        <f>100-100</f>
        <v>0</v>
      </c>
      <c r="I197" s="177"/>
    </row>
    <row r="198" spans="1:9" ht="13.5" hidden="1">
      <c r="A198" s="52"/>
      <c r="B198" s="53"/>
      <c r="C198" s="54"/>
      <c r="D198" s="54"/>
      <c r="E198" s="54"/>
      <c r="F198" s="54"/>
      <c r="G198" s="168"/>
      <c r="H198" s="168"/>
      <c r="I198" s="168"/>
    </row>
    <row r="199" spans="1:9" ht="15" hidden="1">
      <c r="A199" s="231"/>
      <c r="B199" s="36"/>
      <c r="C199" s="33"/>
      <c r="D199" s="33"/>
      <c r="E199" s="33"/>
      <c r="F199" s="33"/>
      <c r="G199" s="156"/>
      <c r="H199" s="177"/>
      <c r="I199" s="177"/>
    </row>
    <row r="200" spans="1:9" ht="15" hidden="1">
      <c r="A200" s="231"/>
      <c r="B200" s="36"/>
      <c r="C200" s="33"/>
      <c r="D200" s="33"/>
      <c r="E200" s="33"/>
      <c r="F200" s="33"/>
      <c r="G200" s="156"/>
      <c r="H200" s="177"/>
      <c r="I200" s="177"/>
    </row>
    <row r="201" spans="1:9" ht="29.25" customHeight="1">
      <c r="A201" s="42" t="s">
        <v>410</v>
      </c>
      <c r="B201" s="43">
        <v>951</v>
      </c>
      <c r="C201" s="44" t="s">
        <v>411</v>
      </c>
      <c r="D201" s="44" t="s">
        <v>162</v>
      </c>
      <c r="E201" s="44" t="s">
        <v>338</v>
      </c>
      <c r="F201" s="44" t="s">
        <v>432</v>
      </c>
      <c r="G201" s="206">
        <f>H201+I201</f>
        <v>7551.383379999999</v>
      </c>
      <c r="H201" s="167">
        <f>H202+H233+H226</f>
        <v>6590.67682</v>
      </c>
      <c r="I201" s="167">
        <f>I202+I233+I226</f>
        <v>960.70656</v>
      </c>
    </row>
    <row r="202" spans="1:9" ht="13.5">
      <c r="A202" s="52" t="s">
        <v>383</v>
      </c>
      <c r="B202" s="53">
        <v>951</v>
      </c>
      <c r="C202" s="54" t="s">
        <v>411</v>
      </c>
      <c r="D202" s="54" t="s">
        <v>163</v>
      </c>
      <c r="E202" s="54" t="s">
        <v>338</v>
      </c>
      <c r="F202" s="54" t="s">
        <v>432</v>
      </c>
      <c r="G202" s="168">
        <f t="shared" si="11"/>
        <v>3948.5851399999997</v>
      </c>
      <c r="H202" s="168">
        <f>H203+H207+H210+H213+H218+H223</f>
        <v>2989.5738199999996</v>
      </c>
      <c r="I202" s="168">
        <f>I203+I213</f>
        <v>959.01132</v>
      </c>
    </row>
    <row r="203" spans="1:9" ht="17.25" customHeight="1">
      <c r="A203" s="37" t="s">
        <v>384</v>
      </c>
      <c r="B203" s="41">
        <v>951</v>
      </c>
      <c r="C203" s="33" t="s">
        <v>411</v>
      </c>
      <c r="D203" s="33" t="s">
        <v>163</v>
      </c>
      <c r="E203" s="33" t="s">
        <v>32</v>
      </c>
      <c r="F203" s="33" t="s">
        <v>432</v>
      </c>
      <c r="G203" s="156">
        <f>H203+I203</f>
        <v>1052.6</v>
      </c>
      <c r="H203" s="156">
        <f>H204</f>
        <v>1052.6</v>
      </c>
      <c r="I203" s="156">
        <f aca="true" t="shared" si="16" ref="H203:I205">I204</f>
        <v>0</v>
      </c>
    </row>
    <row r="204" spans="1:9" ht="27">
      <c r="A204" s="37" t="s">
        <v>602</v>
      </c>
      <c r="B204" s="41">
        <v>951</v>
      </c>
      <c r="C204" s="33" t="s">
        <v>411</v>
      </c>
      <c r="D204" s="33" t="s">
        <v>163</v>
      </c>
      <c r="E204" s="33" t="s">
        <v>32</v>
      </c>
      <c r="F204" s="33" t="s">
        <v>432</v>
      </c>
      <c r="G204" s="156">
        <f t="shared" si="11"/>
        <v>1052.6</v>
      </c>
      <c r="H204" s="156">
        <f t="shared" si="16"/>
        <v>1052.6</v>
      </c>
      <c r="I204" s="156">
        <f t="shared" si="16"/>
        <v>0</v>
      </c>
    </row>
    <row r="205" spans="1:9" ht="30" customHeight="1">
      <c r="A205" s="37" t="s">
        <v>202</v>
      </c>
      <c r="B205" s="41">
        <v>951</v>
      </c>
      <c r="C205" s="33" t="s">
        <v>411</v>
      </c>
      <c r="D205" s="33" t="s">
        <v>163</v>
      </c>
      <c r="E205" s="33" t="s">
        <v>32</v>
      </c>
      <c r="F205" s="33" t="s">
        <v>170</v>
      </c>
      <c r="G205" s="156">
        <f t="shared" si="11"/>
        <v>1052.6</v>
      </c>
      <c r="H205" s="156">
        <f t="shared" si="16"/>
        <v>1052.6</v>
      </c>
      <c r="I205" s="156">
        <f t="shared" si="16"/>
        <v>0</v>
      </c>
    </row>
    <row r="206" spans="1:9" ht="43.5" customHeight="1">
      <c r="A206" s="38" t="s">
        <v>203</v>
      </c>
      <c r="B206" s="41">
        <v>951</v>
      </c>
      <c r="C206" s="33" t="s">
        <v>411</v>
      </c>
      <c r="D206" s="33" t="s">
        <v>163</v>
      </c>
      <c r="E206" s="33" t="s">
        <v>32</v>
      </c>
      <c r="F206" s="33" t="s">
        <v>204</v>
      </c>
      <c r="G206" s="156">
        <f t="shared" si="11"/>
        <v>1052.6</v>
      </c>
      <c r="H206" s="156">
        <f>978.1-290+484.5-120</f>
        <v>1052.6</v>
      </c>
      <c r="I206" s="156"/>
    </row>
    <row r="207" spans="1:9" ht="27">
      <c r="A207" s="37" t="s">
        <v>514</v>
      </c>
      <c r="B207" s="41">
        <v>951</v>
      </c>
      <c r="C207" s="33" t="s">
        <v>411</v>
      </c>
      <c r="D207" s="33" t="s">
        <v>163</v>
      </c>
      <c r="E207" s="33" t="s">
        <v>100</v>
      </c>
      <c r="F207" s="69" t="s">
        <v>432</v>
      </c>
      <c r="G207" s="156">
        <f t="shared" si="11"/>
        <v>1085.29155</v>
      </c>
      <c r="H207" s="156">
        <f>H208</f>
        <v>1085.29155</v>
      </c>
      <c r="I207" s="156"/>
    </row>
    <row r="208" spans="1:9" ht="27">
      <c r="A208" s="37" t="s">
        <v>202</v>
      </c>
      <c r="B208" s="41">
        <v>951</v>
      </c>
      <c r="C208" s="33" t="s">
        <v>411</v>
      </c>
      <c r="D208" s="33" t="s">
        <v>163</v>
      </c>
      <c r="E208" s="33" t="s">
        <v>100</v>
      </c>
      <c r="F208" s="69" t="s">
        <v>170</v>
      </c>
      <c r="G208" s="156">
        <f t="shared" si="11"/>
        <v>1085.29155</v>
      </c>
      <c r="H208" s="156">
        <f>H209</f>
        <v>1085.29155</v>
      </c>
      <c r="I208" s="156"/>
    </row>
    <row r="209" spans="1:9" ht="41.25">
      <c r="A209" s="38" t="s">
        <v>203</v>
      </c>
      <c r="B209" s="41">
        <v>951</v>
      </c>
      <c r="C209" s="33" t="s">
        <v>411</v>
      </c>
      <c r="D209" s="33" t="s">
        <v>163</v>
      </c>
      <c r="E209" s="33" t="s">
        <v>100</v>
      </c>
      <c r="F209" s="69" t="s">
        <v>204</v>
      </c>
      <c r="G209" s="156">
        <f t="shared" si="11"/>
        <v>1085.29155</v>
      </c>
      <c r="H209" s="156">
        <f>619.1+400+19.34227+21.84928+71-471+130+270+100-75</f>
        <v>1085.29155</v>
      </c>
      <c r="I209" s="156"/>
    </row>
    <row r="210" spans="1:9" ht="41.25">
      <c r="A210" s="97" t="s">
        <v>799</v>
      </c>
      <c r="B210" s="53">
        <v>951</v>
      </c>
      <c r="C210" s="54" t="s">
        <v>411</v>
      </c>
      <c r="D210" s="54" t="s">
        <v>163</v>
      </c>
      <c r="E210" s="100" t="s">
        <v>800</v>
      </c>
      <c r="F210" s="100" t="s">
        <v>432</v>
      </c>
      <c r="G210" s="197">
        <f t="shared" si="11"/>
        <v>556.49527</v>
      </c>
      <c r="H210" s="168">
        <f>H211</f>
        <v>556.49527</v>
      </c>
      <c r="I210" s="156"/>
    </row>
    <row r="211" spans="1:9" ht="27">
      <c r="A211" s="25" t="s">
        <v>202</v>
      </c>
      <c r="B211" s="41">
        <v>951</v>
      </c>
      <c r="C211" s="33" t="s">
        <v>411</v>
      </c>
      <c r="D211" s="33" t="s">
        <v>163</v>
      </c>
      <c r="E211" s="69" t="s">
        <v>800</v>
      </c>
      <c r="F211" s="69" t="s">
        <v>170</v>
      </c>
      <c r="G211" s="198">
        <f t="shared" si="11"/>
        <v>556.49527</v>
      </c>
      <c r="H211" s="156">
        <f>H212</f>
        <v>556.49527</v>
      </c>
      <c r="I211" s="156"/>
    </row>
    <row r="212" spans="1:9" ht="41.25">
      <c r="A212" s="85" t="s">
        <v>203</v>
      </c>
      <c r="B212" s="41">
        <v>951</v>
      </c>
      <c r="C212" s="33" t="s">
        <v>411</v>
      </c>
      <c r="D212" s="33" t="s">
        <v>163</v>
      </c>
      <c r="E212" s="69" t="s">
        <v>800</v>
      </c>
      <c r="F212" s="69" t="s">
        <v>204</v>
      </c>
      <c r="G212" s="198">
        <f t="shared" si="11"/>
        <v>556.49527</v>
      </c>
      <c r="H212" s="156">
        <f>5.568+8.13+13.55491+27.10982+33.61446+13.11601+13.11601+13.55491+13.55491+13.11601+13.55491+13.11601+13.55491+80.45164+13.55491+13.11601+53.78072+13.55491+187.37621</f>
        <v>556.49527</v>
      </c>
      <c r="I212" s="156"/>
    </row>
    <row r="213" spans="1:9" ht="69.75" customHeight="1">
      <c r="A213" s="52" t="s">
        <v>603</v>
      </c>
      <c r="B213" s="53" t="s">
        <v>192</v>
      </c>
      <c r="C213" s="54" t="s">
        <v>411</v>
      </c>
      <c r="D213" s="54" t="s">
        <v>163</v>
      </c>
      <c r="E213" s="54" t="s">
        <v>604</v>
      </c>
      <c r="F213" s="100" t="s">
        <v>432</v>
      </c>
      <c r="G213" s="197">
        <f t="shared" si="11"/>
        <v>968.69832</v>
      </c>
      <c r="H213" s="168">
        <f>H214</f>
        <v>9.687</v>
      </c>
      <c r="I213" s="168">
        <f>I214</f>
        <v>959.01132</v>
      </c>
    </row>
    <row r="214" spans="1:9" ht="54.75">
      <c r="A214" s="85" t="s">
        <v>605</v>
      </c>
      <c r="B214" s="41" t="s">
        <v>192</v>
      </c>
      <c r="C214" s="33" t="s">
        <v>411</v>
      </c>
      <c r="D214" s="33" t="s">
        <v>163</v>
      </c>
      <c r="E214" s="69" t="s">
        <v>604</v>
      </c>
      <c r="F214" s="69" t="s">
        <v>432</v>
      </c>
      <c r="G214" s="198">
        <f t="shared" si="11"/>
        <v>968.69832</v>
      </c>
      <c r="H214" s="156">
        <f>H215</f>
        <v>9.687</v>
      </c>
      <c r="I214" s="156">
        <f>I215</f>
        <v>959.01132</v>
      </c>
    </row>
    <row r="215" spans="1:9" ht="13.5">
      <c r="A215" s="25" t="s">
        <v>207</v>
      </c>
      <c r="B215" s="41" t="s">
        <v>192</v>
      </c>
      <c r="C215" s="33" t="s">
        <v>411</v>
      </c>
      <c r="D215" s="33" t="s">
        <v>163</v>
      </c>
      <c r="E215" s="69" t="s">
        <v>604</v>
      </c>
      <c r="F215" s="69" t="s">
        <v>208</v>
      </c>
      <c r="G215" s="198">
        <f t="shared" si="11"/>
        <v>968.69832</v>
      </c>
      <c r="H215" s="156">
        <f>H217</f>
        <v>9.687</v>
      </c>
      <c r="I215" s="156">
        <f>I216</f>
        <v>959.01132</v>
      </c>
    </row>
    <row r="216" spans="1:9" ht="41.25" customHeight="1">
      <c r="A216" s="25" t="s">
        <v>758</v>
      </c>
      <c r="B216" s="41" t="s">
        <v>192</v>
      </c>
      <c r="C216" s="33" t="s">
        <v>411</v>
      </c>
      <c r="D216" s="33" t="s">
        <v>163</v>
      </c>
      <c r="E216" s="69" t="s">
        <v>606</v>
      </c>
      <c r="F216" s="69" t="s">
        <v>481</v>
      </c>
      <c r="G216" s="198">
        <f t="shared" si="11"/>
        <v>959.01132</v>
      </c>
      <c r="H216" s="156"/>
      <c r="I216" s="156">
        <f>216.52843+742.48289</f>
        <v>959.01132</v>
      </c>
    </row>
    <row r="217" spans="1:9" ht="43.5" customHeight="1">
      <c r="A217" s="25" t="s">
        <v>759</v>
      </c>
      <c r="B217" s="41" t="s">
        <v>192</v>
      </c>
      <c r="C217" s="33" t="s">
        <v>411</v>
      </c>
      <c r="D217" s="33" t="s">
        <v>163</v>
      </c>
      <c r="E217" s="69" t="s">
        <v>787</v>
      </c>
      <c r="F217" s="69" t="s">
        <v>481</v>
      </c>
      <c r="G217" s="198">
        <f t="shared" si="11"/>
        <v>9.687</v>
      </c>
      <c r="H217" s="156">
        <f>20-10.313</f>
        <v>9.687</v>
      </c>
      <c r="I217" s="156"/>
    </row>
    <row r="218" spans="1:9" ht="33" customHeight="1">
      <c r="A218" s="97" t="s">
        <v>164</v>
      </c>
      <c r="B218" s="41" t="s">
        <v>192</v>
      </c>
      <c r="C218" s="33" t="s">
        <v>411</v>
      </c>
      <c r="D218" s="33" t="s">
        <v>163</v>
      </c>
      <c r="E218" s="100" t="s">
        <v>16</v>
      </c>
      <c r="F218" s="100" t="s">
        <v>432</v>
      </c>
      <c r="G218" s="197">
        <f t="shared" si="11"/>
        <v>275</v>
      </c>
      <c r="H218" s="168">
        <f>H219</f>
        <v>275</v>
      </c>
      <c r="I218" s="156"/>
    </row>
    <row r="219" spans="1:9" ht="30.75" customHeight="1">
      <c r="A219" s="85" t="s">
        <v>165</v>
      </c>
      <c r="B219" s="41" t="s">
        <v>192</v>
      </c>
      <c r="C219" s="33" t="s">
        <v>411</v>
      </c>
      <c r="D219" s="33" t="s">
        <v>163</v>
      </c>
      <c r="E219" s="69" t="s">
        <v>17</v>
      </c>
      <c r="F219" s="69" t="s">
        <v>432</v>
      </c>
      <c r="G219" s="198">
        <f t="shared" si="11"/>
        <v>275</v>
      </c>
      <c r="H219" s="156">
        <f>H220</f>
        <v>275</v>
      </c>
      <c r="I219" s="156"/>
    </row>
    <row r="220" spans="1:9" ht="100.5">
      <c r="A220" s="137" t="s">
        <v>607</v>
      </c>
      <c r="B220" s="126" t="s">
        <v>192</v>
      </c>
      <c r="C220" s="127" t="s">
        <v>411</v>
      </c>
      <c r="D220" s="127" t="s">
        <v>163</v>
      </c>
      <c r="E220" s="135" t="s">
        <v>608</v>
      </c>
      <c r="F220" s="135" t="s">
        <v>432</v>
      </c>
      <c r="G220" s="199">
        <f t="shared" si="11"/>
        <v>275</v>
      </c>
      <c r="H220" s="159">
        <f>H221</f>
        <v>275</v>
      </c>
      <c r="I220" s="159"/>
    </row>
    <row r="221" spans="1:9" ht="27">
      <c r="A221" s="37" t="s">
        <v>202</v>
      </c>
      <c r="B221" s="41" t="s">
        <v>192</v>
      </c>
      <c r="C221" s="33" t="s">
        <v>411</v>
      </c>
      <c r="D221" s="33" t="s">
        <v>163</v>
      </c>
      <c r="E221" s="69" t="s">
        <v>608</v>
      </c>
      <c r="F221" s="69" t="s">
        <v>170</v>
      </c>
      <c r="G221" s="198">
        <f t="shared" si="11"/>
        <v>275</v>
      </c>
      <c r="H221" s="156">
        <f>H222</f>
        <v>275</v>
      </c>
      <c r="I221" s="156"/>
    </row>
    <row r="222" spans="1:9" ht="41.25">
      <c r="A222" s="38" t="s">
        <v>203</v>
      </c>
      <c r="B222" s="41" t="s">
        <v>192</v>
      </c>
      <c r="C222" s="33" t="s">
        <v>411</v>
      </c>
      <c r="D222" s="33" t="s">
        <v>163</v>
      </c>
      <c r="E222" s="69" t="s">
        <v>608</v>
      </c>
      <c r="F222" s="69" t="s">
        <v>204</v>
      </c>
      <c r="G222" s="198">
        <f t="shared" si="11"/>
        <v>275</v>
      </c>
      <c r="H222" s="156">
        <f>100+175</f>
        <v>275</v>
      </c>
      <c r="I222" s="156"/>
    </row>
    <row r="223" spans="1:9" ht="57.75" customHeight="1">
      <c r="A223" s="68" t="s">
        <v>559</v>
      </c>
      <c r="B223" s="53" t="s">
        <v>192</v>
      </c>
      <c r="C223" s="54" t="s">
        <v>411</v>
      </c>
      <c r="D223" s="54" t="s">
        <v>163</v>
      </c>
      <c r="E223" s="54" t="s">
        <v>338</v>
      </c>
      <c r="F223" s="54" t="s">
        <v>432</v>
      </c>
      <c r="G223" s="168">
        <f t="shared" si="11"/>
        <v>10.5</v>
      </c>
      <c r="H223" s="168">
        <f>H224</f>
        <v>10.5</v>
      </c>
      <c r="I223" s="168"/>
    </row>
    <row r="224" spans="1:9" ht="27.75" customHeight="1">
      <c r="A224" s="45" t="s">
        <v>202</v>
      </c>
      <c r="B224" s="36" t="s">
        <v>192</v>
      </c>
      <c r="C224" s="40" t="s">
        <v>411</v>
      </c>
      <c r="D224" s="40" t="s">
        <v>163</v>
      </c>
      <c r="E224" s="33" t="s">
        <v>709</v>
      </c>
      <c r="F224" s="33" t="s">
        <v>170</v>
      </c>
      <c r="G224" s="177">
        <f t="shared" si="11"/>
        <v>10.5</v>
      </c>
      <c r="H224" s="177">
        <f>H225</f>
        <v>10.5</v>
      </c>
      <c r="I224" s="156"/>
    </row>
    <row r="225" spans="1:9" ht="42" customHeight="1">
      <c r="A225" s="47" t="s">
        <v>203</v>
      </c>
      <c r="B225" s="36" t="s">
        <v>192</v>
      </c>
      <c r="C225" s="40" t="s">
        <v>411</v>
      </c>
      <c r="D225" s="40" t="s">
        <v>163</v>
      </c>
      <c r="E225" s="33" t="s">
        <v>709</v>
      </c>
      <c r="F225" s="33" t="s">
        <v>204</v>
      </c>
      <c r="G225" s="177">
        <f t="shared" si="11"/>
        <v>10.5</v>
      </c>
      <c r="H225" s="177">
        <f>20-9.5</f>
        <v>10.5</v>
      </c>
      <c r="I225" s="156"/>
    </row>
    <row r="226" spans="1:9" ht="13.5">
      <c r="A226" s="68" t="s">
        <v>416</v>
      </c>
      <c r="B226" s="53">
        <v>951</v>
      </c>
      <c r="C226" s="54" t="s">
        <v>411</v>
      </c>
      <c r="D226" s="54" t="s">
        <v>168</v>
      </c>
      <c r="E226" s="54" t="s">
        <v>338</v>
      </c>
      <c r="F226" s="54" t="s">
        <v>432</v>
      </c>
      <c r="G226" s="168">
        <f t="shared" si="11"/>
        <v>15</v>
      </c>
      <c r="H226" s="168">
        <f>H227+H230</f>
        <v>15</v>
      </c>
      <c r="I226" s="168">
        <f>I227+I230</f>
        <v>0</v>
      </c>
    </row>
    <row r="227" spans="1:9" ht="13.5">
      <c r="A227" s="38" t="s">
        <v>417</v>
      </c>
      <c r="B227" s="41">
        <v>951</v>
      </c>
      <c r="C227" s="33" t="s">
        <v>411</v>
      </c>
      <c r="D227" s="33" t="s">
        <v>168</v>
      </c>
      <c r="E227" s="33" t="s">
        <v>33</v>
      </c>
      <c r="F227" s="33" t="s">
        <v>432</v>
      </c>
      <c r="G227" s="156">
        <f t="shared" si="11"/>
        <v>15</v>
      </c>
      <c r="H227" s="156">
        <f>H228</f>
        <v>15</v>
      </c>
      <c r="I227" s="156">
        <f>I228</f>
        <v>0</v>
      </c>
    </row>
    <row r="228" spans="1:9" ht="27">
      <c r="A228" s="37" t="s">
        <v>202</v>
      </c>
      <c r="B228" s="41">
        <v>951</v>
      </c>
      <c r="C228" s="33" t="s">
        <v>411</v>
      </c>
      <c r="D228" s="33" t="s">
        <v>168</v>
      </c>
      <c r="E228" s="33" t="s">
        <v>33</v>
      </c>
      <c r="F228" s="33" t="s">
        <v>170</v>
      </c>
      <c r="G228" s="156">
        <f t="shared" si="11"/>
        <v>15</v>
      </c>
      <c r="H228" s="156">
        <f>H229</f>
        <v>15</v>
      </c>
      <c r="I228" s="156">
        <f>I229</f>
        <v>0</v>
      </c>
    </row>
    <row r="229" spans="1:9" ht="41.25">
      <c r="A229" s="38" t="s">
        <v>203</v>
      </c>
      <c r="B229" s="41">
        <v>951</v>
      </c>
      <c r="C229" s="33" t="s">
        <v>411</v>
      </c>
      <c r="D229" s="33" t="s">
        <v>168</v>
      </c>
      <c r="E229" s="33" t="s">
        <v>33</v>
      </c>
      <c r="F229" s="33" t="s">
        <v>204</v>
      </c>
      <c r="G229" s="156">
        <f t="shared" si="11"/>
        <v>15</v>
      </c>
      <c r="H229" s="156">
        <f>90-75</f>
        <v>15</v>
      </c>
      <c r="I229" s="156"/>
    </row>
    <row r="230" spans="1:9" ht="13.5" hidden="1">
      <c r="A230" s="38" t="s">
        <v>418</v>
      </c>
      <c r="B230" s="41">
        <v>951</v>
      </c>
      <c r="C230" s="33" t="s">
        <v>411</v>
      </c>
      <c r="D230" s="33" t="s">
        <v>168</v>
      </c>
      <c r="E230" s="33" t="s">
        <v>34</v>
      </c>
      <c r="F230" s="33" t="s">
        <v>432</v>
      </c>
      <c r="G230" s="156">
        <f t="shared" si="11"/>
        <v>0</v>
      </c>
      <c r="H230" s="156">
        <f>H231</f>
        <v>0</v>
      </c>
      <c r="I230" s="156">
        <f>I231</f>
        <v>0</v>
      </c>
    </row>
    <row r="231" spans="1:9" ht="27" hidden="1">
      <c r="A231" s="37" t="s">
        <v>202</v>
      </c>
      <c r="B231" s="41">
        <v>951</v>
      </c>
      <c r="C231" s="33" t="s">
        <v>411</v>
      </c>
      <c r="D231" s="33" t="s">
        <v>168</v>
      </c>
      <c r="E231" s="33" t="s">
        <v>34</v>
      </c>
      <c r="F231" s="33" t="s">
        <v>170</v>
      </c>
      <c r="G231" s="156">
        <f t="shared" si="11"/>
        <v>0</v>
      </c>
      <c r="H231" s="156">
        <f>H232</f>
        <v>0</v>
      </c>
      <c r="I231" s="156">
        <f>I232</f>
        <v>0</v>
      </c>
    </row>
    <row r="232" spans="1:9" ht="41.25" hidden="1">
      <c r="A232" s="38" t="s">
        <v>203</v>
      </c>
      <c r="B232" s="41">
        <v>951</v>
      </c>
      <c r="C232" s="33" t="s">
        <v>411</v>
      </c>
      <c r="D232" s="33" t="s">
        <v>168</v>
      </c>
      <c r="E232" s="33" t="s">
        <v>34</v>
      </c>
      <c r="F232" s="33" t="s">
        <v>204</v>
      </c>
      <c r="G232" s="156">
        <f t="shared" si="11"/>
        <v>0</v>
      </c>
      <c r="H232" s="156">
        <f>100-100</f>
        <v>0</v>
      </c>
      <c r="I232" s="156"/>
    </row>
    <row r="233" spans="1:9" ht="27">
      <c r="A233" s="37" t="s">
        <v>387</v>
      </c>
      <c r="B233" s="41">
        <v>951</v>
      </c>
      <c r="C233" s="33" t="s">
        <v>411</v>
      </c>
      <c r="D233" s="33" t="s">
        <v>411</v>
      </c>
      <c r="E233" s="33" t="s">
        <v>338</v>
      </c>
      <c r="F233" s="33" t="s">
        <v>432</v>
      </c>
      <c r="G233" s="156">
        <f t="shared" si="11"/>
        <v>3587.79824</v>
      </c>
      <c r="H233" s="156">
        <f aca="true" t="shared" si="17" ref="H233:I235">H234</f>
        <v>3586.103</v>
      </c>
      <c r="I233" s="156">
        <f>I234+I241</f>
        <v>1.69524</v>
      </c>
    </row>
    <row r="234" spans="1:9" ht="27">
      <c r="A234" s="37" t="s">
        <v>164</v>
      </c>
      <c r="B234" s="41">
        <v>951</v>
      </c>
      <c r="C234" s="33" t="s">
        <v>411</v>
      </c>
      <c r="D234" s="33" t="s">
        <v>411</v>
      </c>
      <c r="E234" s="33" t="s">
        <v>16</v>
      </c>
      <c r="F234" s="33" t="s">
        <v>432</v>
      </c>
      <c r="G234" s="156">
        <f t="shared" si="11"/>
        <v>3586.103</v>
      </c>
      <c r="H234" s="156">
        <f t="shared" si="17"/>
        <v>3586.103</v>
      </c>
      <c r="I234" s="156">
        <f t="shared" si="17"/>
        <v>0</v>
      </c>
    </row>
    <row r="235" spans="1:9" ht="41.25">
      <c r="A235" s="37" t="s">
        <v>165</v>
      </c>
      <c r="B235" s="41">
        <v>951</v>
      </c>
      <c r="C235" s="33" t="s">
        <v>411</v>
      </c>
      <c r="D235" s="33" t="s">
        <v>411</v>
      </c>
      <c r="E235" s="33" t="s">
        <v>17</v>
      </c>
      <c r="F235" s="33" t="s">
        <v>432</v>
      </c>
      <c r="G235" s="156">
        <f t="shared" si="11"/>
        <v>3586.103</v>
      </c>
      <c r="H235" s="156">
        <f t="shared" si="17"/>
        <v>3586.103</v>
      </c>
      <c r="I235" s="156">
        <f t="shared" si="17"/>
        <v>0</v>
      </c>
    </row>
    <row r="236" spans="1:9" ht="41.25">
      <c r="A236" s="37" t="s">
        <v>412</v>
      </c>
      <c r="B236" s="41">
        <v>951</v>
      </c>
      <c r="C236" s="33" t="s">
        <v>411</v>
      </c>
      <c r="D236" s="33" t="s">
        <v>411</v>
      </c>
      <c r="E236" s="33" t="s">
        <v>20</v>
      </c>
      <c r="F236" s="33" t="s">
        <v>432</v>
      </c>
      <c r="G236" s="156">
        <f t="shared" si="11"/>
        <v>3586.103</v>
      </c>
      <c r="H236" s="156">
        <f>H237+H239</f>
        <v>3586.103</v>
      </c>
      <c r="I236" s="156">
        <f>I237+I239</f>
        <v>0</v>
      </c>
    </row>
    <row r="237" spans="1:9" ht="82.5">
      <c r="A237" s="37" t="s">
        <v>199</v>
      </c>
      <c r="B237" s="41">
        <v>951</v>
      </c>
      <c r="C237" s="33" t="s">
        <v>411</v>
      </c>
      <c r="D237" s="33" t="s">
        <v>411</v>
      </c>
      <c r="E237" s="33" t="s">
        <v>20</v>
      </c>
      <c r="F237" s="33" t="s">
        <v>166</v>
      </c>
      <c r="G237" s="156">
        <f t="shared" si="11"/>
        <v>3234.81</v>
      </c>
      <c r="H237" s="156">
        <f>H238</f>
        <v>3234.81</v>
      </c>
      <c r="I237" s="156">
        <f>I238</f>
        <v>0</v>
      </c>
    </row>
    <row r="238" spans="1:9" ht="27">
      <c r="A238" s="38" t="s">
        <v>201</v>
      </c>
      <c r="B238" s="41">
        <v>951</v>
      </c>
      <c r="C238" s="33" t="s">
        <v>411</v>
      </c>
      <c r="D238" s="33" t="s">
        <v>411</v>
      </c>
      <c r="E238" s="33" t="s">
        <v>20</v>
      </c>
      <c r="F238" s="33" t="s">
        <v>200</v>
      </c>
      <c r="G238" s="156">
        <f t="shared" si="11"/>
        <v>3234.81</v>
      </c>
      <c r="H238" s="156">
        <f>3254.81-20</f>
        <v>3234.81</v>
      </c>
      <c r="I238" s="156"/>
    </row>
    <row r="239" spans="1:9" ht="27">
      <c r="A239" s="37" t="s">
        <v>202</v>
      </c>
      <c r="B239" s="41">
        <v>951</v>
      </c>
      <c r="C239" s="33" t="s">
        <v>411</v>
      </c>
      <c r="D239" s="33" t="s">
        <v>411</v>
      </c>
      <c r="E239" s="33" t="s">
        <v>20</v>
      </c>
      <c r="F239" s="33" t="s">
        <v>170</v>
      </c>
      <c r="G239" s="156">
        <f t="shared" si="11"/>
        <v>351.293</v>
      </c>
      <c r="H239" s="156">
        <f>H240</f>
        <v>351.293</v>
      </c>
      <c r="I239" s="156">
        <f>I240</f>
        <v>0</v>
      </c>
    </row>
    <row r="240" spans="1:9" ht="41.25">
      <c r="A240" s="38" t="s">
        <v>203</v>
      </c>
      <c r="B240" s="41">
        <v>951</v>
      </c>
      <c r="C240" s="33" t="s">
        <v>411</v>
      </c>
      <c r="D240" s="33" t="s">
        <v>411</v>
      </c>
      <c r="E240" s="33" t="s">
        <v>20</v>
      </c>
      <c r="F240" s="33" t="s">
        <v>204</v>
      </c>
      <c r="G240" s="156">
        <f t="shared" si="11"/>
        <v>351.293</v>
      </c>
      <c r="H240" s="156">
        <f>87.993+20+337-93.7</f>
        <v>351.293</v>
      </c>
      <c r="I240" s="156"/>
    </row>
    <row r="241" spans="1:9" ht="69">
      <c r="A241" s="85" t="s">
        <v>784</v>
      </c>
      <c r="B241" s="41" t="s">
        <v>192</v>
      </c>
      <c r="C241" s="33" t="s">
        <v>411</v>
      </c>
      <c r="D241" s="33" t="s">
        <v>411</v>
      </c>
      <c r="E241" s="33" t="s">
        <v>35</v>
      </c>
      <c r="F241" s="33" t="s">
        <v>432</v>
      </c>
      <c r="G241" s="156">
        <f t="shared" si="11"/>
        <v>1.69524</v>
      </c>
      <c r="H241" s="156"/>
      <c r="I241" s="156">
        <f>I242</f>
        <v>1.69524</v>
      </c>
    </row>
    <row r="242" spans="1:9" ht="83.25" customHeight="1">
      <c r="A242" s="38" t="s">
        <v>385</v>
      </c>
      <c r="B242" s="41" t="s">
        <v>192</v>
      </c>
      <c r="C242" s="33" t="s">
        <v>411</v>
      </c>
      <c r="D242" s="33" t="s">
        <v>411</v>
      </c>
      <c r="E242" s="33" t="s">
        <v>35</v>
      </c>
      <c r="F242" s="33" t="s">
        <v>166</v>
      </c>
      <c r="G242" s="156">
        <f t="shared" si="11"/>
        <v>1.69524</v>
      </c>
      <c r="H242" s="156"/>
      <c r="I242" s="156">
        <f>I243</f>
        <v>1.69524</v>
      </c>
    </row>
    <row r="243" spans="1:9" ht="27">
      <c r="A243" s="38" t="s">
        <v>201</v>
      </c>
      <c r="B243" s="41" t="s">
        <v>192</v>
      </c>
      <c r="C243" s="33" t="s">
        <v>411</v>
      </c>
      <c r="D243" s="33" t="s">
        <v>411</v>
      </c>
      <c r="E243" s="33" t="s">
        <v>35</v>
      </c>
      <c r="F243" s="33" t="s">
        <v>200</v>
      </c>
      <c r="G243" s="156">
        <f t="shared" si="11"/>
        <v>1.69524</v>
      </c>
      <c r="H243" s="156"/>
      <c r="I243" s="156">
        <v>1.69524</v>
      </c>
    </row>
    <row r="244" spans="1:9" ht="27" hidden="1">
      <c r="A244" s="38" t="s">
        <v>202</v>
      </c>
      <c r="B244" s="41" t="s">
        <v>192</v>
      </c>
      <c r="C244" s="33" t="s">
        <v>411</v>
      </c>
      <c r="D244" s="33" t="s">
        <v>411</v>
      </c>
      <c r="E244" s="33" t="s">
        <v>35</v>
      </c>
      <c r="F244" s="33" t="s">
        <v>170</v>
      </c>
      <c r="G244" s="156">
        <f t="shared" si="11"/>
        <v>0</v>
      </c>
      <c r="H244" s="156"/>
      <c r="I244" s="156">
        <f>I245</f>
        <v>0</v>
      </c>
    </row>
    <row r="245" spans="1:9" ht="41.25" hidden="1">
      <c r="A245" s="38" t="s">
        <v>203</v>
      </c>
      <c r="B245" s="41" t="s">
        <v>192</v>
      </c>
      <c r="C245" s="33" t="s">
        <v>411</v>
      </c>
      <c r="D245" s="33" t="s">
        <v>411</v>
      </c>
      <c r="E245" s="33" t="s">
        <v>35</v>
      </c>
      <c r="F245" s="33" t="s">
        <v>204</v>
      </c>
      <c r="G245" s="156">
        <f t="shared" si="11"/>
        <v>0</v>
      </c>
      <c r="H245" s="156"/>
      <c r="I245" s="156"/>
    </row>
    <row r="246" spans="1:9" ht="13.5">
      <c r="A246" s="329" t="s">
        <v>388</v>
      </c>
      <c r="B246" s="43">
        <v>951</v>
      </c>
      <c r="C246" s="43" t="s">
        <v>414</v>
      </c>
      <c r="D246" s="43" t="s">
        <v>162</v>
      </c>
      <c r="E246" s="43" t="s">
        <v>338</v>
      </c>
      <c r="F246" s="43" t="s">
        <v>432</v>
      </c>
      <c r="G246" s="206">
        <f>I246+H246</f>
        <v>21437.911329999995</v>
      </c>
      <c r="H246" s="167">
        <f>H258+H278+H282+H285</f>
        <v>18793.593329999996</v>
      </c>
      <c r="I246" s="167">
        <f>I258+I278+I282+I285+I292</f>
        <v>2644.318</v>
      </c>
    </row>
    <row r="247" spans="1:9" ht="13.5" hidden="1">
      <c r="A247" s="39" t="s">
        <v>185</v>
      </c>
      <c r="B247" s="36">
        <v>951</v>
      </c>
      <c r="C247" s="40" t="s">
        <v>414</v>
      </c>
      <c r="D247" s="40" t="s">
        <v>163</v>
      </c>
      <c r="E247" s="36" t="s">
        <v>338</v>
      </c>
      <c r="F247" s="36" t="s">
        <v>432</v>
      </c>
      <c r="G247" s="177">
        <f>H247+I247</f>
        <v>0</v>
      </c>
      <c r="H247" s="177">
        <f>H248</f>
        <v>0</v>
      </c>
      <c r="I247" s="177">
        <f>I248</f>
        <v>0</v>
      </c>
    </row>
    <row r="248" spans="1:9" ht="27" hidden="1">
      <c r="A248" s="56" t="s">
        <v>306</v>
      </c>
      <c r="B248" s="36">
        <v>951</v>
      </c>
      <c r="C248" s="40" t="s">
        <v>414</v>
      </c>
      <c r="D248" s="40" t="s">
        <v>163</v>
      </c>
      <c r="E248" s="40" t="s">
        <v>63</v>
      </c>
      <c r="F248" s="40" t="s">
        <v>432</v>
      </c>
      <c r="G248" s="204">
        <f aca="true" t="shared" si="18" ref="G248:G270">H248+I248</f>
        <v>0</v>
      </c>
      <c r="H248" s="177">
        <f>H249+H252</f>
        <v>0</v>
      </c>
      <c r="I248" s="177">
        <f>I249+I252+I278</f>
        <v>0</v>
      </c>
    </row>
    <row r="249" spans="1:9" ht="27" hidden="1">
      <c r="A249" s="45" t="s">
        <v>228</v>
      </c>
      <c r="B249" s="36" t="s">
        <v>192</v>
      </c>
      <c r="C249" s="40" t="s">
        <v>414</v>
      </c>
      <c r="D249" s="40" t="s">
        <v>163</v>
      </c>
      <c r="E249" s="46" t="s">
        <v>64</v>
      </c>
      <c r="F249" s="40" t="s">
        <v>432</v>
      </c>
      <c r="G249" s="204">
        <f t="shared" si="18"/>
        <v>0</v>
      </c>
      <c r="H249" s="177">
        <f>H250</f>
        <v>0</v>
      </c>
      <c r="I249" s="177"/>
    </row>
    <row r="250" spans="1:9" ht="41.25" hidden="1">
      <c r="A250" s="45" t="s">
        <v>225</v>
      </c>
      <c r="B250" s="36" t="s">
        <v>192</v>
      </c>
      <c r="C250" s="40" t="s">
        <v>414</v>
      </c>
      <c r="D250" s="40" t="s">
        <v>163</v>
      </c>
      <c r="E250" s="46" t="s">
        <v>64</v>
      </c>
      <c r="F250" s="40" t="s">
        <v>226</v>
      </c>
      <c r="G250" s="204">
        <f t="shared" si="18"/>
        <v>0</v>
      </c>
      <c r="H250" s="177">
        <f>H251</f>
        <v>0</v>
      </c>
      <c r="I250" s="177"/>
    </row>
    <row r="251" spans="1:9" ht="13.5" hidden="1">
      <c r="A251" s="45" t="s">
        <v>227</v>
      </c>
      <c r="B251" s="36" t="s">
        <v>192</v>
      </c>
      <c r="C251" s="40" t="s">
        <v>414</v>
      </c>
      <c r="D251" s="40" t="s">
        <v>163</v>
      </c>
      <c r="E251" s="46" t="s">
        <v>67</v>
      </c>
      <c r="F251" s="40" t="s">
        <v>304</v>
      </c>
      <c r="G251" s="204">
        <f t="shared" si="18"/>
        <v>0</v>
      </c>
      <c r="H251" s="177"/>
      <c r="I251" s="177"/>
    </row>
    <row r="252" spans="1:9" ht="27" hidden="1">
      <c r="A252" s="45" t="s">
        <v>229</v>
      </c>
      <c r="B252" s="36" t="s">
        <v>192</v>
      </c>
      <c r="C252" s="40" t="s">
        <v>414</v>
      </c>
      <c r="D252" s="40" t="s">
        <v>163</v>
      </c>
      <c r="E252" s="46" t="s">
        <v>64</v>
      </c>
      <c r="F252" s="40" t="s">
        <v>432</v>
      </c>
      <c r="G252" s="204">
        <f t="shared" si="18"/>
        <v>0</v>
      </c>
      <c r="H252" s="177">
        <f>H253</f>
        <v>0</v>
      </c>
      <c r="I252" s="177"/>
    </row>
    <row r="253" spans="1:9" ht="41.25" hidden="1">
      <c r="A253" s="45" t="s">
        <v>225</v>
      </c>
      <c r="B253" s="36" t="s">
        <v>192</v>
      </c>
      <c r="C253" s="40" t="s">
        <v>414</v>
      </c>
      <c r="D253" s="40" t="s">
        <v>163</v>
      </c>
      <c r="E253" s="46" t="s">
        <v>64</v>
      </c>
      <c r="F253" s="40" t="s">
        <v>226</v>
      </c>
      <c r="G253" s="204">
        <f t="shared" si="18"/>
        <v>0</v>
      </c>
      <c r="H253" s="177">
        <f>H254</f>
        <v>0</v>
      </c>
      <c r="I253" s="177"/>
    </row>
    <row r="254" spans="1:9" ht="13.5" hidden="1">
      <c r="A254" s="45" t="s">
        <v>227</v>
      </c>
      <c r="B254" s="36">
        <v>951</v>
      </c>
      <c r="C254" s="40" t="s">
        <v>414</v>
      </c>
      <c r="D254" s="40" t="s">
        <v>163</v>
      </c>
      <c r="E254" s="46" t="s">
        <v>68</v>
      </c>
      <c r="F254" s="40" t="s">
        <v>304</v>
      </c>
      <c r="G254" s="204">
        <f t="shared" si="18"/>
        <v>0</v>
      </c>
      <c r="H254" s="177"/>
      <c r="I254" s="177"/>
    </row>
    <row r="255" spans="1:9" ht="41.25" hidden="1">
      <c r="A255" s="52" t="s">
        <v>510</v>
      </c>
      <c r="B255" s="36" t="s">
        <v>192</v>
      </c>
      <c r="C255" s="40" t="s">
        <v>414</v>
      </c>
      <c r="D255" s="40" t="s">
        <v>414</v>
      </c>
      <c r="E255" s="46" t="s">
        <v>494</v>
      </c>
      <c r="F255" s="40" t="s">
        <v>432</v>
      </c>
      <c r="G255" s="204">
        <f t="shared" si="18"/>
        <v>0</v>
      </c>
      <c r="H255" s="177">
        <f>H256</f>
        <v>0</v>
      </c>
      <c r="I255" s="177"/>
    </row>
    <row r="256" spans="1:9" ht="27" hidden="1">
      <c r="A256" s="37" t="s">
        <v>202</v>
      </c>
      <c r="B256" s="36" t="s">
        <v>192</v>
      </c>
      <c r="C256" s="40" t="s">
        <v>414</v>
      </c>
      <c r="D256" s="40" t="s">
        <v>414</v>
      </c>
      <c r="E256" s="46" t="s">
        <v>495</v>
      </c>
      <c r="F256" s="40" t="s">
        <v>170</v>
      </c>
      <c r="G256" s="204">
        <f t="shared" si="18"/>
        <v>0</v>
      </c>
      <c r="H256" s="177">
        <f>H257</f>
        <v>0</v>
      </c>
      <c r="I256" s="177"/>
    </row>
    <row r="257" spans="1:9" ht="41.25" hidden="1">
      <c r="A257" s="45" t="s">
        <v>203</v>
      </c>
      <c r="B257" s="36" t="s">
        <v>192</v>
      </c>
      <c r="C257" s="40" t="s">
        <v>414</v>
      </c>
      <c r="D257" s="40" t="s">
        <v>414</v>
      </c>
      <c r="E257" s="46" t="s">
        <v>495</v>
      </c>
      <c r="F257" s="40" t="s">
        <v>204</v>
      </c>
      <c r="G257" s="204">
        <f t="shared" si="18"/>
        <v>0</v>
      </c>
      <c r="H257" s="177">
        <v>0</v>
      </c>
      <c r="I257" s="177"/>
    </row>
    <row r="258" spans="1:9" ht="18.75" customHeight="1">
      <c r="A258" s="333" t="s">
        <v>618</v>
      </c>
      <c r="B258" s="53" t="s">
        <v>192</v>
      </c>
      <c r="C258" s="54" t="s">
        <v>414</v>
      </c>
      <c r="D258" s="54" t="s">
        <v>168</v>
      </c>
      <c r="E258" s="100" t="s">
        <v>338</v>
      </c>
      <c r="F258" s="54" t="s">
        <v>432</v>
      </c>
      <c r="G258" s="197">
        <f t="shared" si="18"/>
        <v>16754.013329999998</v>
      </c>
      <c r="H258" s="168">
        <f>H259+H267+H271</f>
        <v>15929.013329999998</v>
      </c>
      <c r="I258" s="168">
        <f>I259+I267+I271</f>
        <v>825</v>
      </c>
    </row>
    <row r="259" spans="1:9" ht="41.25">
      <c r="A259" s="104" t="s">
        <v>496</v>
      </c>
      <c r="B259" s="53" t="s">
        <v>192</v>
      </c>
      <c r="C259" s="54" t="s">
        <v>414</v>
      </c>
      <c r="D259" s="54" t="s">
        <v>168</v>
      </c>
      <c r="E259" s="100" t="s">
        <v>338</v>
      </c>
      <c r="F259" s="54" t="s">
        <v>432</v>
      </c>
      <c r="G259" s="197">
        <f t="shared" si="18"/>
        <v>15920.679999999998</v>
      </c>
      <c r="H259" s="168">
        <f>H260</f>
        <v>15920.679999999998</v>
      </c>
      <c r="I259" s="168"/>
    </row>
    <row r="260" spans="1:9" ht="27">
      <c r="A260" s="56" t="s">
        <v>306</v>
      </c>
      <c r="B260" s="36" t="s">
        <v>192</v>
      </c>
      <c r="C260" s="40" t="s">
        <v>414</v>
      </c>
      <c r="D260" s="40" t="s">
        <v>168</v>
      </c>
      <c r="E260" s="40" t="s">
        <v>63</v>
      </c>
      <c r="F260" s="40" t="s">
        <v>432</v>
      </c>
      <c r="G260" s="198">
        <f t="shared" si="18"/>
        <v>15920.679999999998</v>
      </c>
      <c r="H260" s="177">
        <f>H261+H264</f>
        <v>15920.679999999998</v>
      </c>
      <c r="I260" s="177"/>
    </row>
    <row r="261" spans="1:9" ht="27">
      <c r="A261" s="45" t="s">
        <v>228</v>
      </c>
      <c r="B261" s="36" t="s">
        <v>192</v>
      </c>
      <c r="C261" s="40" t="s">
        <v>414</v>
      </c>
      <c r="D261" s="40" t="s">
        <v>168</v>
      </c>
      <c r="E261" s="46" t="s">
        <v>64</v>
      </c>
      <c r="F261" s="40" t="s">
        <v>432</v>
      </c>
      <c r="G261" s="198">
        <f t="shared" si="18"/>
        <v>9978.779999999999</v>
      </c>
      <c r="H261" s="177">
        <f>H262</f>
        <v>9978.779999999999</v>
      </c>
      <c r="I261" s="177"/>
    </row>
    <row r="262" spans="1:9" ht="41.25">
      <c r="A262" s="45" t="s">
        <v>225</v>
      </c>
      <c r="B262" s="36" t="s">
        <v>192</v>
      </c>
      <c r="C262" s="40" t="s">
        <v>414</v>
      </c>
      <c r="D262" s="40" t="s">
        <v>168</v>
      </c>
      <c r="E262" s="46" t="s">
        <v>64</v>
      </c>
      <c r="F262" s="40" t="s">
        <v>226</v>
      </c>
      <c r="G262" s="198">
        <f t="shared" si="18"/>
        <v>9978.779999999999</v>
      </c>
      <c r="H262" s="177">
        <f>H263</f>
        <v>9978.779999999999</v>
      </c>
      <c r="I262" s="177"/>
    </row>
    <row r="263" spans="1:9" ht="13.5">
      <c r="A263" s="45" t="s">
        <v>227</v>
      </c>
      <c r="B263" s="36" t="s">
        <v>192</v>
      </c>
      <c r="C263" s="40" t="s">
        <v>414</v>
      </c>
      <c r="D263" s="40" t="s">
        <v>168</v>
      </c>
      <c r="E263" s="46" t="s">
        <v>67</v>
      </c>
      <c r="F263" s="40" t="s">
        <v>304</v>
      </c>
      <c r="G263" s="198">
        <f t="shared" si="18"/>
        <v>9978.779999999999</v>
      </c>
      <c r="H263" s="177">
        <f>7276.28+2464.5+238</f>
        <v>9978.779999999999</v>
      </c>
      <c r="I263" s="177"/>
    </row>
    <row r="264" spans="1:9" ht="27">
      <c r="A264" s="45" t="s">
        <v>229</v>
      </c>
      <c r="B264" s="36" t="s">
        <v>192</v>
      </c>
      <c r="C264" s="40" t="s">
        <v>414</v>
      </c>
      <c r="D264" s="40" t="s">
        <v>168</v>
      </c>
      <c r="E264" s="46" t="s">
        <v>64</v>
      </c>
      <c r="F264" s="40" t="s">
        <v>432</v>
      </c>
      <c r="G264" s="198">
        <f t="shared" si="18"/>
        <v>5941.9</v>
      </c>
      <c r="H264" s="177">
        <f>H265</f>
        <v>5941.9</v>
      </c>
      <c r="I264" s="177"/>
    </row>
    <row r="265" spans="1:9" ht="41.25">
      <c r="A265" s="45" t="s">
        <v>225</v>
      </c>
      <c r="B265" s="36" t="s">
        <v>192</v>
      </c>
      <c r="C265" s="40" t="s">
        <v>414</v>
      </c>
      <c r="D265" s="40" t="s">
        <v>168</v>
      </c>
      <c r="E265" s="46" t="s">
        <v>64</v>
      </c>
      <c r="F265" s="40" t="s">
        <v>226</v>
      </c>
      <c r="G265" s="198">
        <f t="shared" si="18"/>
        <v>5941.9</v>
      </c>
      <c r="H265" s="177">
        <f>H266</f>
        <v>5941.9</v>
      </c>
      <c r="I265" s="177"/>
    </row>
    <row r="266" spans="1:9" ht="13.5">
      <c r="A266" s="45" t="s">
        <v>227</v>
      </c>
      <c r="B266" s="36" t="s">
        <v>192</v>
      </c>
      <c r="C266" s="40" t="s">
        <v>414</v>
      </c>
      <c r="D266" s="40" t="s">
        <v>168</v>
      </c>
      <c r="E266" s="46" t="s">
        <v>68</v>
      </c>
      <c r="F266" s="40" t="s">
        <v>304</v>
      </c>
      <c r="G266" s="198">
        <f t="shared" si="18"/>
        <v>5941.9</v>
      </c>
      <c r="H266" s="177">
        <f>3354.13+2282.77+155+150</f>
        <v>5941.9</v>
      </c>
      <c r="I266" s="177"/>
    </row>
    <row r="267" spans="1:9" ht="14.25" hidden="1">
      <c r="A267" s="215" t="s">
        <v>609</v>
      </c>
      <c r="B267" s="36" t="s">
        <v>192</v>
      </c>
      <c r="C267" s="40" t="s">
        <v>414</v>
      </c>
      <c r="D267" s="40" t="s">
        <v>168</v>
      </c>
      <c r="E267" s="127" t="s">
        <v>338</v>
      </c>
      <c r="F267" s="135" t="s">
        <v>432</v>
      </c>
      <c r="G267" s="198">
        <f t="shared" si="18"/>
        <v>0</v>
      </c>
      <c r="H267" s="159">
        <f>H268</f>
        <v>0</v>
      </c>
      <c r="I267" s="159"/>
    </row>
    <row r="268" spans="1:9" ht="27" hidden="1">
      <c r="A268" s="45" t="s">
        <v>619</v>
      </c>
      <c r="B268" s="36" t="s">
        <v>192</v>
      </c>
      <c r="C268" s="40" t="s">
        <v>414</v>
      </c>
      <c r="D268" s="40" t="s">
        <v>168</v>
      </c>
      <c r="E268" s="33" t="s">
        <v>338</v>
      </c>
      <c r="F268" s="69" t="s">
        <v>432</v>
      </c>
      <c r="G268" s="198">
        <f t="shared" si="18"/>
        <v>0</v>
      </c>
      <c r="H268" s="156">
        <f>H269</f>
        <v>0</v>
      </c>
      <c r="I268" s="156"/>
    </row>
    <row r="269" spans="1:9" ht="41.25" hidden="1">
      <c r="A269" s="45" t="s">
        <v>225</v>
      </c>
      <c r="B269" s="36" t="s">
        <v>192</v>
      </c>
      <c r="C269" s="40" t="s">
        <v>414</v>
      </c>
      <c r="D269" s="40" t="s">
        <v>168</v>
      </c>
      <c r="E269" s="33" t="s">
        <v>611</v>
      </c>
      <c r="F269" s="69" t="s">
        <v>226</v>
      </c>
      <c r="G269" s="198">
        <f t="shared" si="18"/>
        <v>0</v>
      </c>
      <c r="H269" s="156">
        <f>H270</f>
        <v>0</v>
      </c>
      <c r="I269" s="156"/>
    </row>
    <row r="270" spans="1:9" ht="13.5" hidden="1">
      <c r="A270" s="45" t="s">
        <v>227</v>
      </c>
      <c r="B270" s="36" t="s">
        <v>192</v>
      </c>
      <c r="C270" s="40" t="s">
        <v>414</v>
      </c>
      <c r="D270" s="40" t="s">
        <v>168</v>
      </c>
      <c r="E270" s="33" t="s">
        <v>611</v>
      </c>
      <c r="F270" s="69" t="s">
        <v>304</v>
      </c>
      <c r="G270" s="198">
        <f t="shared" si="18"/>
        <v>0</v>
      </c>
      <c r="H270" s="156"/>
      <c r="I270" s="156"/>
    </row>
    <row r="271" spans="1:9" ht="41.25">
      <c r="A271" s="52" t="s">
        <v>509</v>
      </c>
      <c r="B271" s="36" t="s">
        <v>192</v>
      </c>
      <c r="C271" s="40" t="s">
        <v>414</v>
      </c>
      <c r="D271" s="40" t="s">
        <v>168</v>
      </c>
      <c r="E271" s="100" t="s">
        <v>338</v>
      </c>
      <c r="F271" s="100" t="s">
        <v>432</v>
      </c>
      <c r="G271" s="197">
        <f>G272</f>
        <v>833.33333</v>
      </c>
      <c r="H271" s="168">
        <f>H272</f>
        <v>8.33333</v>
      </c>
      <c r="I271" s="168">
        <f>I272</f>
        <v>825</v>
      </c>
    </row>
    <row r="272" spans="1:9" s="110" customFormat="1" ht="63" customHeight="1">
      <c r="A272" s="216" t="s">
        <v>640</v>
      </c>
      <c r="B272" s="158" t="s">
        <v>192</v>
      </c>
      <c r="C272" s="135" t="s">
        <v>414</v>
      </c>
      <c r="D272" s="135" t="s">
        <v>168</v>
      </c>
      <c r="E272" s="135" t="s">
        <v>338</v>
      </c>
      <c r="F272" s="135" t="s">
        <v>432</v>
      </c>
      <c r="G272" s="199">
        <f>H272+I272</f>
        <v>833.33333</v>
      </c>
      <c r="H272" s="159">
        <f>H273+H275</f>
        <v>8.33333</v>
      </c>
      <c r="I272" s="159">
        <f>I273</f>
        <v>825</v>
      </c>
    </row>
    <row r="273" spans="1:9" s="110" customFormat="1" ht="69">
      <c r="A273" s="25" t="s">
        <v>690</v>
      </c>
      <c r="B273" s="30" t="s">
        <v>192</v>
      </c>
      <c r="C273" s="69" t="s">
        <v>414</v>
      </c>
      <c r="D273" s="69" t="s">
        <v>168</v>
      </c>
      <c r="E273" s="69" t="s">
        <v>774</v>
      </c>
      <c r="F273" s="69" t="s">
        <v>226</v>
      </c>
      <c r="G273" s="198">
        <f>G274</f>
        <v>825</v>
      </c>
      <c r="H273" s="156">
        <f>H274</f>
        <v>0</v>
      </c>
      <c r="I273" s="156">
        <f>I274</f>
        <v>825</v>
      </c>
    </row>
    <row r="274" spans="1:9" s="110" customFormat="1" ht="13.5">
      <c r="A274" s="25" t="s">
        <v>227</v>
      </c>
      <c r="B274" s="30" t="s">
        <v>192</v>
      </c>
      <c r="C274" s="69" t="s">
        <v>414</v>
      </c>
      <c r="D274" s="69" t="s">
        <v>168</v>
      </c>
      <c r="E274" s="69" t="s">
        <v>774</v>
      </c>
      <c r="F274" s="69" t="s">
        <v>304</v>
      </c>
      <c r="G274" s="198">
        <f>H274+I274</f>
        <v>825</v>
      </c>
      <c r="H274" s="156"/>
      <c r="I274" s="156">
        <v>825</v>
      </c>
    </row>
    <row r="275" spans="1:9" s="110" customFormat="1" ht="96.75">
      <c r="A275" s="25" t="s">
        <v>691</v>
      </c>
      <c r="B275" s="30" t="s">
        <v>192</v>
      </c>
      <c r="C275" s="69" t="s">
        <v>414</v>
      </c>
      <c r="D275" s="69" t="s">
        <v>168</v>
      </c>
      <c r="E275" s="69" t="s">
        <v>775</v>
      </c>
      <c r="F275" s="69" t="s">
        <v>226</v>
      </c>
      <c r="G275" s="198">
        <f>G276</f>
        <v>8.33333</v>
      </c>
      <c r="H275" s="156">
        <f>H276</f>
        <v>8.33333</v>
      </c>
      <c r="I275" s="156">
        <f>I276</f>
        <v>0</v>
      </c>
    </row>
    <row r="276" spans="1:9" s="110" customFormat="1" ht="13.5">
      <c r="A276" s="25" t="s">
        <v>227</v>
      </c>
      <c r="B276" s="30" t="s">
        <v>192</v>
      </c>
      <c r="C276" s="69" t="s">
        <v>414</v>
      </c>
      <c r="D276" s="69" t="s">
        <v>168</v>
      </c>
      <c r="E276" s="69" t="s">
        <v>775</v>
      </c>
      <c r="F276" s="69" t="s">
        <v>304</v>
      </c>
      <c r="G276" s="198">
        <f>H276+I276</f>
        <v>8.33333</v>
      </c>
      <c r="H276" s="156">
        <v>8.33333</v>
      </c>
      <c r="I276" s="156">
        <v>0</v>
      </c>
    </row>
    <row r="277" spans="1:9" ht="13.5" hidden="1">
      <c r="A277" s="37"/>
      <c r="B277" s="41"/>
      <c r="C277" s="33"/>
      <c r="D277" s="33"/>
      <c r="E277" s="69"/>
      <c r="F277" s="69"/>
      <c r="G277" s="198"/>
      <c r="H277" s="156"/>
      <c r="I277" s="156"/>
    </row>
    <row r="278" spans="1:9" ht="41.25">
      <c r="A278" s="57" t="s">
        <v>496</v>
      </c>
      <c r="B278" s="58">
        <v>951</v>
      </c>
      <c r="C278" s="59" t="s">
        <v>414</v>
      </c>
      <c r="D278" s="59" t="s">
        <v>399</v>
      </c>
      <c r="E278" s="100" t="s">
        <v>37</v>
      </c>
      <c r="F278" s="59" t="s">
        <v>432</v>
      </c>
      <c r="G278" s="205">
        <f t="shared" si="11"/>
        <v>111</v>
      </c>
      <c r="H278" s="205">
        <f>H279</f>
        <v>111</v>
      </c>
      <c r="I278" s="205">
        <f aca="true" t="shared" si="19" ref="H278:I280">I279</f>
        <v>0</v>
      </c>
    </row>
    <row r="279" spans="1:9" ht="27">
      <c r="A279" s="84" t="s">
        <v>486</v>
      </c>
      <c r="B279" s="36">
        <v>951</v>
      </c>
      <c r="C279" s="40" t="s">
        <v>414</v>
      </c>
      <c r="D279" s="40" t="s">
        <v>399</v>
      </c>
      <c r="E279" s="40" t="s">
        <v>38</v>
      </c>
      <c r="F279" s="40" t="s">
        <v>432</v>
      </c>
      <c r="G279" s="177">
        <f t="shared" si="11"/>
        <v>111</v>
      </c>
      <c r="H279" s="177">
        <f t="shared" si="19"/>
        <v>111</v>
      </c>
      <c r="I279" s="177">
        <f t="shared" si="19"/>
        <v>0</v>
      </c>
    </row>
    <row r="280" spans="1:9" ht="27">
      <c r="A280" s="45" t="s">
        <v>202</v>
      </c>
      <c r="B280" s="36">
        <v>951</v>
      </c>
      <c r="C280" s="40" t="s">
        <v>414</v>
      </c>
      <c r="D280" s="40" t="s">
        <v>399</v>
      </c>
      <c r="E280" s="40" t="s">
        <v>40</v>
      </c>
      <c r="F280" s="40" t="s">
        <v>170</v>
      </c>
      <c r="G280" s="177">
        <f t="shared" si="11"/>
        <v>111</v>
      </c>
      <c r="H280" s="177">
        <f t="shared" si="19"/>
        <v>111</v>
      </c>
      <c r="I280" s="177">
        <f t="shared" si="19"/>
        <v>0</v>
      </c>
    </row>
    <row r="281" spans="1:9" ht="41.25">
      <c r="A281" s="47" t="s">
        <v>203</v>
      </c>
      <c r="B281" s="36">
        <v>951</v>
      </c>
      <c r="C281" s="40" t="s">
        <v>414</v>
      </c>
      <c r="D281" s="40" t="s">
        <v>399</v>
      </c>
      <c r="E281" s="40" t="s">
        <v>41</v>
      </c>
      <c r="F281" s="40" t="s">
        <v>204</v>
      </c>
      <c r="G281" s="177">
        <f t="shared" si="11"/>
        <v>111</v>
      </c>
      <c r="H281" s="177">
        <v>111</v>
      </c>
      <c r="I281" s="177"/>
    </row>
    <row r="282" spans="1:9" ht="41.25" hidden="1">
      <c r="A282" s="52" t="s">
        <v>302</v>
      </c>
      <c r="B282" s="36">
        <v>951</v>
      </c>
      <c r="C282" s="40" t="s">
        <v>414</v>
      </c>
      <c r="D282" s="40" t="s">
        <v>399</v>
      </c>
      <c r="E282" s="54" t="s">
        <v>47</v>
      </c>
      <c r="F282" s="40" t="s">
        <v>432</v>
      </c>
      <c r="G282" s="177">
        <f t="shared" si="11"/>
        <v>0</v>
      </c>
      <c r="H282" s="177">
        <f>H283</f>
        <v>0</v>
      </c>
      <c r="I282" s="177"/>
    </row>
    <row r="283" spans="1:9" ht="27" hidden="1">
      <c r="A283" s="45" t="s">
        <v>202</v>
      </c>
      <c r="B283" s="36">
        <v>951</v>
      </c>
      <c r="C283" s="40" t="s">
        <v>414</v>
      </c>
      <c r="D283" s="40" t="s">
        <v>399</v>
      </c>
      <c r="E283" s="69" t="s">
        <v>561</v>
      </c>
      <c r="F283" s="40" t="s">
        <v>170</v>
      </c>
      <c r="G283" s="177">
        <f t="shared" si="11"/>
        <v>0</v>
      </c>
      <c r="H283" s="177">
        <f>H284</f>
        <v>0</v>
      </c>
      <c r="I283" s="177"/>
    </row>
    <row r="284" spans="1:9" ht="41.25" hidden="1">
      <c r="A284" s="47" t="s">
        <v>203</v>
      </c>
      <c r="B284" s="36">
        <v>951</v>
      </c>
      <c r="C284" s="40" t="s">
        <v>414</v>
      </c>
      <c r="D284" s="40" t="s">
        <v>399</v>
      </c>
      <c r="E284" s="69" t="s">
        <v>561</v>
      </c>
      <c r="F284" s="40" t="s">
        <v>204</v>
      </c>
      <c r="G284" s="177">
        <f t="shared" si="11"/>
        <v>0</v>
      </c>
      <c r="H284" s="177">
        <v>0</v>
      </c>
      <c r="I284" s="177"/>
    </row>
    <row r="285" spans="1:9" ht="27">
      <c r="A285" s="39" t="s">
        <v>164</v>
      </c>
      <c r="B285" s="36">
        <v>951</v>
      </c>
      <c r="C285" s="40" t="s">
        <v>414</v>
      </c>
      <c r="D285" s="40" t="s">
        <v>399</v>
      </c>
      <c r="E285" s="40" t="s">
        <v>16</v>
      </c>
      <c r="F285" s="40" t="s">
        <v>432</v>
      </c>
      <c r="G285" s="177">
        <f t="shared" si="11"/>
        <v>2753.58</v>
      </c>
      <c r="H285" s="177">
        <f>H286</f>
        <v>2753.58</v>
      </c>
      <c r="I285" s="177">
        <f>I286</f>
        <v>0</v>
      </c>
    </row>
    <row r="286" spans="1:9" ht="42.75" customHeight="1">
      <c r="A286" s="45" t="s">
        <v>165</v>
      </c>
      <c r="B286" s="36">
        <v>951</v>
      </c>
      <c r="C286" s="40" t="s">
        <v>414</v>
      </c>
      <c r="D286" s="40" t="s">
        <v>399</v>
      </c>
      <c r="E286" s="40" t="s">
        <v>17</v>
      </c>
      <c r="F286" s="40" t="s">
        <v>432</v>
      </c>
      <c r="G286" s="177">
        <f t="shared" si="11"/>
        <v>2753.58</v>
      </c>
      <c r="H286" s="177">
        <f>H287</f>
        <v>2753.58</v>
      </c>
      <c r="I286" s="177">
        <f>I287</f>
        <v>0</v>
      </c>
    </row>
    <row r="287" spans="1:9" ht="41.25">
      <c r="A287" s="45" t="s">
        <v>169</v>
      </c>
      <c r="B287" s="36">
        <v>951</v>
      </c>
      <c r="C287" s="40" t="s">
        <v>414</v>
      </c>
      <c r="D287" s="40" t="s">
        <v>399</v>
      </c>
      <c r="E287" s="40" t="s">
        <v>20</v>
      </c>
      <c r="F287" s="40" t="s">
        <v>432</v>
      </c>
      <c r="G287" s="177">
        <f t="shared" si="11"/>
        <v>2753.58</v>
      </c>
      <c r="H287" s="177">
        <f>H288+H290</f>
        <v>2753.58</v>
      </c>
      <c r="I287" s="177">
        <f>I288+I290</f>
        <v>0</v>
      </c>
    </row>
    <row r="288" spans="1:9" ht="81.75" customHeight="1">
      <c r="A288" s="45" t="s">
        <v>199</v>
      </c>
      <c r="B288" s="36">
        <v>951</v>
      </c>
      <c r="C288" s="40" t="s">
        <v>414</v>
      </c>
      <c r="D288" s="40" t="s">
        <v>399</v>
      </c>
      <c r="E288" s="40" t="s">
        <v>20</v>
      </c>
      <c r="F288" s="40" t="s">
        <v>166</v>
      </c>
      <c r="G288" s="177">
        <f>H288+I288</f>
        <v>2545.58</v>
      </c>
      <c r="H288" s="177">
        <f>H289</f>
        <v>2545.58</v>
      </c>
      <c r="I288" s="177">
        <f>I289</f>
        <v>0</v>
      </c>
    </row>
    <row r="289" spans="1:9" ht="27">
      <c r="A289" s="139" t="s">
        <v>201</v>
      </c>
      <c r="B289" s="140">
        <v>951</v>
      </c>
      <c r="C289" s="46" t="s">
        <v>414</v>
      </c>
      <c r="D289" s="46" t="s">
        <v>399</v>
      </c>
      <c r="E289" s="46" t="s">
        <v>20</v>
      </c>
      <c r="F289" s="46" t="s">
        <v>200</v>
      </c>
      <c r="G289" s="177">
        <f>H289+I289</f>
        <v>2545.58</v>
      </c>
      <c r="H289" s="177">
        <f>3026.58-20-140-221-100</f>
        <v>2545.58</v>
      </c>
      <c r="I289" s="177"/>
    </row>
    <row r="290" spans="1:9" ht="27">
      <c r="A290" s="139" t="s">
        <v>202</v>
      </c>
      <c r="B290" s="140">
        <v>951</v>
      </c>
      <c r="C290" s="46" t="s">
        <v>414</v>
      </c>
      <c r="D290" s="46" t="s">
        <v>399</v>
      </c>
      <c r="E290" s="46" t="s">
        <v>20</v>
      </c>
      <c r="F290" s="46" t="s">
        <v>170</v>
      </c>
      <c r="G290" s="177">
        <f t="shared" si="11"/>
        <v>208</v>
      </c>
      <c r="H290" s="177">
        <f>H291</f>
        <v>208</v>
      </c>
      <c r="I290" s="177">
        <f>I291</f>
        <v>0</v>
      </c>
    </row>
    <row r="291" spans="1:9" ht="41.25">
      <c r="A291" s="141" t="s">
        <v>203</v>
      </c>
      <c r="B291" s="140">
        <v>951</v>
      </c>
      <c r="C291" s="46" t="s">
        <v>414</v>
      </c>
      <c r="D291" s="46" t="s">
        <v>399</v>
      </c>
      <c r="E291" s="46" t="s">
        <v>20</v>
      </c>
      <c r="F291" s="46" t="s">
        <v>204</v>
      </c>
      <c r="G291" s="177">
        <f t="shared" si="11"/>
        <v>208</v>
      </c>
      <c r="H291" s="177">
        <f>187+10.548+10.452</f>
        <v>208</v>
      </c>
      <c r="I291" s="177"/>
    </row>
    <row r="292" spans="1:9" ht="70.5" customHeight="1">
      <c r="A292" s="37" t="s">
        <v>731</v>
      </c>
      <c r="B292" s="41">
        <v>951</v>
      </c>
      <c r="C292" s="33" t="s">
        <v>414</v>
      </c>
      <c r="D292" s="33" t="s">
        <v>399</v>
      </c>
      <c r="E292" s="69" t="s">
        <v>740</v>
      </c>
      <c r="F292" s="33" t="s">
        <v>432</v>
      </c>
      <c r="G292" s="156">
        <f t="shared" si="11"/>
        <v>1819.318</v>
      </c>
      <c r="H292" s="156">
        <f>H293+H295</f>
        <v>0</v>
      </c>
      <c r="I292" s="156">
        <f>I293+I295</f>
        <v>1819.318</v>
      </c>
    </row>
    <row r="293" spans="1:9" ht="90.75" customHeight="1">
      <c r="A293" s="37" t="s">
        <v>199</v>
      </c>
      <c r="B293" s="41">
        <v>951</v>
      </c>
      <c r="C293" s="33" t="s">
        <v>414</v>
      </c>
      <c r="D293" s="33" t="s">
        <v>399</v>
      </c>
      <c r="E293" s="69" t="s">
        <v>740</v>
      </c>
      <c r="F293" s="33" t="s">
        <v>166</v>
      </c>
      <c r="G293" s="156">
        <f t="shared" si="11"/>
        <v>1201.77479</v>
      </c>
      <c r="H293" s="156">
        <f>H294</f>
        <v>0</v>
      </c>
      <c r="I293" s="156">
        <f>I294</f>
        <v>1201.77479</v>
      </c>
    </row>
    <row r="294" spans="1:9" ht="27">
      <c r="A294" s="38" t="s">
        <v>201</v>
      </c>
      <c r="B294" s="41">
        <v>951</v>
      </c>
      <c r="C294" s="33" t="s">
        <v>414</v>
      </c>
      <c r="D294" s="33" t="s">
        <v>399</v>
      </c>
      <c r="E294" s="69" t="s">
        <v>740</v>
      </c>
      <c r="F294" s="33" t="s">
        <v>200</v>
      </c>
      <c r="G294" s="156">
        <f t="shared" si="11"/>
        <v>1201.77479</v>
      </c>
      <c r="H294" s="156"/>
      <c r="I294" s="156">
        <f>1646.488-291-87-66.71321</f>
        <v>1201.77479</v>
      </c>
    </row>
    <row r="295" spans="1:9" ht="27">
      <c r="A295" s="37" t="s">
        <v>202</v>
      </c>
      <c r="B295" s="41">
        <v>951</v>
      </c>
      <c r="C295" s="33" t="s">
        <v>414</v>
      </c>
      <c r="D295" s="33" t="s">
        <v>399</v>
      </c>
      <c r="E295" s="69" t="s">
        <v>740</v>
      </c>
      <c r="F295" s="33" t="s">
        <v>170</v>
      </c>
      <c r="G295" s="156">
        <f t="shared" si="11"/>
        <v>617.54321</v>
      </c>
      <c r="H295" s="156">
        <f>H296</f>
        <v>0</v>
      </c>
      <c r="I295" s="156">
        <f>I296</f>
        <v>617.54321</v>
      </c>
    </row>
    <row r="296" spans="1:9" ht="41.25">
      <c r="A296" s="38" t="s">
        <v>203</v>
      </c>
      <c r="B296" s="41">
        <v>951</v>
      </c>
      <c r="C296" s="33" t="s">
        <v>414</v>
      </c>
      <c r="D296" s="33" t="s">
        <v>399</v>
      </c>
      <c r="E296" s="69" t="s">
        <v>740</v>
      </c>
      <c r="F296" s="33" t="s">
        <v>204</v>
      </c>
      <c r="G296" s="156">
        <f t="shared" si="11"/>
        <v>617.54321</v>
      </c>
      <c r="H296" s="156"/>
      <c r="I296" s="156">
        <f>172.83+178+150+50+66.71321</f>
        <v>617.54321</v>
      </c>
    </row>
    <row r="297" spans="1:9" ht="13.5">
      <c r="A297" s="42" t="s">
        <v>198</v>
      </c>
      <c r="B297" s="43">
        <v>951</v>
      </c>
      <c r="C297" s="44" t="s">
        <v>402</v>
      </c>
      <c r="D297" s="44" t="s">
        <v>162</v>
      </c>
      <c r="E297" s="44" t="s">
        <v>338</v>
      </c>
      <c r="F297" s="44" t="s">
        <v>432</v>
      </c>
      <c r="G297" s="206">
        <f>H297+I297</f>
        <v>16272.40126</v>
      </c>
      <c r="H297" s="206">
        <f>H298+H329</f>
        <v>16123.15381</v>
      </c>
      <c r="I297" s="206">
        <f>I298+I329</f>
        <v>149.24745</v>
      </c>
    </row>
    <row r="298" spans="1:9" ht="17.25" customHeight="1">
      <c r="A298" s="35" t="s">
        <v>469</v>
      </c>
      <c r="B298" s="41">
        <v>951</v>
      </c>
      <c r="C298" s="33" t="s">
        <v>402</v>
      </c>
      <c r="D298" s="33" t="s">
        <v>161</v>
      </c>
      <c r="E298" s="33" t="s">
        <v>338</v>
      </c>
      <c r="F298" s="33" t="s">
        <v>432</v>
      </c>
      <c r="G298" s="156">
        <f t="shared" si="11"/>
        <v>15057.30126</v>
      </c>
      <c r="H298" s="156">
        <f>H299+H326</f>
        <v>14908.05381</v>
      </c>
      <c r="I298" s="156">
        <f>I299+I326</f>
        <v>149.24745</v>
      </c>
    </row>
    <row r="299" spans="1:9" ht="41.25" customHeight="1">
      <c r="A299" s="52" t="s">
        <v>509</v>
      </c>
      <c r="B299" s="53">
        <v>951</v>
      </c>
      <c r="C299" s="54" t="s">
        <v>402</v>
      </c>
      <c r="D299" s="54" t="s">
        <v>161</v>
      </c>
      <c r="E299" s="54" t="s">
        <v>106</v>
      </c>
      <c r="F299" s="54" t="s">
        <v>432</v>
      </c>
      <c r="G299" s="168">
        <f t="shared" si="11"/>
        <v>15057.30126</v>
      </c>
      <c r="H299" s="168">
        <f>H300+H305+H312+H316+H323</f>
        <v>14908.05381</v>
      </c>
      <c r="I299" s="168">
        <f>I300+I305+I312+I316+I323</f>
        <v>149.24745</v>
      </c>
    </row>
    <row r="300" spans="1:9" ht="62.25" customHeight="1">
      <c r="A300" s="55" t="s">
        <v>567</v>
      </c>
      <c r="B300" s="41">
        <v>951</v>
      </c>
      <c r="C300" s="33" t="s">
        <v>402</v>
      </c>
      <c r="D300" s="33" t="s">
        <v>161</v>
      </c>
      <c r="E300" s="33" t="s">
        <v>83</v>
      </c>
      <c r="F300" s="33" t="s">
        <v>432</v>
      </c>
      <c r="G300" s="156">
        <f t="shared" si="11"/>
        <v>10628.74626</v>
      </c>
      <c r="H300" s="156">
        <f>H301+H303</f>
        <v>10628.74626</v>
      </c>
      <c r="I300" s="156">
        <f>I301</f>
        <v>0</v>
      </c>
    </row>
    <row r="301" spans="1:9" ht="41.25">
      <c r="A301" s="37" t="s">
        <v>225</v>
      </c>
      <c r="B301" s="41">
        <v>951</v>
      </c>
      <c r="C301" s="33" t="s">
        <v>402</v>
      </c>
      <c r="D301" s="33" t="s">
        <v>161</v>
      </c>
      <c r="E301" s="33" t="s">
        <v>84</v>
      </c>
      <c r="F301" s="33" t="s">
        <v>226</v>
      </c>
      <c r="G301" s="156">
        <f>H301+I301</f>
        <v>9237.91965</v>
      </c>
      <c r="H301" s="156">
        <f>H302</f>
        <v>9237.91965</v>
      </c>
      <c r="I301" s="156"/>
    </row>
    <row r="302" spans="1:9" ht="13.5">
      <c r="A302" s="37" t="s">
        <v>227</v>
      </c>
      <c r="B302" s="41">
        <v>951</v>
      </c>
      <c r="C302" s="33" t="s">
        <v>402</v>
      </c>
      <c r="D302" s="33" t="s">
        <v>161</v>
      </c>
      <c r="E302" s="33" t="s">
        <v>85</v>
      </c>
      <c r="F302" s="33" t="s">
        <v>304</v>
      </c>
      <c r="G302" s="156">
        <f t="shared" si="11"/>
        <v>9237.91965</v>
      </c>
      <c r="H302" s="156">
        <f>6378.2+1847.22+473.3+224.19965+315</f>
        <v>9237.91965</v>
      </c>
      <c r="I302" s="156"/>
    </row>
    <row r="303" spans="1:9" ht="99" customHeight="1">
      <c r="A303" s="37" t="s">
        <v>104</v>
      </c>
      <c r="B303" s="41">
        <v>951</v>
      </c>
      <c r="C303" s="33" t="s">
        <v>402</v>
      </c>
      <c r="D303" s="33" t="s">
        <v>161</v>
      </c>
      <c r="E303" s="33" t="s">
        <v>103</v>
      </c>
      <c r="F303" s="33" t="s">
        <v>226</v>
      </c>
      <c r="G303" s="156">
        <f t="shared" si="11"/>
        <v>1390.82661</v>
      </c>
      <c r="H303" s="156">
        <f>H304</f>
        <v>1390.82661</v>
      </c>
      <c r="I303" s="156"/>
    </row>
    <row r="304" spans="1:9" ht="16.5" customHeight="1">
      <c r="A304" s="37" t="s">
        <v>227</v>
      </c>
      <c r="B304" s="41">
        <v>951</v>
      </c>
      <c r="C304" s="33" t="s">
        <v>402</v>
      </c>
      <c r="D304" s="33" t="s">
        <v>161</v>
      </c>
      <c r="E304" s="33" t="s">
        <v>103</v>
      </c>
      <c r="F304" s="33" t="s">
        <v>304</v>
      </c>
      <c r="G304" s="156">
        <f t="shared" si="11"/>
        <v>1390.82661</v>
      </c>
      <c r="H304" s="156">
        <f>1324.57+33.9409+32.31571</f>
        <v>1390.82661</v>
      </c>
      <c r="I304" s="156"/>
    </row>
    <row r="305" spans="1:9" ht="62.25" customHeight="1" hidden="1">
      <c r="A305" s="142" t="s">
        <v>620</v>
      </c>
      <c r="B305" s="30">
        <v>951</v>
      </c>
      <c r="C305" s="143" t="s">
        <v>402</v>
      </c>
      <c r="D305" s="143" t="s">
        <v>161</v>
      </c>
      <c r="E305" s="143" t="s">
        <v>83</v>
      </c>
      <c r="F305" s="143" t="s">
        <v>432</v>
      </c>
      <c r="G305" s="200">
        <f>H305+I305</f>
        <v>0</v>
      </c>
      <c r="H305" s="167">
        <f>H306+H309</f>
        <v>0</v>
      </c>
      <c r="I305" s="167">
        <f>I306</f>
        <v>0</v>
      </c>
    </row>
    <row r="306" spans="1:9" ht="69" customHeight="1" hidden="1">
      <c r="A306" s="96" t="s">
        <v>621</v>
      </c>
      <c r="B306" s="30">
        <v>951</v>
      </c>
      <c r="C306" s="100" t="s">
        <v>402</v>
      </c>
      <c r="D306" s="100" t="s">
        <v>161</v>
      </c>
      <c r="E306" s="100" t="s">
        <v>622</v>
      </c>
      <c r="F306" s="100" t="s">
        <v>432</v>
      </c>
      <c r="G306" s="197">
        <f>H306+I306</f>
        <v>0</v>
      </c>
      <c r="H306" s="168">
        <f>H307</f>
        <v>0</v>
      </c>
      <c r="I306" s="168">
        <f>I307</f>
        <v>0</v>
      </c>
    </row>
    <row r="307" spans="1:9" ht="48" customHeight="1" hidden="1">
      <c r="A307" s="25" t="s">
        <v>225</v>
      </c>
      <c r="B307" s="30">
        <v>951</v>
      </c>
      <c r="C307" s="69" t="s">
        <v>402</v>
      </c>
      <c r="D307" s="69" t="s">
        <v>161</v>
      </c>
      <c r="E307" s="69" t="s">
        <v>622</v>
      </c>
      <c r="F307" s="69" t="s">
        <v>226</v>
      </c>
      <c r="G307" s="198">
        <f>H307+I307</f>
        <v>0</v>
      </c>
      <c r="H307" s="156">
        <f>H308</f>
        <v>0</v>
      </c>
      <c r="I307" s="156">
        <f>I308</f>
        <v>0</v>
      </c>
    </row>
    <row r="308" spans="1:9" ht="20.25" customHeight="1" hidden="1">
      <c r="A308" s="25" t="s">
        <v>227</v>
      </c>
      <c r="B308" s="30">
        <v>951</v>
      </c>
      <c r="C308" s="69" t="s">
        <v>402</v>
      </c>
      <c r="D308" s="69" t="s">
        <v>161</v>
      </c>
      <c r="E308" s="69" t="s">
        <v>622</v>
      </c>
      <c r="F308" s="69" t="s">
        <v>304</v>
      </c>
      <c r="G308" s="198">
        <f>H308+I308</f>
        <v>0</v>
      </c>
      <c r="H308" s="156"/>
      <c r="I308" s="156"/>
    </row>
    <row r="309" spans="1:9" ht="101.25" customHeight="1" hidden="1">
      <c r="A309" s="96" t="s">
        <v>651</v>
      </c>
      <c r="B309" s="30">
        <v>951</v>
      </c>
      <c r="C309" s="100" t="s">
        <v>402</v>
      </c>
      <c r="D309" s="100" t="s">
        <v>161</v>
      </c>
      <c r="E309" s="100" t="s">
        <v>623</v>
      </c>
      <c r="F309" s="100" t="s">
        <v>432</v>
      </c>
      <c r="G309" s="197">
        <f>H309</f>
        <v>0</v>
      </c>
      <c r="H309" s="168">
        <f>H310</f>
        <v>0</v>
      </c>
      <c r="I309" s="168"/>
    </row>
    <row r="310" spans="1:9" ht="48" customHeight="1" hidden="1">
      <c r="A310" s="25" t="s">
        <v>225</v>
      </c>
      <c r="B310" s="30">
        <v>951</v>
      </c>
      <c r="C310" s="69" t="s">
        <v>402</v>
      </c>
      <c r="D310" s="69" t="s">
        <v>161</v>
      </c>
      <c r="E310" s="69" t="s">
        <v>623</v>
      </c>
      <c r="F310" s="69" t="s">
        <v>226</v>
      </c>
      <c r="G310" s="198">
        <f>H310</f>
        <v>0</v>
      </c>
      <c r="H310" s="156">
        <f>H311</f>
        <v>0</v>
      </c>
      <c r="I310" s="156"/>
    </row>
    <row r="311" spans="1:10" ht="15.75" customHeight="1" hidden="1">
      <c r="A311" s="25" t="s">
        <v>227</v>
      </c>
      <c r="B311" s="30">
        <v>951</v>
      </c>
      <c r="C311" s="69" t="s">
        <v>402</v>
      </c>
      <c r="D311" s="69" t="s">
        <v>161</v>
      </c>
      <c r="E311" s="69" t="s">
        <v>623</v>
      </c>
      <c r="F311" s="69" t="s">
        <v>304</v>
      </c>
      <c r="G311" s="198">
        <f>H311</f>
        <v>0</v>
      </c>
      <c r="H311" s="156"/>
      <c r="I311" s="156"/>
      <c r="J311" s="110" t="s">
        <v>652</v>
      </c>
    </row>
    <row r="312" spans="1:9" ht="63" customHeight="1">
      <c r="A312" s="144" t="s">
        <v>568</v>
      </c>
      <c r="B312" s="30">
        <v>951</v>
      </c>
      <c r="C312" s="69" t="s">
        <v>402</v>
      </c>
      <c r="D312" s="69" t="s">
        <v>161</v>
      </c>
      <c r="E312" s="69" t="s">
        <v>86</v>
      </c>
      <c r="F312" s="69" t="s">
        <v>432</v>
      </c>
      <c r="G312" s="156">
        <f t="shared" si="11"/>
        <v>2783.7999999999997</v>
      </c>
      <c r="H312" s="156">
        <f>H313</f>
        <v>2783.7999999999997</v>
      </c>
      <c r="I312" s="156">
        <f>I313</f>
        <v>0</v>
      </c>
    </row>
    <row r="313" spans="1:9" ht="41.25">
      <c r="A313" s="25" t="s">
        <v>225</v>
      </c>
      <c r="B313" s="30">
        <v>951</v>
      </c>
      <c r="C313" s="69" t="s">
        <v>402</v>
      </c>
      <c r="D313" s="69" t="s">
        <v>161</v>
      </c>
      <c r="E313" s="69" t="s">
        <v>86</v>
      </c>
      <c r="F313" s="69" t="s">
        <v>432</v>
      </c>
      <c r="G313" s="156">
        <f t="shared" si="11"/>
        <v>2783.7999999999997</v>
      </c>
      <c r="H313" s="156">
        <f>H314</f>
        <v>2783.7999999999997</v>
      </c>
      <c r="I313" s="156">
        <f>I314+I315</f>
        <v>0</v>
      </c>
    </row>
    <row r="314" spans="1:9" ht="27">
      <c r="A314" s="25" t="s">
        <v>236</v>
      </c>
      <c r="B314" s="30">
        <v>951</v>
      </c>
      <c r="C314" s="69" t="s">
        <v>402</v>
      </c>
      <c r="D314" s="69" t="s">
        <v>161</v>
      </c>
      <c r="E314" s="69" t="s">
        <v>86</v>
      </c>
      <c r="F314" s="69" t="s">
        <v>226</v>
      </c>
      <c r="G314" s="156">
        <f t="shared" si="11"/>
        <v>2783.7999999999997</v>
      </c>
      <c r="H314" s="156">
        <f>H315</f>
        <v>2783.7999999999997</v>
      </c>
      <c r="I314" s="156"/>
    </row>
    <row r="315" spans="1:9" ht="16.5" customHeight="1">
      <c r="A315" s="25" t="s">
        <v>227</v>
      </c>
      <c r="B315" s="30">
        <v>951</v>
      </c>
      <c r="C315" s="69" t="s">
        <v>402</v>
      </c>
      <c r="D315" s="69" t="s">
        <v>161</v>
      </c>
      <c r="E315" s="69" t="s">
        <v>86</v>
      </c>
      <c r="F315" s="69" t="s">
        <v>304</v>
      </c>
      <c r="G315" s="156">
        <f t="shared" si="11"/>
        <v>2783.7999999999997</v>
      </c>
      <c r="H315" s="156">
        <f>2368.7+347.1+68</f>
        <v>2783.7999999999997</v>
      </c>
      <c r="I315" s="156"/>
    </row>
    <row r="316" spans="1:9" ht="42" customHeight="1">
      <c r="A316" s="142" t="s">
        <v>624</v>
      </c>
      <c r="B316" s="30">
        <v>951</v>
      </c>
      <c r="C316" s="143" t="s">
        <v>402</v>
      </c>
      <c r="D316" s="143" t="s">
        <v>161</v>
      </c>
      <c r="E316" s="143" t="s">
        <v>625</v>
      </c>
      <c r="F316" s="143" t="s">
        <v>432</v>
      </c>
      <c r="G316" s="200">
        <f>H316+I316</f>
        <v>150.755</v>
      </c>
      <c r="H316" s="167">
        <f>H320</f>
        <v>1.50755</v>
      </c>
      <c r="I316" s="167">
        <f>I317</f>
        <v>149.24745</v>
      </c>
    </row>
    <row r="317" spans="1:9" ht="69" customHeight="1">
      <c r="A317" s="96" t="s">
        <v>653</v>
      </c>
      <c r="B317" s="30">
        <v>951</v>
      </c>
      <c r="C317" s="100" t="s">
        <v>402</v>
      </c>
      <c r="D317" s="100" t="s">
        <v>161</v>
      </c>
      <c r="E317" s="100" t="s">
        <v>626</v>
      </c>
      <c r="F317" s="100" t="s">
        <v>432</v>
      </c>
      <c r="G317" s="197">
        <f>I317</f>
        <v>149.24745</v>
      </c>
      <c r="H317" s="168"/>
      <c r="I317" s="168">
        <f>I318</f>
        <v>149.24745</v>
      </c>
    </row>
    <row r="318" spans="1:9" ht="48.75" customHeight="1">
      <c r="A318" s="25" t="s">
        <v>225</v>
      </c>
      <c r="B318" s="30">
        <v>951</v>
      </c>
      <c r="C318" s="69" t="s">
        <v>402</v>
      </c>
      <c r="D318" s="69" t="s">
        <v>161</v>
      </c>
      <c r="E318" s="69" t="s">
        <v>626</v>
      </c>
      <c r="F318" s="69" t="s">
        <v>226</v>
      </c>
      <c r="G318" s="198">
        <f>I318</f>
        <v>149.24745</v>
      </c>
      <c r="H318" s="156"/>
      <c r="I318" s="156">
        <f>I319</f>
        <v>149.24745</v>
      </c>
    </row>
    <row r="319" spans="1:9" ht="20.25" customHeight="1">
      <c r="A319" s="25" t="s">
        <v>227</v>
      </c>
      <c r="B319" s="30">
        <v>951</v>
      </c>
      <c r="C319" s="69" t="s">
        <v>402</v>
      </c>
      <c r="D319" s="69" t="s">
        <v>161</v>
      </c>
      <c r="E319" s="69" t="s">
        <v>626</v>
      </c>
      <c r="F319" s="69" t="s">
        <v>304</v>
      </c>
      <c r="G319" s="198">
        <f>I319</f>
        <v>149.24745</v>
      </c>
      <c r="H319" s="156"/>
      <c r="I319" s="156">
        <v>149.24745</v>
      </c>
    </row>
    <row r="320" spans="1:9" ht="87" customHeight="1">
      <c r="A320" s="96" t="s">
        <v>654</v>
      </c>
      <c r="B320" s="30">
        <v>951</v>
      </c>
      <c r="C320" s="100" t="s">
        <v>402</v>
      </c>
      <c r="D320" s="100" t="s">
        <v>161</v>
      </c>
      <c r="E320" s="100" t="s">
        <v>627</v>
      </c>
      <c r="F320" s="100" t="s">
        <v>432</v>
      </c>
      <c r="G320" s="197">
        <f>H320</f>
        <v>1.50755</v>
      </c>
      <c r="H320" s="168">
        <f>H321</f>
        <v>1.50755</v>
      </c>
      <c r="I320" s="168"/>
    </row>
    <row r="321" spans="1:9" ht="47.25" customHeight="1">
      <c r="A321" s="25" t="s">
        <v>225</v>
      </c>
      <c r="B321" s="30">
        <v>951</v>
      </c>
      <c r="C321" s="69" t="s">
        <v>402</v>
      </c>
      <c r="D321" s="69" t="s">
        <v>161</v>
      </c>
      <c r="E321" s="69" t="s">
        <v>627</v>
      </c>
      <c r="F321" s="69" t="s">
        <v>226</v>
      </c>
      <c r="G321" s="198">
        <f>H321</f>
        <v>1.50755</v>
      </c>
      <c r="H321" s="156">
        <f>H322</f>
        <v>1.50755</v>
      </c>
      <c r="I321" s="156"/>
    </row>
    <row r="322" spans="1:10" ht="18" customHeight="1">
      <c r="A322" s="25" t="s">
        <v>227</v>
      </c>
      <c r="B322" s="30">
        <v>951</v>
      </c>
      <c r="C322" s="69" t="s">
        <v>402</v>
      </c>
      <c r="D322" s="69" t="s">
        <v>161</v>
      </c>
      <c r="E322" s="69" t="s">
        <v>627</v>
      </c>
      <c r="F322" s="69" t="s">
        <v>304</v>
      </c>
      <c r="G322" s="198">
        <f>H322</f>
        <v>1.50755</v>
      </c>
      <c r="H322" s="156">
        <v>1.50755</v>
      </c>
      <c r="I322" s="156"/>
      <c r="J322" s="110"/>
    </row>
    <row r="323" spans="1:9" ht="87" customHeight="1">
      <c r="A323" s="144" t="s">
        <v>569</v>
      </c>
      <c r="B323" s="30" t="s">
        <v>192</v>
      </c>
      <c r="C323" s="69" t="s">
        <v>402</v>
      </c>
      <c r="D323" s="69" t="s">
        <v>161</v>
      </c>
      <c r="E323" s="69" t="s">
        <v>87</v>
      </c>
      <c r="F323" s="69" t="s">
        <v>432</v>
      </c>
      <c r="G323" s="156">
        <f t="shared" si="11"/>
        <v>1494</v>
      </c>
      <c r="H323" s="156">
        <f>H324</f>
        <v>1494</v>
      </c>
      <c r="I323" s="156">
        <f>I324</f>
        <v>0</v>
      </c>
    </row>
    <row r="324" spans="1:9" ht="41.25">
      <c r="A324" s="25" t="s">
        <v>225</v>
      </c>
      <c r="B324" s="30" t="s">
        <v>192</v>
      </c>
      <c r="C324" s="69" t="s">
        <v>402</v>
      </c>
      <c r="D324" s="69" t="s">
        <v>161</v>
      </c>
      <c r="E324" s="69" t="s">
        <v>87</v>
      </c>
      <c r="F324" s="69" t="s">
        <v>226</v>
      </c>
      <c r="G324" s="156">
        <f>H324+I324</f>
        <v>1494</v>
      </c>
      <c r="H324" s="156">
        <f>H325</f>
        <v>1494</v>
      </c>
      <c r="I324" s="156">
        <f>I325</f>
        <v>0</v>
      </c>
    </row>
    <row r="325" spans="1:9" ht="13.5">
      <c r="A325" s="25" t="s">
        <v>227</v>
      </c>
      <c r="B325" s="30" t="s">
        <v>192</v>
      </c>
      <c r="C325" s="69" t="s">
        <v>402</v>
      </c>
      <c r="D325" s="69" t="s">
        <v>161</v>
      </c>
      <c r="E325" s="69" t="s">
        <v>87</v>
      </c>
      <c r="F325" s="69" t="s">
        <v>304</v>
      </c>
      <c r="G325" s="156">
        <f>H325+I325</f>
        <v>1494</v>
      </c>
      <c r="H325" s="156">
        <f>1330.4+163.6</f>
        <v>1494</v>
      </c>
      <c r="I325" s="156"/>
    </row>
    <row r="326" spans="1:9" ht="69" hidden="1">
      <c r="A326" s="25" t="s">
        <v>464</v>
      </c>
      <c r="B326" s="30" t="s">
        <v>192</v>
      </c>
      <c r="C326" s="69" t="s">
        <v>402</v>
      </c>
      <c r="D326" s="69" t="s">
        <v>161</v>
      </c>
      <c r="E326" s="69" t="s">
        <v>463</v>
      </c>
      <c r="F326" s="69" t="s">
        <v>432</v>
      </c>
      <c r="G326" s="198">
        <f>H326+I326</f>
        <v>0</v>
      </c>
      <c r="H326" s="156"/>
      <c r="I326" s="156">
        <f>I327</f>
        <v>0</v>
      </c>
    </row>
    <row r="327" spans="1:9" ht="41.25" hidden="1">
      <c r="A327" s="25" t="s">
        <v>225</v>
      </c>
      <c r="B327" s="30" t="s">
        <v>192</v>
      </c>
      <c r="C327" s="69" t="s">
        <v>402</v>
      </c>
      <c r="D327" s="69" t="s">
        <v>161</v>
      </c>
      <c r="E327" s="69" t="s">
        <v>463</v>
      </c>
      <c r="F327" s="69" t="s">
        <v>226</v>
      </c>
      <c r="G327" s="198">
        <f>H327+I327</f>
        <v>0</v>
      </c>
      <c r="H327" s="156"/>
      <c r="I327" s="156">
        <f>I328</f>
        <v>0</v>
      </c>
    </row>
    <row r="328" spans="1:9" ht="13.5" hidden="1">
      <c r="A328" s="25" t="s">
        <v>227</v>
      </c>
      <c r="B328" s="30" t="s">
        <v>192</v>
      </c>
      <c r="C328" s="69" t="s">
        <v>402</v>
      </c>
      <c r="D328" s="69" t="s">
        <v>161</v>
      </c>
      <c r="E328" s="69" t="s">
        <v>463</v>
      </c>
      <c r="F328" s="69" t="s">
        <v>304</v>
      </c>
      <c r="G328" s="198">
        <f>H328+I328</f>
        <v>0</v>
      </c>
      <c r="H328" s="156"/>
      <c r="I328" s="156"/>
    </row>
    <row r="329" spans="1:9" ht="27">
      <c r="A329" s="25" t="s">
        <v>11</v>
      </c>
      <c r="B329" s="30">
        <v>951</v>
      </c>
      <c r="C329" s="69" t="s">
        <v>402</v>
      </c>
      <c r="D329" s="69" t="s">
        <v>172</v>
      </c>
      <c r="E329" s="69" t="s">
        <v>338</v>
      </c>
      <c r="F329" s="69" t="s">
        <v>432</v>
      </c>
      <c r="G329" s="156">
        <f aca="true" t="shared" si="20" ref="G329:G437">H329+I329</f>
        <v>1215.1</v>
      </c>
      <c r="H329" s="156">
        <f>H330+H336+H338+H333+H341</f>
        <v>1215.1</v>
      </c>
      <c r="I329" s="156">
        <f>I330+I336+I338+I333</f>
        <v>0</v>
      </c>
    </row>
    <row r="330" spans="1:9" ht="37.5" customHeight="1">
      <c r="A330" s="144" t="s">
        <v>570</v>
      </c>
      <c r="B330" s="30">
        <v>951</v>
      </c>
      <c r="C330" s="69" t="s">
        <v>402</v>
      </c>
      <c r="D330" s="69" t="s">
        <v>172</v>
      </c>
      <c r="E330" s="69" t="s">
        <v>88</v>
      </c>
      <c r="F330" s="69" t="s">
        <v>432</v>
      </c>
      <c r="G330" s="156">
        <f t="shared" si="20"/>
        <v>1129.1</v>
      </c>
      <c r="H330" s="156">
        <f>H331</f>
        <v>1129.1</v>
      </c>
      <c r="I330" s="156">
        <f>I331</f>
        <v>0</v>
      </c>
    </row>
    <row r="331" spans="1:9" ht="45.75" customHeight="1">
      <c r="A331" s="25" t="s">
        <v>225</v>
      </c>
      <c r="B331" s="30">
        <v>951</v>
      </c>
      <c r="C331" s="69" t="s">
        <v>402</v>
      </c>
      <c r="D331" s="69" t="s">
        <v>172</v>
      </c>
      <c r="E331" s="69" t="s">
        <v>88</v>
      </c>
      <c r="F331" s="69" t="s">
        <v>226</v>
      </c>
      <c r="G331" s="156">
        <f t="shared" si="20"/>
        <v>1129.1</v>
      </c>
      <c r="H331" s="156">
        <f>H332</f>
        <v>1129.1</v>
      </c>
      <c r="I331" s="156">
        <f>I332</f>
        <v>0</v>
      </c>
    </row>
    <row r="332" spans="1:9" ht="16.5" customHeight="1">
      <c r="A332" s="25" t="s">
        <v>227</v>
      </c>
      <c r="B332" s="30">
        <v>951</v>
      </c>
      <c r="C332" s="69" t="s">
        <v>402</v>
      </c>
      <c r="D332" s="69" t="s">
        <v>172</v>
      </c>
      <c r="E332" s="69" t="s">
        <v>88</v>
      </c>
      <c r="F332" s="69" t="s">
        <v>304</v>
      </c>
      <c r="G332" s="156">
        <f t="shared" si="20"/>
        <v>1129.1</v>
      </c>
      <c r="H332" s="156">
        <f>958.5+135.1+35.5</f>
        <v>1129.1</v>
      </c>
      <c r="I332" s="156"/>
    </row>
    <row r="333" spans="1:9" ht="41.25">
      <c r="A333" s="96" t="s">
        <v>496</v>
      </c>
      <c r="B333" s="136">
        <v>951</v>
      </c>
      <c r="C333" s="100" t="s">
        <v>402</v>
      </c>
      <c r="D333" s="100" t="s">
        <v>172</v>
      </c>
      <c r="E333" s="100" t="s">
        <v>37</v>
      </c>
      <c r="F333" s="100" t="s">
        <v>432</v>
      </c>
      <c r="G333" s="168">
        <f t="shared" si="20"/>
        <v>39</v>
      </c>
      <c r="H333" s="168">
        <f>H334</f>
        <v>39</v>
      </c>
      <c r="I333" s="168">
        <f>I334</f>
        <v>0</v>
      </c>
    </row>
    <row r="334" spans="1:9" ht="27">
      <c r="A334" s="25" t="s">
        <v>89</v>
      </c>
      <c r="B334" s="30">
        <v>951</v>
      </c>
      <c r="C334" s="69" t="s">
        <v>402</v>
      </c>
      <c r="D334" s="69" t="s">
        <v>172</v>
      </c>
      <c r="E334" s="69" t="s">
        <v>522</v>
      </c>
      <c r="F334" s="69" t="s">
        <v>432</v>
      </c>
      <c r="G334" s="156">
        <f t="shared" si="20"/>
        <v>39</v>
      </c>
      <c r="H334" s="156">
        <f>H335</f>
        <v>39</v>
      </c>
      <c r="I334" s="156">
        <f>I335</f>
        <v>0</v>
      </c>
    </row>
    <row r="335" spans="1:9" ht="13.5">
      <c r="A335" s="25" t="s">
        <v>227</v>
      </c>
      <c r="B335" s="30">
        <v>951</v>
      </c>
      <c r="C335" s="69" t="s">
        <v>402</v>
      </c>
      <c r="D335" s="69" t="s">
        <v>172</v>
      </c>
      <c r="E335" s="69" t="s">
        <v>90</v>
      </c>
      <c r="F335" s="69" t="s">
        <v>304</v>
      </c>
      <c r="G335" s="156">
        <f t="shared" si="20"/>
        <v>39</v>
      </c>
      <c r="H335" s="156">
        <v>39</v>
      </c>
      <c r="I335" s="156"/>
    </row>
    <row r="336" spans="1:9" ht="54.75">
      <c r="A336" s="96" t="s">
        <v>498</v>
      </c>
      <c r="B336" s="136">
        <v>951</v>
      </c>
      <c r="C336" s="100" t="s">
        <v>402</v>
      </c>
      <c r="D336" s="100" t="s">
        <v>172</v>
      </c>
      <c r="E336" s="100" t="s">
        <v>78</v>
      </c>
      <c r="F336" s="100" t="s">
        <v>432</v>
      </c>
      <c r="G336" s="168">
        <f t="shared" si="20"/>
        <v>2</v>
      </c>
      <c r="H336" s="168">
        <f>H337</f>
        <v>2</v>
      </c>
      <c r="I336" s="168">
        <f>I337</f>
        <v>0</v>
      </c>
    </row>
    <row r="337" spans="1:9" ht="27">
      <c r="A337" s="37" t="s">
        <v>360</v>
      </c>
      <c r="B337" s="41">
        <v>951</v>
      </c>
      <c r="C337" s="33" t="s">
        <v>402</v>
      </c>
      <c r="D337" s="33" t="s">
        <v>172</v>
      </c>
      <c r="E337" s="33" t="s">
        <v>91</v>
      </c>
      <c r="F337" s="33" t="s">
        <v>304</v>
      </c>
      <c r="G337" s="156">
        <f t="shared" si="20"/>
        <v>2</v>
      </c>
      <c r="H337" s="156">
        <v>2</v>
      </c>
      <c r="I337" s="156"/>
    </row>
    <row r="338" spans="1:9" ht="41.25" hidden="1">
      <c r="A338" s="52" t="s">
        <v>302</v>
      </c>
      <c r="B338" s="41">
        <v>952</v>
      </c>
      <c r="C338" s="33" t="s">
        <v>402</v>
      </c>
      <c r="D338" s="33" t="s">
        <v>172</v>
      </c>
      <c r="E338" s="54" t="s">
        <v>47</v>
      </c>
      <c r="F338" s="54" t="s">
        <v>432</v>
      </c>
      <c r="G338" s="168">
        <f t="shared" si="20"/>
        <v>0</v>
      </c>
      <c r="H338" s="168">
        <f>H339</f>
        <v>0</v>
      </c>
      <c r="I338" s="168">
        <f>I339+I340</f>
        <v>0</v>
      </c>
    </row>
    <row r="339" spans="1:9" ht="13.5" hidden="1">
      <c r="A339" s="37" t="s">
        <v>227</v>
      </c>
      <c r="B339" s="41">
        <v>953</v>
      </c>
      <c r="C339" s="33" t="s">
        <v>402</v>
      </c>
      <c r="D339" s="33" t="s">
        <v>172</v>
      </c>
      <c r="E339" s="69" t="s">
        <v>524</v>
      </c>
      <c r="F339" s="33" t="s">
        <v>304</v>
      </c>
      <c r="G339" s="156">
        <f t="shared" si="20"/>
        <v>0</v>
      </c>
      <c r="H339" s="156"/>
      <c r="I339" s="156"/>
    </row>
    <row r="340" spans="1:9" ht="27" hidden="1">
      <c r="A340" s="37" t="s">
        <v>534</v>
      </c>
      <c r="B340" s="41">
        <v>954</v>
      </c>
      <c r="C340" s="33" t="s">
        <v>402</v>
      </c>
      <c r="D340" s="33" t="s">
        <v>172</v>
      </c>
      <c r="E340" s="69" t="s">
        <v>524</v>
      </c>
      <c r="F340" s="33" t="s">
        <v>304</v>
      </c>
      <c r="G340" s="156">
        <f>H340+I340</f>
        <v>0</v>
      </c>
      <c r="H340" s="156">
        <v>0</v>
      </c>
      <c r="I340" s="156"/>
    </row>
    <row r="341" spans="1:9" ht="60" customHeight="1">
      <c r="A341" s="96" t="s">
        <v>511</v>
      </c>
      <c r="B341" s="53">
        <v>951</v>
      </c>
      <c r="C341" s="54" t="s">
        <v>402</v>
      </c>
      <c r="D341" s="54" t="s">
        <v>172</v>
      </c>
      <c r="E341" s="100" t="s">
        <v>44</v>
      </c>
      <c r="F341" s="100" t="s">
        <v>432</v>
      </c>
      <c r="G341" s="197">
        <f>H341+I341</f>
        <v>45</v>
      </c>
      <c r="H341" s="168">
        <f>H342</f>
        <v>45</v>
      </c>
      <c r="I341" s="156"/>
    </row>
    <row r="342" spans="1:9" ht="48" customHeight="1">
      <c r="A342" s="25" t="s">
        <v>225</v>
      </c>
      <c r="B342" s="41">
        <v>951</v>
      </c>
      <c r="C342" s="33" t="s">
        <v>402</v>
      </c>
      <c r="D342" s="33" t="s">
        <v>172</v>
      </c>
      <c r="E342" s="69" t="s">
        <v>738</v>
      </c>
      <c r="F342" s="69" t="s">
        <v>226</v>
      </c>
      <c r="G342" s="198">
        <f>H342+I342</f>
        <v>45</v>
      </c>
      <c r="H342" s="156">
        <f>H343</f>
        <v>45</v>
      </c>
      <c r="I342" s="156"/>
    </row>
    <row r="343" spans="1:9" ht="19.5" customHeight="1">
      <c r="A343" s="25" t="s">
        <v>227</v>
      </c>
      <c r="B343" s="41">
        <v>951</v>
      </c>
      <c r="C343" s="33" t="s">
        <v>402</v>
      </c>
      <c r="D343" s="33" t="s">
        <v>172</v>
      </c>
      <c r="E343" s="69" t="s">
        <v>738</v>
      </c>
      <c r="F343" s="69" t="s">
        <v>304</v>
      </c>
      <c r="G343" s="198">
        <f>H343+I343</f>
        <v>45</v>
      </c>
      <c r="H343" s="156">
        <v>45</v>
      </c>
      <c r="I343" s="156"/>
    </row>
    <row r="344" spans="1:9" ht="19.5" customHeight="1">
      <c r="A344" s="42" t="s">
        <v>243</v>
      </c>
      <c r="B344" s="43">
        <v>951</v>
      </c>
      <c r="C344" s="44" t="s">
        <v>244</v>
      </c>
      <c r="D344" s="44" t="s">
        <v>162</v>
      </c>
      <c r="E344" s="44" t="s">
        <v>338</v>
      </c>
      <c r="F344" s="44" t="s">
        <v>432</v>
      </c>
      <c r="G344" s="206">
        <f>H344+I344</f>
        <v>38719.16585</v>
      </c>
      <c r="H344" s="206">
        <f>H345+H350+H356</f>
        <v>770.1</v>
      </c>
      <c r="I344" s="206">
        <f>I345+I350+I356</f>
        <v>37949.06585</v>
      </c>
    </row>
    <row r="345" spans="1:9" ht="16.5" customHeight="1">
      <c r="A345" s="138" t="s">
        <v>155</v>
      </c>
      <c r="B345" s="126">
        <v>951</v>
      </c>
      <c r="C345" s="127" t="s">
        <v>244</v>
      </c>
      <c r="D345" s="127" t="s">
        <v>161</v>
      </c>
      <c r="E345" s="127" t="s">
        <v>338</v>
      </c>
      <c r="F345" s="127" t="s">
        <v>432</v>
      </c>
      <c r="G345" s="159">
        <f t="shared" si="20"/>
        <v>741.7</v>
      </c>
      <c r="H345" s="159">
        <f aca="true" t="shared" si="21" ref="H345:I348">H346</f>
        <v>741.7</v>
      </c>
      <c r="I345" s="159">
        <f t="shared" si="21"/>
        <v>0</v>
      </c>
    </row>
    <row r="346" spans="1:9" ht="31.5" customHeight="1">
      <c r="A346" s="37" t="s">
        <v>628</v>
      </c>
      <c r="B346" s="41">
        <v>951</v>
      </c>
      <c r="C346" s="33" t="s">
        <v>244</v>
      </c>
      <c r="D346" s="33" t="s">
        <v>161</v>
      </c>
      <c r="E346" s="33" t="s">
        <v>92</v>
      </c>
      <c r="F346" s="33" t="s">
        <v>432</v>
      </c>
      <c r="G346" s="156">
        <f t="shared" si="20"/>
        <v>741.7</v>
      </c>
      <c r="H346" s="156">
        <f t="shared" si="21"/>
        <v>741.7</v>
      </c>
      <c r="I346" s="156">
        <f t="shared" si="21"/>
        <v>0</v>
      </c>
    </row>
    <row r="347" spans="1:9" ht="43.5" customHeight="1">
      <c r="A347" s="37" t="s">
        <v>156</v>
      </c>
      <c r="B347" s="41">
        <v>951</v>
      </c>
      <c r="C347" s="33" t="s">
        <v>244</v>
      </c>
      <c r="D347" s="33" t="s">
        <v>161</v>
      </c>
      <c r="E347" s="33" t="s">
        <v>92</v>
      </c>
      <c r="F347" s="33" t="s">
        <v>432</v>
      </c>
      <c r="G347" s="156">
        <f t="shared" si="20"/>
        <v>741.7</v>
      </c>
      <c r="H347" s="156">
        <f t="shared" si="21"/>
        <v>741.7</v>
      </c>
      <c r="I347" s="156">
        <f t="shared" si="21"/>
        <v>0</v>
      </c>
    </row>
    <row r="348" spans="1:9" ht="27">
      <c r="A348" s="37" t="s">
        <v>216</v>
      </c>
      <c r="B348" s="41">
        <v>951</v>
      </c>
      <c r="C348" s="33" t="s">
        <v>244</v>
      </c>
      <c r="D348" s="33" t="s">
        <v>161</v>
      </c>
      <c r="E348" s="33" t="s">
        <v>92</v>
      </c>
      <c r="F348" s="33" t="s">
        <v>171</v>
      </c>
      <c r="G348" s="156">
        <f t="shared" si="20"/>
        <v>741.7</v>
      </c>
      <c r="H348" s="156">
        <f t="shared" si="21"/>
        <v>741.7</v>
      </c>
      <c r="I348" s="156">
        <f t="shared" si="21"/>
        <v>0</v>
      </c>
    </row>
    <row r="349" spans="1:9" ht="30" customHeight="1">
      <c r="A349" s="37" t="s">
        <v>217</v>
      </c>
      <c r="B349" s="41">
        <v>951</v>
      </c>
      <c r="C349" s="33" t="s">
        <v>244</v>
      </c>
      <c r="D349" s="33" t="s">
        <v>161</v>
      </c>
      <c r="E349" s="33" t="s">
        <v>92</v>
      </c>
      <c r="F349" s="33" t="s">
        <v>218</v>
      </c>
      <c r="G349" s="156">
        <f t="shared" si="20"/>
        <v>741.7</v>
      </c>
      <c r="H349" s="156">
        <v>741.7</v>
      </c>
      <c r="I349" s="156"/>
    </row>
    <row r="350" spans="1:9" ht="17.25" customHeight="1">
      <c r="A350" s="138" t="s">
        <v>629</v>
      </c>
      <c r="B350" s="126">
        <v>951</v>
      </c>
      <c r="C350" s="127" t="s">
        <v>244</v>
      </c>
      <c r="D350" s="127" t="s">
        <v>168</v>
      </c>
      <c r="E350" s="127" t="s">
        <v>338</v>
      </c>
      <c r="F350" s="127" t="s">
        <v>432</v>
      </c>
      <c r="G350" s="159">
        <f>H350+I350</f>
        <v>28.400000000000006</v>
      </c>
      <c r="H350" s="159">
        <f>H351+H353</f>
        <v>28.400000000000006</v>
      </c>
      <c r="I350" s="159">
        <f>I351</f>
        <v>0</v>
      </c>
    </row>
    <row r="351" spans="1:9" ht="45" customHeight="1">
      <c r="A351" s="52" t="s">
        <v>138</v>
      </c>
      <c r="B351" s="41">
        <v>951</v>
      </c>
      <c r="C351" s="54" t="s">
        <v>244</v>
      </c>
      <c r="D351" s="54" t="s">
        <v>168</v>
      </c>
      <c r="E351" s="54" t="s">
        <v>93</v>
      </c>
      <c r="F351" s="54" t="s">
        <v>432</v>
      </c>
      <c r="G351" s="168">
        <f t="shared" si="20"/>
        <v>28.400000000000006</v>
      </c>
      <c r="H351" s="168">
        <f>H352</f>
        <v>28.400000000000006</v>
      </c>
      <c r="I351" s="168">
        <f>I352</f>
        <v>0</v>
      </c>
    </row>
    <row r="352" spans="1:9" ht="29.25" customHeight="1">
      <c r="A352" s="37" t="s">
        <v>219</v>
      </c>
      <c r="B352" s="41">
        <v>951</v>
      </c>
      <c r="C352" s="33" t="s">
        <v>244</v>
      </c>
      <c r="D352" s="33" t="s">
        <v>168</v>
      </c>
      <c r="E352" s="33" t="s">
        <v>94</v>
      </c>
      <c r="F352" s="33" t="s">
        <v>220</v>
      </c>
      <c r="G352" s="156">
        <f t="shared" si="20"/>
        <v>28.400000000000006</v>
      </c>
      <c r="H352" s="156">
        <f>200-171.6</f>
        <v>28.400000000000006</v>
      </c>
      <c r="I352" s="156"/>
    </row>
    <row r="353" spans="1:9" ht="17.25" customHeight="1" hidden="1">
      <c r="A353" s="145" t="s">
        <v>575</v>
      </c>
      <c r="B353" s="126">
        <v>952</v>
      </c>
      <c r="C353" s="33" t="s">
        <v>244</v>
      </c>
      <c r="D353" s="33" t="s">
        <v>168</v>
      </c>
      <c r="E353" s="127" t="s">
        <v>338</v>
      </c>
      <c r="F353" s="127" t="s">
        <v>432</v>
      </c>
      <c r="G353" s="199">
        <f>H353</f>
        <v>0</v>
      </c>
      <c r="H353" s="159">
        <f>H354</f>
        <v>0</v>
      </c>
      <c r="I353" s="159"/>
    </row>
    <row r="354" spans="1:9" ht="29.25" customHeight="1" hidden="1">
      <c r="A354" s="37" t="s">
        <v>216</v>
      </c>
      <c r="B354" s="41">
        <v>953</v>
      </c>
      <c r="C354" s="33" t="s">
        <v>244</v>
      </c>
      <c r="D354" s="33" t="s">
        <v>168</v>
      </c>
      <c r="E354" s="33" t="s">
        <v>576</v>
      </c>
      <c r="F354" s="33" t="s">
        <v>171</v>
      </c>
      <c r="G354" s="198">
        <f>H354</f>
        <v>0</v>
      </c>
      <c r="H354" s="156">
        <f>H355</f>
        <v>0</v>
      </c>
      <c r="I354" s="156"/>
    </row>
    <row r="355" spans="1:9" ht="29.25" customHeight="1" hidden="1">
      <c r="A355" s="37" t="s">
        <v>219</v>
      </c>
      <c r="B355" s="41">
        <v>954</v>
      </c>
      <c r="C355" s="33" t="s">
        <v>244</v>
      </c>
      <c r="D355" s="33" t="s">
        <v>168</v>
      </c>
      <c r="E355" s="33" t="s">
        <v>576</v>
      </c>
      <c r="F355" s="33" t="s">
        <v>220</v>
      </c>
      <c r="G355" s="198">
        <f>H355</f>
        <v>0</v>
      </c>
      <c r="H355" s="156"/>
      <c r="I355" s="156"/>
    </row>
    <row r="356" spans="1:9" ht="19.5" customHeight="1">
      <c r="A356" s="138" t="s">
        <v>425</v>
      </c>
      <c r="B356" s="126">
        <v>951</v>
      </c>
      <c r="C356" s="127" t="s">
        <v>244</v>
      </c>
      <c r="D356" s="127" t="s">
        <v>172</v>
      </c>
      <c r="E356" s="127" t="s">
        <v>338</v>
      </c>
      <c r="F356" s="127" t="s">
        <v>432</v>
      </c>
      <c r="G356" s="159">
        <f>H356+I356</f>
        <v>37949.06585</v>
      </c>
      <c r="H356" s="159"/>
      <c r="I356" s="159">
        <f>I357+I362+I368</f>
        <v>37949.06585</v>
      </c>
    </row>
    <row r="357" spans="1:9" ht="58.5" customHeight="1">
      <c r="A357" s="97" t="s">
        <v>655</v>
      </c>
      <c r="B357" s="136">
        <v>951</v>
      </c>
      <c r="C357" s="100" t="s">
        <v>244</v>
      </c>
      <c r="D357" s="100" t="s">
        <v>172</v>
      </c>
      <c r="E357" s="100" t="s">
        <v>338</v>
      </c>
      <c r="F357" s="100" t="s">
        <v>432</v>
      </c>
      <c r="G357" s="197">
        <f>I357</f>
        <v>21572.52985</v>
      </c>
      <c r="H357" s="168"/>
      <c r="I357" s="168">
        <f>I358+I360</f>
        <v>21572.52985</v>
      </c>
    </row>
    <row r="358" spans="1:9" ht="33.75" customHeight="1">
      <c r="A358" s="25" t="s">
        <v>202</v>
      </c>
      <c r="B358" s="30">
        <v>951</v>
      </c>
      <c r="C358" s="69" t="s">
        <v>244</v>
      </c>
      <c r="D358" s="69" t="s">
        <v>172</v>
      </c>
      <c r="E358" s="69" t="s">
        <v>591</v>
      </c>
      <c r="F358" s="69" t="s">
        <v>170</v>
      </c>
      <c r="G358" s="198">
        <f>H358+I358</f>
        <v>57</v>
      </c>
      <c r="H358" s="156"/>
      <c r="I358" s="156">
        <f>I359</f>
        <v>57</v>
      </c>
    </row>
    <row r="359" spans="1:9" ht="46.5" customHeight="1">
      <c r="A359" s="85" t="s">
        <v>203</v>
      </c>
      <c r="B359" s="30">
        <v>951</v>
      </c>
      <c r="C359" s="69" t="s">
        <v>244</v>
      </c>
      <c r="D359" s="69" t="s">
        <v>172</v>
      </c>
      <c r="E359" s="69" t="s">
        <v>591</v>
      </c>
      <c r="F359" s="69" t="s">
        <v>204</v>
      </c>
      <c r="G359" s="198">
        <f>H359+I359</f>
        <v>57</v>
      </c>
      <c r="H359" s="156"/>
      <c r="I359" s="156">
        <f>43+14</f>
        <v>57</v>
      </c>
    </row>
    <row r="360" spans="1:9" ht="42" customHeight="1">
      <c r="A360" s="85" t="s">
        <v>631</v>
      </c>
      <c r="B360" s="30">
        <v>951</v>
      </c>
      <c r="C360" s="69" t="s">
        <v>244</v>
      </c>
      <c r="D360" s="69" t="s">
        <v>172</v>
      </c>
      <c r="E360" s="69" t="s">
        <v>591</v>
      </c>
      <c r="F360" s="69" t="s">
        <v>632</v>
      </c>
      <c r="G360" s="198">
        <f>I360</f>
        <v>21515.52985</v>
      </c>
      <c r="H360" s="156"/>
      <c r="I360" s="156">
        <f>I361</f>
        <v>21515.52985</v>
      </c>
    </row>
    <row r="361" spans="1:9" ht="16.5" customHeight="1">
      <c r="A361" s="85" t="s">
        <v>633</v>
      </c>
      <c r="B361" s="30">
        <v>951</v>
      </c>
      <c r="C361" s="69" t="s">
        <v>244</v>
      </c>
      <c r="D361" s="69" t="s">
        <v>172</v>
      </c>
      <c r="E361" s="69" t="s">
        <v>591</v>
      </c>
      <c r="F361" s="69" t="s">
        <v>634</v>
      </c>
      <c r="G361" s="198">
        <f>I361</f>
        <v>21515.52985</v>
      </c>
      <c r="H361" s="156"/>
      <c r="I361" s="156">
        <f>21576.39094+128.39895-43-132.26004-14</f>
        <v>21515.52985</v>
      </c>
    </row>
    <row r="362" spans="1:9" ht="99" customHeight="1">
      <c r="A362" s="96" t="s">
        <v>721</v>
      </c>
      <c r="B362" s="41">
        <v>951</v>
      </c>
      <c r="C362" s="69" t="s">
        <v>244</v>
      </c>
      <c r="D362" s="69" t="s">
        <v>172</v>
      </c>
      <c r="E362" s="100" t="s">
        <v>741</v>
      </c>
      <c r="F362" s="100" t="s">
        <v>432</v>
      </c>
      <c r="G362" s="197">
        <f aca="true" t="shared" si="22" ref="G362:G367">H362+I362</f>
        <v>15875.701</v>
      </c>
      <c r="H362" s="168"/>
      <c r="I362" s="168">
        <f>I363+I365</f>
        <v>15875.701</v>
      </c>
    </row>
    <row r="363" spans="1:9" ht="39" customHeight="1">
      <c r="A363" s="25" t="s">
        <v>202</v>
      </c>
      <c r="B363" s="41" t="s">
        <v>192</v>
      </c>
      <c r="C363" s="69" t="s">
        <v>244</v>
      </c>
      <c r="D363" s="69" t="s">
        <v>172</v>
      </c>
      <c r="E363" s="69" t="s">
        <v>741</v>
      </c>
      <c r="F363" s="69" t="s">
        <v>170</v>
      </c>
      <c r="G363" s="198">
        <f>I363</f>
        <v>150</v>
      </c>
      <c r="H363" s="156"/>
      <c r="I363" s="156">
        <f>I364</f>
        <v>150</v>
      </c>
    </row>
    <row r="364" spans="1:9" ht="42.75" customHeight="1">
      <c r="A364" s="85" t="s">
        <v>203</v>
      </c>
      <c r="B364" s="41" t="s">
        <v>192</v>
      </c>
      <c r="C364" s="69" t="s">
        <v>244</v>
      </c>
      <c r="D364" s="69" t="s">
        <v>172</v>
      </c>
      <c r="E364" s="69" t="s">
        <v>741</v>
      </c>
      <c r="F364" s="69" t="s">
        <v>204</v>
      </c>
      <c r="G364" s="198">
        <f>I364</f>
        <v>150</v>
      </c>
      <c r="H364" s="156"/>
      <c r="I364" s="156">
        <v>150</v>
      </c>
    </row>
    <row r="365" spans="1:9" ht="29.25" customHeight="1">
      <c r="A365" s="25" t="s">
        <v>216</v>
      </c>
      <c r="B365" s="41">
        <v>951</v>
      </c>
      <c r="C365" s="69" t="s">
        <v>244</v>
      </c>
      <c r="D365" s="69" t="s">
        <v>172</v>
      </c>
      <c r="E365" s="69" t="s">
        <v>741</v>
      </c>
      <c r="F365" s="69" t="s">
        <v>171</v>
      </c>
      <c r="G365" s="198">
        <f t="shared" si="22"/>
        <v>15725.701</v>
      </c>
      <c r="H365" s="156"/>
      <c r="I365" s="156">
        <f>I366+I367</f>
        <v>15725.701</v>
      </c>
    </row>
    <row r="366" spans="1:9" ht="29.25" customHeight="1">
      <c r="A366" s="25" t="s">
        <v>217</v>
      </c>
      <c r="B366" s="41" t="s">
        <v>192</v>
      </c>
      <c r="C366" s="69" t="s">
        <v>244</v>
      </c>
      <c r="D366" s="69" t="s">
        <v>172</v>
      </c>
      <c r="E366" s="69" t="s">
        <v>741</v>
      </c>
      <c r="F366" s="69" t="s">
        <v>218</v>
      </c>
      <c r="G366" s="198">
        <f t="shared" si="22"/>
        <v>11103.796999999999</v>
      </c>
      <c r="H366" s="156"/>
      <c r="I366" s="156">
        <f>14592.018-1121.904-150-2216.317</f>
        <v>11103.796999999999</v>
      </c>
    </row>
    <row r="367" spans="1:9" ht="29.25" customHeight="1">
      <c r="A367" s="25" t="s">
        <v>219</v>
      </c>
      <c r="B367" s="41">
        <v>951</v>
      </c>
      <c r="C367" s="69" t="s">
        <v>244</v>
      </c>
      <c r="D367" s="69" t="s">
        <v>172</v>
      </c>
      <c r="E367" s="69" t="s">
        <v>741</v>
      </c>
      <c r="F367" s="69" t="s">
        <v>220</v>
      </c>
      <c r="G367" s="198">
        <f t="shared" si="22"/>
        <v>4621.904</v>
      </c>
      <c r="H367" s="156"/>
      <c r="I367" s="156">
        <f>3500+1121.904</f>
        <v>4621.904</v>
      </c>
    </row>
    <row r="368" spans="1:9" ht="85.5" customHeight="1">
      <c r="A368" s="96" t="s">
        <v>724</v>
      </c>
      <c r="B368" s="41">
        <v>951</v>
      </c>
      <c r="C368" s="69" t="s">
        <v>244</v>
      </c>
      <c r="D368" s="69" t="s">
        <v>172</v>
      </c>
      <c r="E368" s="100" t="s">
        <v>742</v>
      </c>
      <c r="F368" s="100" t="s">
        <v>432</v>
      </c>
      <c r="G368" s="197">
        <f>H368+I368</f>
        <v>500.835</v>
      </c>
      <c r="H368" s="168"/>
      <c r="I368" s="168">
        <f>I369+I371</f>
        <v>500.835</v>
      </c>
    </row>
    <row r="369" spans="1:9" ht="30.75" customHeight="1">
      <c r="A369" s="25" t="s">
        <v>202</v>
      </c>
      <c r="B369" s="41" t="s">
        <v>192</v>
      </c>
      <c r="C369" s="69" t="s">
        <v>244</v>
      </c>
      <c r="D369" s="69" t="s">
        <v>172</v>
      </c>
      <c r="E369" s="69" t="s">
        <v>742</v>
      </c>
      <c r="F369" s="69" t="s">
        <v>170</v>
      </c>
      <c r="G369" s="198">
        <f>I369</f>
        <v>5</v>
      </c>
      <c r="H369" s="156"/>
      <c r="I369" s="156">
        <f>I370</f>
        <v>5</v>
      </c>
    </row>
    <row r="370" spans="1:9" ht="42.75" customHeight="1">
      <c r="A370" s="85" t="s">
        <v>203</v>
      </c>
      <c r="B370" s="41" t="s">
        <v>192</v>
      </c>
      <c r="C370" s="69" t="s">
        <v>244</v>
      </c>
      <c r="D370" s="69" t="s">
        <v>172</v>
      </c>
      <c r="E370" s="69" t="s">
        <v>742</v>
      </c>
      <c r="F370" s="69" t="s">
        <v>204</v>
      </c>
      <c r="G370" s="198">
        <f>I370</f>
        <v>5</v>
      </c>
      <c r="H370" s="156"/>
      <c r="I370" s="156">
        <v>5</v>
      </c>
    </row>
    <row r="371" spans="1:9" ht="29.25" customHeight="1">
      <c r="A371" s="25" t="s">
        <v>216</v>
      </c>
      <c r="B371" s="41">
        <v>951</v>
      </c>
      <c r="C371" s="69" t="s">
        <v>244</v>
      </c>
      <c r="D371" s="69" t="s">
        <v>172</v>
      </c>
      <c r="E371" s="69" t="s">
        <v>742</v>
      </c>
      <c r="F371" s="69" t="s">
        <v>171</v>
      </c>
      <c r="G371" s="198">
        <f>H371+I371</f>
        <v>495.835</v>
      </c>
      <c r="H371" s="156"/>
      <c r="I371" s="156">
        <f>I372</f>
        <v>495.835</v>
      </c>
    </row>
    <row r="372" spans="1:9" ht="29.25" customHeight="1">
      <c r="A372" s="25" t="s">
        <v>217</v>
      </c>
      <c r="B372" s="41">
        <v>951</v>
      </c>
      <c r="C372" s="69" t="s">
        <v>244</v>
      </c>
      <c r="D372" s="69" t="s">
        <v>172</v>
      </c>
      <c r="E372" s="69" t="s">
        <v>742</v>
      </c>
      <c r="F372" s="69" t="s">
        <v>218</v>
      </c>
      <c r="G372" s="198">
        <f>H372+I372</f>
        <v>495.835</v>
      </c>
      <c r="H372" s="156"/>
      <c r="I372" s="156">
        <f>500.835-5</f>
        <v>495.835</v>
      </c>
    </row>
    <row r="373" spans="1:9" ht="13.5">
      <c r="A373" s="330" t="s">
        <v>247</v>
      </c>
      <c r="B373" s="43">
        <v>951</v>
      </c>
      <c r="C373" s="44" t="s">
        <v>179</v>
      </c>
      <c r="D373" s="44" t="s">
        <v>162</v>
      </c>
      <c r="E373" s="44" t="s">
        <v>338</v>
      </c>
      <c r="F373" s="44" t="s">
        <v>432</v>
      </c>
      <c r="G373" s="206">
        <f>H373+I373</f>
        <v>35812.86927</v>
      </c>
      <c r="H373" s="167">
        <f>H374</f>
        <v>952.86927</v>
      </c>
      <c r="I373" s="167">
        <f aca="true" t="shared" si="23" ref="H373:I377">I374</f>
        <v>34860</v>
      </c>
    </row>
    <row r="374" spans="1:9" ht="13.5">
      <c r="A374" s="37" t="s">
        <v>366</v>
      </c>
      <c r="B374" s="41">
        <v>951</v>
      </c>
      <c r="C374" s="33" t="s">
        <v>179</v>
      </c>
      <c r="D374" s="33" t="s">
        <v>163</v>
      </c>
      <c r="E374" s="33" t="s">
        <v>338</v>
      </c>
      <c r="F374" s="33" t="s">
        <v>432</v>
      </c>
      <c r="G374" s="156">
        <f t="shared" si="20"/>
        <v>35812.86927</v>
      </c>
      <c r="H374" s="156">
        <f t="shared" si="23"/>
        <v>952.86927</v>
      </c>
      <c r="I374" s="156">
        <f t="shared" si="23"/>
        <v>34860</v>
      </c>
    </row>
    <row r="375" spans="1:9" ht="43.5" customHeight="1">
      <c r="A375" s="52" t="s">
        <v>502</v>
      </c>
      <c r="B375" s="53">
        <v>951</v>
      </c>
      <c r="C375" s="54" t="s">
        <v>179</v>
      </c>
      <c r="D375" s="54" t="s">
        <v>163</v>
      </c>
      <c r="E375" s="54" t="s">
        <v>97</v>
      </c>
      <c r="F375" s="54" t="s">
        <v>432</v>
      </c>
      <c r="G375" s="168">
        <f t="shared" si="20"/>
        <v>35812.86927</v>
      </c>
      <c r="H375" s="168">
        <f>H376+H379+H390+H393</f>
        <v>952.86927</v>
      </c>
      <c r="I375" s="168">
        <f>I376+I379+I393</f>
        <v>34860</v>
      </c>
    </row>
    <row r="376" spans="1:9" ht="30.75" customHeight="1">
      <c r="A376" s="37" t="s">
        <v>248</v>
      </c>
      <c r="B376" s="41">
        <v>951</v>
      </c>
      <c r="C376" s="33" t="s">
        <v>179</v>
      </c>
      <c r="D376" s="33" t="s">
        <v>163</v>
      </c>
      <c r="E376" s="33" t="s">
        <v>98</v>
      </c>
      <c r="F376" s="33" t="s">
        <v>432</v>
      </c>
      <c r="G376" s="156">
        <f t="shared" si="20"/>
        <v>89.00303000000001</v>
      </c>
      <c r="H376" s="156">
        <f t="shared" si="23"/>
        <v>89.00303000000001</v>
      </c>
      <c r="I376" s="156">
        <f t="shared" si="23"/>
        <v>0</v>
      </c>
    </row>
    <row r="377" spans="1:9" ht="30" customHeight="1">
      <c r="A377" s="37" t="s">
        <v>202</v>
      </c>
      <c r="B377" s="41">
        <v>951</v>
      </c>
      <c r="C377" s="33" t="s">
        <v>179</v>
      </c>
      <c r="D377" s="33" t="s">
        <v>163</v>
      </c>
      <c r="E377" s="33" t="s">
        <v>98</v>
      </c>
      <c r="F377" s="33" t="s">
        <v>170</v>
      </c>
      <c r="G377" s="156">
        <f t="shared" si="20"/>
        <v>89.00303000000001</v>
      </c>
      <c r="H377" s="156">
        <f t="shared" si="23"/>
        <v>89.00303000000001</v>
      </c>
      <c r="I377" s="156">
        <f t="shared" si="23"/>
        <v>0</v>
      </c>
    </row>
    <row r="378" spans="1:9" ht="41.25">
      <c r="A378" s="85" t="s">
        <v>203</v>
      </c>
      <c r="B378" s="30">
        <v>951</v>
      </c>
      <c r="C378" s="69" t="s">
        <v>179</v>
      </c>
      <c r="D378" s="69" t="s">
        <v>163</v>
      </c>
      <c r="E378" s="69" t="s">
        <v>98</v>
      </c>
      <c r="F378" s="69" t="s">
        <v>204</v>
      </c>
      <c r="G378" s="156">
        <f t="shared" si="20"/>
        <v>89.00303000000001</v>
      </c>
      <c r="H378" s="156">
        <f>150-9.69697-23-28.3</f>
        <v>89.00303000000001</v>
      </c>
      <c r="I378" s="156"/>
    </row>
    <row r="379" spans="1:9" ht="41.25">
      <c r="A379" s="146" t="s">
        <v>635</v>
      </c>
      <c r="B379" s="30">
        <v>951</v>
      </c>
      <c r="C379" s="143" t="s">
        <v>179</v>
      </c>
      <c r="D379" s="143" t="s">
        <v>163</v>
      </c>
      <c r="E379" s="143" t="s">
        <v>97</v>
      </c>
      <c r="F379" s="143" t="s">
        <v>432</v>
      </c>
      <c r="G379" s="200">
        <f>H379+I379</f>
        <v>34242.54545</v>
      </c>
      <c r="H379" s="167">
        <f>H385</f>
        <v>342.54545</v>
      </c>
      <c r="I379" s="167">
        <f>I380</f>
        <v>33900</v>
      </c>
    </row>
    <row r="380" spans="1:9" ht="69.75">
      <c r="A380" s="97" t="s">
        <v>656</v>
      </c>
      <c r="B380" s="30">
        <v>951</v>
      </c>
      <c r="C380" s="100" t="s">
        <v>179</v>
      </c>
      <c r="D380" s="100" t="s">
        <v>163</v>
      </c>
      <c r="E380" s="100" t="s">
        <v>636</v>
      </c>
      <c r="F380" s="100" t="s">
        <v>432</v>
      </c>
      <c r="G380" s="197">
        <f>I380</f>
        <v>33900</v>
      </c>
      <c r="H380" s="168"/>
      <c r="I380" s="168">
        <f>I381+I383</f>
        <v>33900</v>
      </c>
    </row>
    <row r="381" spans="1:9" ht="41.25">
      <c r="A381" s="85" t="s">
        <v>631</v>
      </c>
      <c r="B381" s="30">
        <v>951</v>
      </c>
      <c r="C381" s="69" t="s">
        <v>179</v>
      </c>
      <c r="D381" s="69" t="s">
        <v>163</v>
      </c>
      <c r="E381" s="69" t="s">
        <v>636</v>
      </c>
      <c r="F381" s="69" t="s">
        <v>632</v>
      </c>
      <c r="G381" s="198">
        <f>I381</f>
        <v>33900</v>
      </c>
      <c r="H381" s="156"/>
      <c r="I381" s="156">
        <f>I382</f>
        <v>33900</v>
      </c>
    </row>
    <row r="382" spans="1:9" ht="13.5">
      <c r="A382" s="85" t="s">
        <v>633</v>
      </c>
      <c r="B382" s="30">
        <v>951</v>
      </c>
      <c r="C382" s="69" t="s">
        <v>179</v>
      </c>
      <c r="D382" s="69" t="s">
        <v>163</v>
      </c>
      <c r="E382" s="69" t="s">
        <v>636</v>
      </c>
      <c r="F382" s="69" t="s">
        <v>634</v>
      </c>
      <c r="G382" s="198">
        <f>I382</f>
        <v>33900</v>
      </c>
      <c r="H382" s="156"/>
      <c r="I382" s="156">
        <f>597.5+44760.7-358.2-11100</f>
        <v>33900</v>
      </c>
    </row>
    <row r="383" spans="1:9" ht="41.25" hidden="1">
      <c r="A383" s="25" t="s">
        <v>637</v>
      </c>
      <c r="B383" s="30">
        <v>952</v>
      </c>
      <c r="C383" s="69" t="s">
        <v>179</v>
      </c>
      <c r="D383" s="69" t="s">
        <v>163</v>
      </c>
      <c r="E383" s="69" t="s">
        <v>636</v>
      </c>
      <c r="F383" s="69" t="s">
        <v>226</v>
      </c>
      <c r="G383" s="198">
        <f>I383</f>
        <v>0</v>
      </c>
      <c r="H383" s="156"/>
      <c r="I383" s="156">
        <f>I384</f>
        <v>0</v>
      </c>
    </row>
    <row r="384" spans="1:9" ht="15.75" customHeight="1" hidden="1">
      <c r="A384" s="25" t="s">
        <v>191</v>
      </c>
      <c r="B384" s="30">
        <v>953</v>
      </c>
      <c r="C384" s="69" t="s">
        <v>179</v>
      </c>
      <c r="D384" s="69" t="s">
        <v>163</v>
      </c>
      <c r="E384" s="69" t="s">
        <v>636</v>
      </c>
      <c r="F384" s="69" t="s">
        <v>304</v>
      </c>
      <c r="G384" s="198">
        <f>I384</f>
        <v>0</v>
      </c>
      <c r="H384" s="156"/>
      <c r="I384" s="156">
        <v>0</v>
      </c>
    </row>
    <row r="385" spans="1:9" ht="87" customHeight="1">
      <c r="A385" s="97" t="s">
        <v>657</v>
      </c>
      <c r="B385" s="30">
        <v>951</v>
      </c>
      <c r="C385" s="100" t="s">
        <v>179</v>
      </c>
      <c r="D385" s="100" t="s">
        <v>163</v>
      </c>
      <c r="E385" s="100" t="s">
        <v>638</v>
      </c>
      <c r="F385" s="100" t="s">
        <v>432</v>
      </c>
      <c r="G385" s="197">
        <f>H385</f>
        <v>342.54545</v>
      </c>
      <c r="H385" s="168">
        <f>H386+H388</f>
        <v>342.54545</v>
      </c>
      <c r="I385" s="168"/>
    </row>
    <row r="386" spans="1:9" ht="41.25">
      <c r="A386" s="85" t="s">
        <v>631</v>
      </c>
      <c r="B386" s="30">
        <v>951</v>
      </c>
      <c r="C386" s="69" t="s">
        <v>179</v>
      </c>
      <c r="D386" s="69" t="s">
        <v>163</v>
      </c>
      <c r="E386" s="69" t="s">
        <v>638</v>
      </c>
      <c r="F386" s="69" t="s">
        <v>632</v>
      </c>
      <c r="G386" s="198">
        <f>H386</f>
        <v>342.54545</v>
      </c>
      <c r="H386" s="156">
        <f>H387</f>
        <v>342.54545</v>
      </c>
      <c r="I386" s="156"/>
    </row>
    <row r="387" spans="1:10" ht="13.5">
      <c r="A387" s="85" t="s">
        <v>633</v>
      </c>
      <c r="B387" s="30">
        <v>951</v>
      </c>
      <c r="C387" s="69" t="s">
        <v>179</v>
      </c>
      <c r="D387" s="69" t="s">
        <v>163</v>
      </c>
      <c r="E387" s="69" t="s">
        <v>638</v>
      </c>
      <c r="F387" s="69" t="s">
        <v>634</v>
      </c>
      <c r="G387" s="198">
        <f>H387</f>
        <v>342.54545</v>
      </c>
      <c r="H387" s="156">
        <f>478.55295-7.2405-16.767-112</f>
        <v>342.54545</v>
      </c>
      <c r="I387" s="156"/>
      <c r="J387" s="110" t="s">
        <v>652</v>
      </c>
    </row>
    <row r="388" spans="1:10" ht="42" customHeight="1" hidden="1">
      <c r="A388" s="25" t="s">
        <v>637</v>
      </c>
      <c r="B388" s="30">
        <v>952</v>
      </c>
      <c r="C388" s="69" t="s">
        <v>179</v>
      </c>
      <c r="D388" s="69" t="s">
        <v>163</v>
      </c>
      <c r="E388" s="69" t="s">
        <v>638</v>
      </c>
      <c r="F388" s="69" t="s">
        <v>226</v>
      </c>
      <c r="G388" s="198">
        <f>H388</f>
        <v>0</v>
      </c>
      <c r="H388" s="156">
        <f>H389</f>
        <v>0</v>
      </c>
      <c r="I388" s="156"/>
      <c r="J388" s="110"/>
    </row>
    <row r="389" spans="1:10" ht="15" customHeight="1" hidden="1">
      <c r="A389" s="25" t="s">
        <v>191</v>
      </c>
      <c r="B389" s="30">
        <v>953</v>
      </c>
      <c r="C389" s="69" t="s">
        <v>179</v>
      </c>
      <c r="D389" s="69" t="s">
        <v>163</v>
      </c>
      <c r="E389" s="69" t="s">
        <v>638</v>
      </c>
      <c r="F389" s="69" t="s">
        <v>304</v>
      </c>
      <c r="G389" s="198">
        <f>H389</f>
        <v>0</v>
      </c>
      <c r="H389" s="156">
        <v>0</v>
      </c>
      <c r="I389" s="156"/>
      <c r="J389" s="110"/>
    </row>
    <row r="390" spans="1:10" ht="45" customHeight="1">
      <c r="A390" s="96" t="s">
        <v>805</v>
      </c>
      <c r="B390" s="136">
        <v>951</v>
      </c>
      <c r="C390" s="100" t="s">
        <v>179</v>
      </c>
      <c r="D390" s="100" t="s">
        <v>163</v>
      </c>
      <c r="E390" s="100" t="s">
        <v>801</v>
      </c>
      <c r="F390" s="100" t="s">
        <v>432</v>
      </c>
      <c r="G390" s="197">
        <f>H390+I390</f>
        <v>513</v>
      </c>
      <c r="H390" s="168">
        <f>H391</f>
        <v>513</v>
      </c>
      <c r="I390" s="156"/>
      <c r="J390" s="110"/>
    </row>
    <row r="391" spans="1:10" ht="30" customHeight="1">
      <c r="A391" s="25" t="s">
        <v>202</v>
      </c>
      <c r="B391" s="30">
        <v>951</v>
      </c>
      <c r="C391" s="69" t="s">
        <v>179</v>
      </c>
      <c r="D391" s="69" t="s">
        <v>163</v>
      </c>
      <c r="E391" s="69" t="s">
        <v>801</v>
      </c>
      <c r="F391" s="69" t="s">
        <v>170</v>
      </c>
      <c r="G391" s="198">
        <f>H391+I391</f>
        <v>513</v>
      </c>
      <c r="H391" s="156">
        <f>H392</f>
        <v>513</v>
      </c>
      <c r="I391" s="156"/>
      <c r="J391" s="110"/>
    </row>
    <row r="392" spans="1:10" ht="42" customHeight="1">
      <c r="A392" s="85" t="s">
        <v>203</v>
      </c>
      <c r="B392" s="30">
        <v>951</v>
      </c>
      <c r="C392" s="69" t="s">
        <v>179</v>
      </c>
      <c r="D392" s="69" t="s">
        <v>163</v>
      </c>
      <c r="E392" s="69" t="s">
        <v>801</v>
      </c>
      <c r="F392" s="69" t="s">
        <v>204</v>
      </c>
      <c r="G392" s="198">
        <f>H392+I392</f>
        <v>513</v>
      </c>
      <c r="H392" s="156">
        <f>250-27+140+150</f>
        <v>513</v>
      </c>
      <c r="I392" s="156"/>
      <c r="J392" s="110"/>
    </row>
    <row r="393" spans="1:10" ht="56.25" customHeight="1">
      <c r="A393" s="142" t="s">
        <v>806</v>
      </c>
      <c r="B393" s="30">
        <v>951</v>
      </c>
      <c r="C393" s="69" t="s">
        <v>179</v>
      </c>
      <c r="D393" s="69" t="s">
        <v>163</v>
      </c>
      <c r="E393" s="143" t="s">
        <v>97</v>
      </c>
      <c r="F393" s="143" t="s">
        <v>432</v>
      </c>
      <c r="G393" s="200">
        <f>H393+I393</f>
        <v>968.32079</v>
      </c>
      <c r="H393" s="167">
        <f>H397</f>
        <v>8.32079</v>
      </c>
      <c r="I393" s="167">
        <f>I394</f>
        <v>960</v>
      </c>
      <c r="J393" s="110"/>
    </row>
    <row r="394" spans="1:10" ht="81.75" customHeight="1">
      <c r="A394" s="97" t="s">
        <v>812</v>
      </c>
      <c r="B394" s="30">
        <v>951</v>
      </c>
      <c r="C394" s="69" t="s">
        <v>179</v>
      </c>
      <c r="D394" s="69" t="s">
        <v>163</v>
      </c>
      <c r="E394" s="100" t="s">
        <v>807</v>
      </c>
      <c r="F394" s="100" t="s">
        <v>432</v>
      </c>
      <c r="G394" s="197">
        <f aca="true" t="shared" si="24" ref="G394:G399">H394+I394</f>
        <v>960</v>
      </c>
      <c r="H394" s="168"/>
      <c r="I394" s="168">
        <f>I395</f>
        <v>960</v>
      </c>
      <c r="J394" s="110"/>
    </row>
    <row r="395" spans="1:10" ht="27.75" customHeight="1">
      <c r="A395" s="25" t="s">
        <v>202</v>
      </c>
      <c r="B395" s="30">
        <v>951</v>
      </c>
      <c r="C395" s="69" t="s">
        <v>179</v>
      </c>
      <c r="D395" s="69" t="s">
        <v>163</v>
      </c>
      <c r="E395" s="69" t="s">
        <v>807</v>
      </c>
      <c r="F395" s="69" t="s">
        <v>170</v>
      </c>
      <c r="G395" s="198">
        <f t="shared" si="24"/>
        <v>960</v>
      </c>
      <c r="H395" s="156"/>
      <c r="I395" s="156">
        <f>I396</f>
        <v>960</v>
      </c>
      <c r="J395" s="110"/>
    </row>
    <row r="396" spans="1:10" ht="41.25" customHeight="1">
      <c r="A396" s="85" t="s">
        <v>203</v>
      </c>
      <c r="B396" s="30">
        <v>951</v>
      </c>
      <c r="C396" s="69" t="s">
        <v>179</v>
      </c>
      <c r="D396" s="69" t="s">
        <v>163</v>
      </c>
      <c r="E396" s="69" t="s">
        <v>807</v>
      </c>
      <c r="F396" s="69" t="s">
        <v>204</v>
      </c>
      <c r="G396" s="198">
        <f t="shared" si="24"/>
        <v>960</v>
      </c>
      <c r="H396" s="156"/>
      <c r="I396" s="156">
        <v>960</v>
      </c>
      <c r="J396" s="110"/>
    </row>
    <row r="397" spans="1:10" ht="82.5" customHeight="1">
      <c r="A397" s="96" t="s">
        <v>809</v>
      </c>
      <c r="B397" s="30">
        <v>951</v>
      </c>
      <c r="C397" s="69" t="s">
        <v>179</v>
      </c>
      <c r="D397" s="69" t="s">
        <v>163</v>
      </c>
      <c r="E397" s="100" t="s">
        <v>810</v>
      </c>
      <c r="F397" s="100" t="s">
        <v>432</v>
      </c>
      <c r="G397" s="197">
        <f t="shared" si="24"/>
        <v>8.32079</v>
      </c>
      <c r="H397" s="168">
        <f>H398</f>
        <v>8.32079</v>
      </c>
      <c r="I397" s="168"/>
      <c r="J397" s="110"/>
    </row>
    <row r="398" spans="1:10" ht="30" customHeight="1">
      <c r="A398" s="25" t="s">
        <v>202</v>
      </c>
      <c r="B398" s="30">
        <v>951</v>
      </c>
      <c r="C398" s="69" t="s">
        <v>179</v>
      </c>
      <c r="D398" s="69" t="s">
        <v>163</v>
      </c>
      <c r="E398" s="69" t="s">
        <v>810</v>
      </c>
      <c r="F398" s="69" t="s">
        <v>170</v>
      </c>
      <c r="G398" s="198">
        <f t="shared" si="24"/>
        <v>8.32079</v>
      </c>
      <c r="H398" s="156">
        <f>H399</f>
        <v>8.32079</v>
      </c>
      <c r="I398" s="156"/>
      <c r="J398" s="110"/>
    </row>
    <row r="399" spans="1:10" ht="40.5" customHeight="1">
      <c r="A399" s="85" t="s">
        <v>203</v>
      </c>
      <c r="B399" s="30">
        <v>951</v>
      </c>
      <c r="C399" s="69" t="s">
        <v>179</v>
      </c>
      <c r="D399" s="69" t="s">
        <v>163</v>
      </c>
      <c r="E399" s="69" t="s">
        <v>810</v>
      </c>
      <c r="F399" s="69" t="s">
        <v>204</v>
      </c>
      <c r="G399" s="198">
        <f t="shared" si="24"/>
        <v>8.32079</v>
      </c>
      <c r="H399" s="156">
        <f>9.69697-1.37618</f>
        <v>8.32079</v>
      </c>
      <c r="I399" s="156"/>
      <c r="J399" s="110"/>
    </row>
    <row r="400" spans="1:9" ht="31.5" customHeight="1">
      <c r="A400" s="330" t="s">
        <v>249</v>
      </c>
      <c r="B400" s="43">
        <v>951</v>
      </c>
      <c r="C400" s="44" t="s">
        <v>181</v>
      </c>
      <c r="D400" s="44" t="s">
        <v>162</v>
      </c>
      <c r="E400" s="44" t="s">
        <v>338</v>
      </c>
      <c r="F400" s="44" t="s">
        <v>432</v>
      </c>
      <c r="G400" s="206">
        <f>H400+I400</f>
        <v>1200</v>
      </c>
      <c r="H400" s="167">
        <f aca="true" t="shared" si="25" ref="H400:I404">H401</f>
        <v>1200</v>
      </c>
      <c r="I400" s="167">
        <f t="shared" si="25"/>
        <v>0</v>
      </c>
    </row>
    <row r="401" spans="1:9" ht="69">
      <c r="A401" s="52" t="s">
        <v>577</v>
      </c>
      <c r="B401" s="36">
        <v>951</v>
      </c>
      <c r="C401" s="33" t="s">
        <v>181</v>
      </c>
      <c r="D401" s="33" t="s">
        <v>161</v>
      </c>
      <c r="E401" s="33" t="s">
        <v>338</v>
      </c>
      <c r="F401" s="33" t="s">
        <v>432</v>
      </c>
      <c r="G401" s="156">
        <f t="shared" si="20"/>
        <v>1200</v>
      </c>
      <c r="H401" s="177">
        <f t="shared" si="25"/>
        <v>1200</v>
      </c>
      <c r="I401" s="177">
        <f t="shared" si="25"/>
        <v>0</v>
      </c>
    </row>
    <row r="402" spans="1:9" ht="27">
      <c r="A402" s="37" t="s">
        <v>377</v>
      </c>
      <c r="B402" s="36">
        <v>951</v>
      </c>
      <c r="C402" s="33" t="s">
        <v>181</v>
      </c>
      <c r="D402" s="33" t="s">
        <v>161</v>
      </c>
      <c r="E402" s="33" t="s">
        <v>555</v>
      </c>
      <c r="F402" s="33" t="s">
        <v>432</v>
      </c>
      <c r="G402" s="156">
        <f t="shared" si="20"/>
        <v>1200</v>
      </c>
      <c r="H402" s="177">
        <f t="shared" si="25"/>
        <v>1200</v>
      </c>
      <c r="I402" s="177">
        <f t="shared" si="25"/>
        <v>0</v>
      </c>
    </row>
    <row r="403" spans="1:9" ht="27">
      <c r="A403" s="37" t="s">
        <v>250</v>
      </c>
      <c r="B403" s="36">
        <v>951</v>
      </c>
      <c r="C403" s="33" t="s">
        <v>181</v>
      </c>
      <c r="D403" s="33" t="s">
        <v>161</v>
      </c>
      <c r="E403" s="33" t="s">
        <v>555</v>
      </c>
      <c r="F403" s="33" t="s">
        <v>432</v>
      </c>
      <c r="G403" s="156">
        <f t="shared" si="20"/>
        <v>1200</v>
      </c>
      <c r="H403" s="177">
        <f t="shared" si="25"/>
        <v>1200</v>
      </c>
      <c r="I403" s="177">
        <f t="shared" si="25"/>
        <v>0</v>
      </c>
    </row>
    <row r="404" spans="1:9" ht="27">
      <c r="A404" s="37" t="s">
        <v>221</v>
      </c>
      <c r="B404" s="36">
        <v>951</v>
      </c>
      <c r="C404" s="33" t="s">
        <v>181</v>
      </c>
      <c r="D404" s="33" t="s">
        <v>161</v>
      </c>
      <c r="E404" s="33" t="s">
        <v>555</v>
      </c>
      <c r="F404" s="33" t="s">
        <v>222</v>
      </c>
      <c r="G404" s="156">
        <f t="shared" si="20"/>
        <v>1200</v>
      </c>
      <c r="H404" s="177">
        <f t="shared" si="25"/>
        <v>1200</v>
      </c>
      <c r="I404" s="177">
        <f t="shared" si="25"/>
        <v>0</v>
      </c>
    </row>
    <row r="405" spans="1:9" ht="13.5">
      <c r="A405" s="37" t="s">
        <v>251</v>
      </c>
      <c r="B405" s="36">
        <v>951</v>
      </c>
      <c r="C405" s="33" t="s">
        <v>181</v>
      </c>
      <c r="D405" s="33" t="s">
        <v>161</v>
      </c>
      <c r="E405" s="33" t="s">
        <v>555</v>
      </c>
      <c r="F405" s="33" t="s">
        <v>352</v>
      </c>
      <c r="G405" s="156">
        <f t="shared" si="20"/>
        <v>1200</v>
      </c>
      <c r="H405" s="177">
        <f>1300-80-20</f>
        <v>1200</v>
      </c>
      <c r="I405" s="177"/>
    </row>
    <row r="406" spans="1:9" ht="30" customHeight="1">
      <c r="A406" s="329" t="s">
        <v>420</v>
      </c>
      <c r="B406" s="43" t="s">
        <v>433</v>
      </c>
      <c r="C406" s="43" t="s">
        <v>162</v>
      </c>
      <c r="D406" s="43" t="s">
        <v>162</v>
      </c>
      <c r="E406" s="43" t="s">
        <v>338</v>
      </c>
      <c r="F406" s="43" t="s">
        <v>432</v>
      </c>
      <c r="G406" s="167">
        <f>H406+I406</f>
        <v>4049.8</v>
      </c>
      <c r="H406" s="206">
        <f aca="true" t="shared" si="26" ref="H406:I408">H407</f>
        <v>4049.8</v>
      </c>
      <c r="I406" s="206">
        <f t="shared" si="26"/>
        <v>0</v>
      </c>
    </row>
    <row r="407" spans="1:9" ht="54.75">
      <c r="A407" s="37" t="s">
        <v>167</v>
      </c>
      <c r="B407" s="36" t="s">
        <v>433</v>
      </c>
      <c r="C407" s="33" t="s">
        <v>161</v>
      </c>
      <c r="D407" s="33" t="s">
        <v>168</v>
      </c>
      <c r="E407" s="33" t="s">
        <v>338</v>
      </c>
      <c r="F407" s="33" t="s">
        <v>432</v>
      </c>
      <c r="G407" s="156">
        <f t="shared" si="20"/>
        <v>4049.8</v>
      </c>
      <c r="H407" s="156">
        <f t="shared" si="26"/>
        <v>4049.8</v>
      </c>
      <c r="I407" s="156">
        <f t="shared" si="26"/>
        <v>0</v>
      </c>
    </row>
    <row r="408" spans="1:9" ht="27">
      <c r="A408" s="37" t="s">
        <v>164</v>
      </c>
      <c r="B408" s="36" t="s">
        <v>433</v>
      </c>
      <c r="C408" s="33" t="s">
        <v>161</v>
      </c>
      <c r="D408" s="33" t="s">
        <v>168</v>
      </c>
      <c r="E408" s="33" t="s">
        <v>16</v>
      </c>
      <c r="F408" s="33" t="s">
        <v>432</v>
      </c>
      <c r="G408" s="156">
        <f t="shared" si="20"/>
        <v>4049.8</v>
      </c>
      <c r="H408" s="177">
        <f t="shared" si="26"/>
        <v>4049.8</v>
      </c>
      <c r="I408" s="177">
        <f t="shared" si="26"/>
        <v>0</v>
      </c>
    </row>
    <row r="409" spans="1:9" ht="41.25">
      <c r="A409" s="37" t="s">
        <v>165</v>
      </c>
      <c r="B409" s="36" t="s">
        <v>433</v>
      </c>
      <c r="C409" s="33" t="s">
        <v>161</v>
      </c>
      <c r="D409" s="33" t="s">
        <v>168</v>
      </c>
      <c r="E409" s="33" t="s">
        <v>17</v>
      </c>
      <c r="F409" s="33" t="s">
        <v>432</v>
      </c>
      <c r="G409" s="156">
        <f t="shared" si="20"/>
        <v>4049.8</v>
      </c>
      <c r="H409" s="177">
        <f>H413+H410</f>
        <v>4049.8</v>
      </c>
      <c r="I409" s="177">
        <f>I413</f>
        <v>0</v>
      </c>
    </row>
    <row r="410" spans="1:9" ht="27">
      <c r="A410" s="37" t="s">
        <v>195</v>
      </c>
      <c r="B410" s="36" t="s">
        <v>433</v>
      </c>
      <c r="C410" s="33" t="s">
        <v>161</v>
      </c>
      <c r="D410" s="33" t="s">
        <v>168</v>
      </c>
      <c r="E410" s="33" t="s">
        <v>19</v>
      </c>
      <c r="F410" s="33" t="s">
        <v>432</v>
      </c>
      <c r="G410" s="156">
        <f t="shared" si="20"/>
        <v>1914.5</v>
      </c>
      <c r="H410" s="177">
        <f>H411</f>
        <v>1914.5</v>
      </c>
      <c r="I410" s="177"/>
    </row>
    <row r="411" spans="1:9" ht="87" customHeight="1">
      <c r="A411" s="37" t="s">
        <v>199</v>
      </c>
      <c r="B411" s="36" t="s">
        <v>433</v>
      </c>
      <c r="C411" s="33" t="s">
        <v>161</v>
      </c>
      <c r="D411" s="33" t="s">
        <v>168</v>
      </c>
      <c r="E411" s="33" t="s">
        <v>19</v>
      </c>
      <c r="F411" s="33" t="s">
        <v>166</v>
      </c>
      <c r="G411" s="156">
        <f t="shared" si="20"/>
        <v>1914.5</v>
      </c>
      <c r="H411" s="177">
        <f>H412</f>
        <v>1914.5</v>
      </c>
      <c r="I411" s="177"/>
    </row>
    <row r="412" spans="1:9" ht="33" customHeight="1">
      <c r="A412" s="37" t="s">
        <v>201</v>
      </c>
      <c r="B412" s="36" t="s">
        <v>433</v>
      </c>
      <c r="C412" s="33" t="s">
        <v>161</v>
      </c>
      <c r="D412" s="33" t="s">
        <v>168</v>
      </c>
      <c r="E412" s="33" t="s">
        <v>19</v>
      </c>
      <c r="F412" s="33" t="s">
        <v>200</v>
      </c>
      <c r="G412" s="156">
        <f t="shared" si="20"/>
        <v>1914.5</v>
      </c>
      <c r="H412" s="177">
        <f>1623.5+251+48+7-15</f>
        <v>1914.5</v>
      </c>
      <c r="I412" s="177"/>
    </row>
    <row r="413" spans="1:9" ht="45" customHeight="1">
      <c r="A413" s="37" t="s">
        <v>169</v>
      </c>
      <c r="B413" s="36" t="s">
        <v>433</v>
      </c>
      <c r="C413" s="33" t="s">
        <v>161</v>
      </c>
      <c r="D413" s="33" t="s">
        <v>168</v>
      </c>
      <c r="E413" s="33" t="s">
        <v>20</v>
      </c>
      <c r="F413" s="33" t="s">
        <v>432</v>
      </c>
      <c r="G413" s="156">
        <f t="shared" si="20"/>
        <v>2135.3</v>
      </c>
      <c r="H413" s="177">
        <f>H414+H416+H418</f>
        <v>2135.3</v>
      </c>
      <c r="I413" s="177">
        <f>I414+I416</f>
        <v>0</v>
      </c>
    </row>
    <row r="414" spans="1:9" ht="84" customHeight="1">
      <c r="A414" s="37" t="s">
        <v>199</v>
      </c>
      <c r="B414" s="36" t="s">
        <v>433</v>
      </c>
      <c r="C414" s="33" t="s">
        <v>161</v>
      </c>
      <c r="D414" s="33" t="s">
        <v>168</v>
      </c>
      <c r="E414" s="33" t="s">
        <v>20</v>
      </c>
      <c r="F414" s="33" t="s">
        <v>166</v>
      </c>
      <c r="G414" s="156">
        <f t="shared" si="20"/>
        <v>1561.4</v>
      </c>
      <c r="H414" s="177">
        <f>H415</f>
        <v>1561.4</v>
      </c>
      <c r="I414" s="177">
        <f>I415</f>
        <v>0</v>
      </c>
    </row>
    <row r="415" spans="1:9" ht="31.5" customHeight="1">
      <c r="A415" s="37" t="s">
        <v>201</v>
      </c>
      <c r="B415" s="36" t="s">
        <v>433</v>
      </c>
      <c r="C415" s="33" t="s">
        <v>161</v>
      </c>
      <c r="D415" s="33" t="s">
        <v>168</v>
      </c>
      <c r="E415" s="33" t="s">
        <v>20</v>
      </c>
      <c r="F415" s="33" t="s">
        <v>200</v>
      </c>
      <c r="G415" s="156">
        <f t="shared" si="20"/>
        <v>1561.4</v>
      </c>
      <c r="H415" s="156">
        <f>1741.4-150-30</f>
        <v>1561.4</v>
      </c>
      <c r="I415" s="177"/>
    </row>
    <row r="416" spans="1:9" ht="27">
      <c r="A416" s="37" t="s">
        <v>202</v>
      </c>
      <c r="B416" s="36" t="s">
        <v>433</v>
      </c>
      <c r="C416" s="33" t="s">
        <v>161</v>
      </c>
      <c r="D416" s="33" t="s">
        <v>168</v>
      </c>
      <c r="E416" s="33" t="s">
        <v>20</v>
      </c>
      <c r="F416" s="33" t="s">
        <v>170</v>
      </c>
      <c r="G416" s="156">
        <f t="shared" si="20"/>
        <v>568.9</v>
      </c>
      <c r="H416" s="177">
        <f>H417</f>
        <v>568.9</v>
      </c>
      <c r="I416" s="177">
        <f>I417</f>
        <v>0</v>
      </c>
    </row>
    <row r="417" spans="1:9" ht="41.25">
      <c r="A417" s="37" t="s">
        <v>203</v>
      </c>
      <c r="B417" s="36" t="s">
        <v>433</v>
      </c>
      <c r="C417" s="33" t="s">
        <v>161</v>
      </c>
      <c r="D417" s="33" t="s">
        <v>168</v>
      </c>
      <c r="E417" s="33" t="s">
        <v>20</v>
      </c>
      <c r="F417" s="33" t="s">
        <v>204</v>
      </c>
      <c r="G417" s="156">
        <f t="shared" si="20"/>
        <v>568.9</v>
      </c>
      <c r="H417" s="156">
        <f>348.9+110+110</f>
        <v>568.9</v>
      </c>
      <c r="I417" s="177"/>
    </row>
    <row r="418" spans="1:9" ht="13.5">
      <c r="A418" s="37" t="s">
        <v>207</v>
      </c>
      <c r="B418" s="41" t="s">
        <v>433</v>
      </c>
      <c r="C418" s="33" t="s">
        <v>161</v>
      </c>
      <c r="D418" s="33" t="s">
        <v>168</v>
      </c>
      <c r="E418" s="33" t="s">
        <v>20</v>
      </c>
      <c r="F418" s="33" t="s">
        <v>208</v>
      </c>
      <c r="G418" s="198">
        <f>H418+I418</f>
        <v>5</v>
      </c>
      <c r="H418" s="156">
        <f>H419</f>
        <v>5</v>
      </c>
      <c r="I418" s="177"/>
    </row>
    <row r="419" spans="1:9" ht="13.5">
      <c r="A419" s="37" t="s">
        <v>205</v>
      </c>
      <c r="B419" s="41" t="s">
        <v>433</v>
      </c>
      <c r="C419" s="33" t="s">
        <v>161</v>
      </c>
      <c r="D419" s="33" t="s">
        <v>168</v>
      </c>
      <c r="E419" s="33" t="s">
        <v>20</v>
      </c>
      <c r="F419" s="33" t="s">
        <v>206</v>
      </c>
      <c r="G419" s="198">
        <f>H419+I419</f>
        <v>5</v>
      </c>
      <c r="H419" s="156">
        <v>5</v>
      </c>
      <c r="I419" s="177"/>
    </row>
    <row r="420" spans="1:9" ht="45" customHeight="1">
      <c r="A420" s="241" t="s">
        <v>658</v>
      </c>
      <c r="B420" s="43" t="s">
        <v>436</v>
      </c>
      <c r="C420" s="43" t="s">
        <v>162</v>
      </c>
      <c r="D420" s="43" t="s">
        <v>162</v>
      </c>
      <c r="E420" s="43" t="s">
        <v>338</v>
      </c>
      <c r="F420" s="43" t="s">
        <v>432</v>
      </c>
      <c r="G420" s="167">
        <f>H420+I420</f>
        <v>29782.400299999994</v>
      </c>
      <c r="H420" s="206">
        <f>H421+H430+H433+H439+H442</f>
        <v>18280.466299999996</v>
      </c>
      <c r="I420" s="206">
        <f>I421+I430+I442</f>
        <v>11501.934</v>
      </c>
    </row>
    <row r="421" spans="1:9" ht="45.75" customHeight="1">
      <c r="A421" s="35" t="s">
        <v>421</v>
      </c>
      <c r="B421" s="36" t="s">
        <v>436</v>
      </c>
      <c r="C421" s="33" t="s">
        <v>161</v>
      </c>
      <c r="D421" s="33" t="s">
        <v>174</v>
      </c>
      <c r="E421" s="33" t="s">
        <v>338</v>
      </c>
      <c r="F421" s="33" t="s">
        <v>432</v>
      </c>
      <c r="G421" s="156">
        <f t="shared" si="20"/>
        <v>6116.979999999999</v>
      </c>
      <c r="H421" s="177">
        <f>H422</f>
        <v>6116.979999999999</v>
      </c>
      <c r="I421" s="177">
        <f>I422</f>
        <v>0</v>
      </c>
    </row>
    <row r="422" spans="1:9" ht="42.75" customHeight="1">
      <c r="A422" s="35" t="s">
        <v>165</v>
      </c>
      <c r="B422" s="36" t="s">
        <v>436</v>
      </c>
      <c r="C422" s="33" t="s">
        <v>161</v>
      </c>
      <c r="D422" s="33" t="s">
        <v>174</v>
      </c>
      <c r="E422" s="33" t="s">
        <v>16</v>
      </c>
      <c r="F422" s="33" t="s">
        <v>432</v>
      </c>
      <c r="G422" s="156">
        <f t="shared" si="20"/>
        <v>6116.979999999999</v>
      </c>
      <c r="H422" s="177">
        <f>H423</f>
        <v>6116.979999999999</v>
      </c>
      <c r="I422" s="177">
        <f>I423</f>
        <v>0</v>
      </c>
    </row>
    <row r="423" spans="1:9" ht="41.25">
      <c r="A423" s="37" t="s">
        <v>308</v>
      </c>
      <c r="B423" s="36" t="s">
        <v>436</v>
      </c>
      <c r="C423" s="33" t="s">
        <v>161</v>
      </c>
      <c r="D423" s="33" t="s">
        <v>174</v>
      </c>
      <c r="E423" s="33" t="s">
        <v>17</v>
      </c>
      <c r="F423" s="33" t="s">
        <v>432</v>
      </c>
      <c r="G423" s="156">
        <f t="shared" si="20"/>
        <v>6116.979999999999</v>
      </c>
      <c r="H423" s="177">
        <f>H424+H426+H428</f>
        <v>6116.979999999999</v>
      </c>
      <c r="I423" s="177">
        <f>I424+I426+I428</f>
        <v>0</v>
      </c>
    </row>
    <row r="424" spans="1:9" ht="81.75" customHeight="1">
      <c r="A424" s="37" t="s">
        <v>199</v>
      </c>
      <c r="B424" s="36" t="s">
        <v>436</v>
      </c>
      <c r="C424" s="33" t="s">
        <v>161</v>
      </c>
      <c r="D424" s="33" t="s">
        <v>174</v>
      </c>
      <c r="E424" s="33" t="s">
        <v>20</v>
      </c>
      <c r="F424" s="33" t="s">
        <v>166</v>
      </c>
      <c r="G424" s="156">
        <f t="shared" si="20"/>
        <v>5289.179999999999</v>
      </c>
      <c r="H424" s="177">
        <f>H425</f>
        <v>5289.179999999999</v>
      </c>
      <c r="I424" s="177">
        <f>I425</f>
        <v>0</v>
      </c>
    </row>
    <row r="425" spans="1:9" ht="27">
      <c r="A425" s="37" t="s">
        <v>201</v>
      </c>
      <c r="B425" s="36" t="s">
        <v>436</v>
      </c>
      <c r="C425" s="33" t="s">
        <v>161</v>
      </c>
      <c r="D425" s="33" t="s">
        <v>174</v>
      </c>
      <c r="E425" s="33" t="s">
        <v>20</v>
      </c>
      <c r="F425" s="33" t="s">
        <v>200</v>
      </c>
      <c r="G425" s="156">
        <f t="shared" si="20"/>
        <v>5289.179999999999</v>
      </c>
      <c r="H425" s="156">
        <f>5368.98-20-50-9.8</f>
        <v>5289.179999999999</v>
      </c>
      <c r="I425" s="177"/>
    </row>
    <row r="426" spans="1:9" ht="27">
      <c r="A426" s="37" t="s">
        <v>202</v>
      </c>
      <c r="B426" s="36" t="s">
        <v>436</v>
      </c>
      <c r="C426" s="33" t="s">
        <v>161</v>
      </c>
      <c r="D426" s="33" t="s">
        <v>174</v>
      </c>
      <c r="E426" s="33" t="s">
        <v>20</v>
      </c>
      <c r="F426" s="33" t="s">
        <v>170</v>
      </c>
      <c r="G426" s="156">
        <f t="shared" si="20"/>
        <v>824.76506</v>
      </c>
      <c r="H426" s="177">
        <f>H427</f>
        <v>824.76506</v>
      </c>
      <c r="I426" s="177">
        <f>I427</f>
        <v>0</v>
      </c>
    </row>
    <row r="427" spans="1:9" ht="41.25">
      <c r="A427" s="37" t="s">
        <v>203</v>
      </c>
      <c r="B427" s="36" t="s">
        <v>436</v>
      </c>
      <c r="C427" s="33" t="s">
        <v>161</v>
      </c>
      <c r="D427" s="33" t="s">
        <v>174</v>
      </c>
      <c r="E427" s="33" t="s">
        <v>20</v>
      </c>
      <c r="F427" s="33" t="s">
        <v>204</v>
      </c>
      <c r="G427" s="156">
        <f t="shared" si="20"/>
        <v>824.76506</v>
      </c>
      <c r="H427" s="156">
        <f>805+19.8-0.03494</f>
        <v>824.76506</v>
      </c>
      <c r="I427" s="177"/>
    </row>
    <row r="428" spans="1:9" ht="13.5">
      <c r="A428" s="37" t="s">
        <v>207</v>
      </c>
      <c r="B428" s="36" t="s">
        <v>436</v>
      </c>
      <c r="C428" s="33" t="s">
        <v>161</v>
      </c>
      <c r="D428" s="33" t="s">
        <v>174</v>
      </c>
      <c r="E428" s="33" t="s">
        <v>20</v>
      </c>
      <c r="F428" s="33" t="s">
        <v>208</v>
      </c>
      <c r="G428" s="156">
        <f t="shared" si="20"/>
        <v>3.03494</v>
      </c>
      <c r="H428" s="177">
        <f>H429</f>
        <v>3.03494</v>
      </c>
      <c r="I428" s="177">
        <f>I429</f>
        <v>0</v>
      </c>
    </row>
    <row r="429" spans="1:9" ht="13.5">
      <c r="A429" s="37" t="s">
        <v>205</v>
      </c>
      <c r="B429" s="36" t="s">
        <v>436</v>
      </c>
      <c r="C429" s="33" t="s">
        <v>161</v>
      </c>
      <c r="D429" s="33" t="s">
        <v>174</v>
      </c>
      <c r="E429" s="33" t="s">
        <v>20</v>
      </c>
      <c r="F429" s="33" t="s">
        <v>206</v>
      </c>
      <c r="G429" s="156">
        <f t="shared" si="20"/>
        <v>3.03494</v>
      </c>
      <c r="H429" s="156">
        <f>13-10+0.03494</f>
        <v>3.03494</v>
      </c>
      <c r="I429" s="177"/>
    </row>
    <row r="430" spans="1:9" ht="13.5" hidden="1">
      <c r="A430" s="37" t="s">
        <v>211</v>
      </c>
      <c r="B430" s="36" t="s">
        <v>436</v>
      </c>
      <c r="C430" s="33" t="s">
        <v>161</v>
      </c>
      <c r="D430" s="33" t="s">
        <v>174</v>
      </c>
      <c r="E430" s="33" t="s">
        <v>340</v>
      </c>
      <c r="F430" s="33" t="s">
        <v>432</v>
      </c>
      <c r="G430" s="156">
        <f t="shared" si="20"/>
        <v>0</v>
      </c>
      <c r="H430" s="177">
        <f>H431</f>
        <v>0</v>
      </c>
      <c r="I430" s="177">
        <f>I431</f>
        <v>0</v>
      </c>
    </row>
    <row r="431" spans="1:9" ht="13.5" hidden="1">
      <c r="A431" s="37" t="s">
        <v>207</v>
      </c>
      <c r="B431" s="36" t="s">
        <v>436</v>
      </c>
      <c r="C431" s="33" t="s">
        <v>161</v>
      </c>
      <c r="D431" s="33" t="s">
        <v>174</v>
      </c>
      <c r="E431" s="33" t="s">
        <v>340</v>
      </c>
      <c r="F431" s="33" t="s">
        <v>208</v>
      </c>
      <c r="G431" s="156">
        <f t="shared" si="20"/>
        <v>0</v>
      </c>
      <c r="H431" s="177">
        <f>H432</f>
        <v>0</v>
      </c>
      <c r="I431" s="177">
        <f>I432</f>
        <v>0</v>
      </c>
    </row>
    <row r="432" spans="1:9" ht="13.5" hidden="1">
      <c r="A432" s="37" t="s">
        <v>211</v>
      </c>
      <c r="B432" s="36" t="s">
        <v>436</v>
      </c>
      <c r="C432" s="33" t="s">
        <v>161</v>
      </c>
      <c r="D432" s="33" t="s">
        <v>174</v>
      </c>
      <c r="E432" s="33" t="s">
        <v>340</v>
      </c>
      <c r="F432" s="33" t="s">
        <v>212</v>
      </c>
      <c r="G432" s="156">
        <f t="shared" si="20"/>
        <v>0</v>
      </c>
      <c r="H432" s="177"/>
      <c r="I432" s="177"/>
    </row>
    <row r="433" spans="1:9" ht="27">
      <c r="A433" s="68" t="s">
        <v>530</v>
      </c>
      <c r="B433" s="53" t="s">
        <v>436</v>
      </c>
      <c r="C433" s="54" t="s">
        <v>161</v>
      </c>
      <c r="D433" s="54" t="s">
        <v>414</v>
      </c>
      <c r="E433" s="54" t="s">
        <v>338</v>
      </c>
      <c r="F433" s="54" t="s">
        <v>432</v>
      </c>
      <c r="G433" s="168">
        <f t="shared" si="20"/>
        <v>2722.12075</v>
      </c>
      <c r="H433" s="168">
        <f>H434</f>
        <v>2722.12075</v>
      </c>
      <c r="I433" s="168"/>
    </row>
    <row r="434" spans="1:9" ht="27">
      <c r="A434" s="37" t="s">
        <v>531</v>
      </c>
      <c r="B434" s="36" t="s">
        <v>436</v>
      </c>
      <c r="C434" s="33" t="s">
        <v>161</v>
      </c>
      <c r="D434" s="33" t="s">
        <v>414</v>
      </c>
      <c r="E434" s="33" t="s">
        <v>16</v>
      </c>
      <c r="F434" s="33" t="s">
        <v>432</v>
      </c>
      <c r="G434" s="156">
        <f t="shared" si="20"/>
        <v>2722.12075</v>
      </c>
      <c r="H434" s="177">
        <f>H435</f>
        <v>2722.12075</v>
      </c>
      <c r="I434" s="177"/>
    </row>
    <row r="435" spans="1:9" ht="41.25">
      <c r="A435" s="37" t="s">
        <v>165</v>
      </c>
      <c r="B435" s="36" t="s">
        <v>436</v>
      </c>
      <c r="C435" s="33" t="s">
        <v>161</v>
      </c>
      <c r="D435" s="33" t="s">
        <v>414</v>
      </c>
      <c r="E435" s="33" t="s">
        <v>17</v>
      </c>
      <c r="F435" s="33" t="s">
        <v>432</v>
      </c>
      <c r="G435" s="156">
        <f t="shared" si="20"/>
        <v>2722.12075</v>
      </c>
      <c r="H435" s="177">
        <f>H436</f>
        <v>2722.12075</v>
      </c>
      <c r="I435" s="177"/>
    </row>
    <row r="436" spans="1:9" ht="27">
      <c r="A436" s="37" t="s">
        <v>532</v>
      </c>
      <c r="B436" s="36" t="s">
        <v>436</v>
      </c>
      <c r="C436" s="33" t="s">
        <v>161</v>
      </c>
      <c r="D436" s="33" t="s">
        <v>414</v>
      </c>
      <c r="E436" s="33" t="s">
        <v>533</v>
      </c>
      <c r="F436" s="33" t="s">
        <v>432</v>
      </c>
      <c r="G436" s="156">
        <f t="shared" si="20"/>
        <v>2722.12075</v>
      </c>
      <c r="H436" s="177">
        <f>H437</f>
        <v>2722.12075</v>
      </c>
      <c r="I436" s="177"/>
    </row>
    <row r="437" spans="1:9" ht="13.5">
      <c r="A437" s="37" t="s">
        <v>207</v>
      </c>
      <c r="B437" s="36" t="s">
        <v>436</v>
      </c>
      <c r="C437" s="33" t="s">
        <v>161</v>
      </c>
      <c r="D437" s="33" t="s">
        <v>414</v>
      </c>
      <c r="E437" s="33" t="s">
        <v>533</v>
      </c>
      <c r="F437" s="33" t="s">
        <v>208</v>
      </c>
      <c r="G437" s="156">
        <f t="shared" si="20"/>
        <v>2722.12075</v>
      </c>
      <c r="H437" s="177">
        <f>H438</f>
        <v>2722.12075</v>
      </c>
      <c r="I437" s="177"/>
    </row>
    <row r="438" spans="1:9" ht="13.5">
      <c r="A438" s="75" t="s">
        <v>585</v>
      </c>
      <c r="B438" s="36" t="s">
        <v>436</v>
      </c>
      <c r="C438" s="33" t="s">
        <v>161</v>
      </c>
      <c r="D438" s="33" t="s">
        <v>414</v>
      </c>
      <c r="E438" s="33" t="s">
        <v>533</v>
      </c>
      <c r="F438" s="33" t="s">
        <v>586</v>
      </c>
      <c r="G438" s="156">
        <f aca="true" t="shared" si="27" ref="G438:G455">H438+I438</f>
        <v>2722.12075</v>
      </c>
      <c r="H438" s="177">
        <f>3111.15-389.02925</f>
        <v>2722.12075</v>
      </c>
      <c r="I438" s="177"/>
    </row>
    <row r="439" spans="1:9" ht="13.5">
      <c r="A439" s="52" t="s">
        <v>211</v>
      </c>
      <c r="B439" s="53" t="s">
        <v>436</v>
      </c>
      <c r="C439" s="54" t="s">
        <v>161</v>
      </c>
      <c r="D439" s="54" t="s">
        <v>181</v>
      </c>
      <c r="E439" s="54" t="s">
        <v>26</v>
      </c>
      <c r="F439" s="54" t="s">
        <v>432</v>
      </c>
      <c r="G439" s="168">
        <f t="shared" si="27"/>
        <v>2</v>
      </c>
      <c r="H439" s="168">
        <f>H440</f>
        <v>2</v>
      </c>
      <c r="I439" s="168"/>
    </row>
    <row r="440" spans="1:9" ht="13.5">
      <c r="A440" s="37" t="s">
        <v>207</v>
      </c>
      <c r="B440" s="41" t="s">
        <v>436</v>
      </c>
      <c r="C440" s="33" t="s">
        <v>161</v>
      </c>
      <c r="D440" s="33" t="s">
        <v>181</v>
      </c>
      <c r="E440" s="33" t="s">
        <v>26</v>
      </c>
      <c r="F440" s="33" t="s">
        <v>208</v>
      </c>
      <c r="G440" s="156">
        <f t="shared" si="27"/>
        <v>2</v>
      </c>
      <c r="H440" s="156">
        <f>H441</f>
        <v>2</v>
      </c>
      <c r="I440" s="156"/>
    </row>
    <row r="441" spans="1:9" ht="13.5">
      <c r="A441" s="37" t="s">
        <v>211</v>
      </c>
      <c r="B441" s="41" t="s">
        <v>436</v>
      </c>
      <c r="C441" s="33" t="s">
        <v>161</v>
      </c>
      <c r="D441" s="33" t="s">
        <v>181</v>
      </c>
      <c r="E441" s="33" t="s">
        <v>26</v>
      </c>
      <c r="F441" s="33" t="s">
        <v>212</v>
      </c>
      <c r="G441" s="156">
        <f t="shared" si="27"/>
        <v>2</v>
      </c>
      <c r="H441" s="156">
        <v>2</v>
      </c>
      <c r="I441" s="156"/>
    </row>
    <row r="442" spans="1:9" ht="72">
      <c r="A442" s="138" t="s">
        <v>577</v>
      </c>
      <c r="B442" s="126" t="s">
        <v>436</v>
      </c>
      <c r="C442" s="135" t="s">
        <v>253</v>
      </c>
      <c r="D442" s="135" t="s">
        <v>162</v>
      </c>
      <c r="E442" s="135" t="s">
        <v>560</v>
      </c>
      <c r="F442" s="135" t="s">
        <v>432</v>
      </c>
      <c r="G442" s="199">
        <f t="shared" si="27"/>
        <v>20941.299549999996</v>
      </c>
      <c r="H442" s="159">
        <f>H443+H451+H453+H457</f>
        <v>9439.365549999999</v>
      </c>
      <c r="I442" s="159">
        <f>I444+I453</f>
        <v>11501.934</v>
      </c>
    </row>
    <row r="443" spans="1:9" ht="48" customHeight="1">
      <c r="A443" s="37" t="s">
        <v>254</v>
      </c>
      <c r="B443" s="36" t="s">
        <v>436</v>
      </c>
      <c r="C443" s="33" t="s">
        <v>253</v>
      </c>
      <c r="D443" s="33" t="s">
        <v>161</v>
      </c>
      <c r="E443" s="33" t="s">
        <v>560</v>
      </c>
      <c r="F443" s="33" t="s">
        <v>432</v>
      </c>
      <c r="G443" s="198">
        <f t="shared" si="27"/>
        <v>19877.351</v>
      </c>
      <c r="H443" s="156">
        <f>H448</f>
        <v>8375.417</v>
      </c>
      <c r="I443" s="156">
        <f>I444</f>
        <v>11501.934</v>
      </c>
    </row>
    <row r="444" spans="1:9" ht="41.25">
      <c r="A444" s="52" t="s">
        <v>255</v>
      </c>
      <c r="B444" s="36" t="s">
        <v>436</v>
      </c>
      <c r="C444" s="54" t="s">
        <v>253</v>
      </c>
      <c r="D444" s="54" t="s">
        <v>161</v>
      </c>
      <c r="E444" s="54" t="s">
        <v>552</v>
      </c>
      <c r="F444" s="54" t="s">
        <v>432</v>
      </c>
      <c r="G444" s="197">
        <f t="shared" si="27"/>
        <v>11501.934</v>
      </c>
      <c r="H444" s="168">
        <f>H445</f>
        <v>0</v>
      </c>
      <c r="I444" s="168">
        <f>I445</f>
        <v>11501.934</v>
      </c>
    </row>
    <row r="445" spans="1:9" ht="13.5">
      <c r="A445" s="37" t="s">
        <v>213</v>
      </c>
      <c r="B445" s="36" t="s">
        <v>436</v>
      </c>
      <c r="C445" s="33" t="s">
        <v>253</v>
      </c>
      <c r="D445" s="33" t="s">
        <v>161</v>
      </c>
      <c r="E445" s="33" t="s">
        <v>552</v>
      </c>
      <c r="F445" s="33" t="s">
        <v>432</v>
      </c>
      <c r="G445" s="198">
        <f t="shared" si="27"/>
        <v>11501.934</v>
      </c>
      <c r="H445" s="156">
        <f>H446</f>
        <v>0</v>
      </c>
      <c r="I445" s="156">
        <f>I446+I448</f>
        <v>11501.934</v>
      </c>
    </row>
    <row r="446" spans="1:9" ht="82.5">
      <c r="A446" s="37" t="s">
        <v>355</v>
      </c>
      <c r="B446" s="36" t="s">
        <v>436</v>
      </c>
      <c r="C446" s="33" t="s">
        <v>253</v>
      </c>
      <c r="D446" s="33" t="s">
        <v>161</v>
      </c>
      <c r="E446" s="33" t="s">
        <v>552</v>
      </c>
      <c r="F446" s="33" t="s">
        <v>432</v>
      </c>
      <c r="G446" s="198">
        <f>H446+I446</f>
        <v>11501.934</v>
      </c>
      <c r="H446" s="156">
        <f>H447</f>
        <v>0</v>
      </c>
      <c r="I446" s="156">
        <f>I447</f>
        <v>11501.934</v>
      </c>
    </row>
    <row r="447" spans="1:9" ht="13.5">
      <c r="A447" s="37" t="s">
        <v>223</v>
      </c>
      <c r="B447" s="36" t="s">
        <v>436</v>
      </c>
      <c r="C447" s="33" t="s">
        <v>253</v>
      </c>
      <c r="D447" s="33" t="s">
        <v>161</v>
      </c>
      <c r="E447" s="33" t="s">
        <v>552</v>
      </c>
      <c r="F447" s="33" t="s">
        <v>224</v>
      </c>
      <c r="G447" s="198">
        <f t="shared" si="27"/>
        <v>11501.934</v>
      </c>
      <c r="H447" s="156">
        <v>0</v>
      </c>
      <c r="I447" s="156">
        <v>11501.934</v>
      </c>
    </row>
    <row r="448" spans="1:9" ht="41.25">
      <c r="A448" s="52" t="s">
        <v>331</v>
      </c>
      <c r="B448" s="36" t="s">
        <v>436</v>
      </c>
      <c r="C448" s="54" t="s">
        <v>253</v>
      </c>
      <c r="D448" s="54" t="s">
        <v>161</v>
      </c>
      <c r="E448" s="54" t="s">
        <v>553</v>
      </c>
      <c r="F448" s="54" t="s">
        <v>432</v>
      </c>
      <c r="G448" s="197">
        <f>H448+I448</f>
        <v>8375.417</v>
      </c>
      <c r="H448" s="168">
        <f>H449</f>
        <v>8375.417</v>
      </c>
      <c r="I448" s="168">
        <f>I449</f>
        <v>0</v>
      </c>
    </row>
    <row r="449" spans="1:9" ht="13.5">
      <c r="A449" s="37" t="s">
        <v>223</v>
      </c>
      <c r="B449" s="36" t="s">
        <v>436</v>
      </c>
      <c r="C449" s="33" t="s">
        <v>253</v>
      </c>
      <c r="D449" s="33" t="s">
        <v>161</v>
      </c>
      <c r="E449" s="33" t="s">
        <v>553</v>
      </c>
      <c r="F449" s="33" t="s">
        <v>224</v>
      </c>
      <c r="G449" s="198">
        <f t="shared" si="27"/>
        <v>8375.417</v>
      </c>
      <c r="H449" s="156">
        <v>8375.417</v>
      </c>
      <c r="I449" s="156"/>
    </row>
    <row r="450" spans="1:9" ht="41.25" hidden="1">
      <c r="A450" s="37" t="s">
        <v>331</v>
      </c>
      <c r="B450" s="36" t="s">
        <v>436</v>
      </c>
      <c r="C450" s="33" t="s">
        <v>253</v>
      </c>
      <c r="D450" s="33" t="s">
        <v>161</v>
      </c>
      <c r="E450" s="33" t="s">
        <v>26</v>
      </c>
      <c r="F450" s="33" t="s">
        <v>432</v>
      </c>
      <c r="G450" s="198">
        <f>H450</f>
        <v>0</v>
      </c>
      <c r="H450" s="156">
        <f>H451</f>
        <v>0</v>
      </c>
      <c r="I450" s="156">
        <f>I451</f>
        <v>0</v>
      </c>
    </row>
    <row r="451" spans="1:9" ht="13.5" hidden="1">
      <c r="A451" s="37" t="s">
        <v>211</v>
      </c>
      <c r="B451" s="36" t="s">
        <v>436</v>
      </c>
      <c r="C451" s="33" t="s">
        <v>253</v>
      </c>
      <c r="D451" s="33" t="s">
        <v>161</v>
      </c>
      <c r="E451" s="33" t="s">
        <v>26</v>
      </c>
      <c r="F451" s="33" t="s">
        <v>224</v>
      </c>
      <c r="G451" s="198">
        <f>H451</f>
        <v>0</v>
      </c>
      <c r="H451" s="156"/>
      <c r="I451" s="156"/>
    </row>
    <row r="452" spans="1:9" ht="27">
      <c r="A452" s="52" t="s">
        <v>367</v>
      </c>
      <c r="B452" s="36" t="s">
        <v>436</v>
      </c>
      <c r="C452" s="54" t="s">
        <v>253</v>
      </c>
      <c r="D452" s="54" t="s">
        <v>168</v>
      </c>
      <c r="E452" s="54" t="s">
        <v>560</v>
      </c>
      <c r="F452" s="54" t="s">
        <v>432</v>
      </c>
      <c r="G452" s="197">
        <f t="shared" si="27"/>
        <v>1063.94855</v>
      </c>
      <c r="H452" s="168">
        <f>H453</f>
        <v>1063.94855</v>
      </c>
      <c r="I452" s="168">
        <f>I453</f>
        <v>0</v>
      </c>
    </row>
    <row r="453" spans="1:9" ht="27">
      <c r="A453" s="37" t="s">
        <v>479</v>
      </c>
      <c r="B453" s="36" t="s">
        <v>436</v>
      </c>
      <c r="C453" s="33" t="s">
        <v>253</v>
      </c>
      <c r="D453" s="33" t="s">
        <v>168</v>
      </c>
      <c r="E453" s="33" t="s">
        <v>554</v>
      </c>
      <c r="F453" s="33" t="s">
        <v>432</v>
      </c>
      <c r="G453" s="198">
        <f t="shared" si="27"/>
        <v>1063.94855</v>
      </c>
      <c r="H453" s="156">
        <f>H454</f>
        <v>1063.94855</v>
      </c>
      <c r="I453" s="156">
        <f>I455</f>
        <v>0</v>
      </c>
    </row>
    <row r="454" spans="1:9" ht="16.5" customHeight="1">
      <c r="A454" s="37" t="s">
        <v>213</v>
      </c>
      <c r="B454" s="36" t="s">
        <v>436</v>
      </c>
      <c r="C454" s="33" t="s">
        <v>253</v>
      </c>
      <c r="D454" s="33" t="s">
        <v>168</v>
      </c>
      <c r="E454" s="33" t="s">
        <v>554</v>
      </c>
      <c r="F454" s="33" t="s">
        <v>214</v>
      </c>
      <c r="G454" s="198">
        <f t="shared" si="27"/>
        <v>1063.94855</v>
      </c>
      <c r="H454" s="156">
        <f>H455+H458+H459</f>
        <v>1063.94855</v>
      </c>
      <c r="I454" s="156"/>
    </row>
    <row r="455" spans="1:9" ht="17.25" customHeight="1">
      <c r="A455" s="37" t="s">
        <v>320</v>
      </c>
      <c r="B455" s="36" t="s">
        <v>436</v>
      </c>
      <c r="C455" s="33" t="s">
        <v>253</v>
      </c>
      <c r="D455" s="33" t="s">
        <v>168</v>
      </c>
      <c r="E455" s="33" t="s">
        <v>554</v>
      </c>
      <c r="F455" s="33" t="s">
        <v>478</v>
      </c>
      <c r="G455" s="198">
        <f t="shared" si="27"/>
        <v>483.05930000000006</v>
      </c>
      <c r="H455" s="156">
        <f>849.75-318.3-48.3907</f>
        <v>483.05930000000006</v>
      </c>
      <c r="I455" s="156"/>
    </row>
    <row r="456" spans="1:9" ht="13.5" hidden="1">
      <c r="A456" s="25" t="s">
        <v>213</v>
      </c>
      <c r="B456" s="36" t="s">
        <v>436</v>
      </c>
      <c r="C456" s="33" t="s">
        <v>253</v>
      </c>
      <c r="D456" s="33" t="s">
        <v>168</v>
      </c>
      <c r="E456" s="69" t="s">
        <v>537</v>
      </c>
      <c r="F456" s="33" t="s">
        <v>214</v>
      </c>
      <c r="G456" s="156">
        <f>H456</f>
        <v>0</v>
      </c>
      <c r="H456" s="156">
        <f>H457</f>
        <v>0</v>
      </c>
      <c r="I456" s="177"/>
    </row>
    <row r="457" spans="1:9" ht="123.75" hidden="1">
      <c r="A457" s="25" t="s">
        <v>538</v>
      </c>
      <c r="B457" s="36" t="s">
        <v>436</v>
      </c>
      <c r="C457" s="33" t="s">
        <v>253</v>
      </c>
      <c r="D457" s="33" t="s">
        <v>168</v>
      </c>
      <c r="E457" s="69" t="s">
        <v>537</v>
      </c>
      <c r="F457" s="33" t="s">
        <v>478</v>
      </c>
      <c r="G457" s="156">
        <f>H457</f>
        <v>0</v>
      </c>
      <c r="H457" s="156"/>
      <c r="I457" s="177"/>
    </row>
    <row r="458" spans="1:9" ht="69">
      <c r="A458" s="25" t="s">
        <v>739</v>
      </c>
      <c r="B458" s="36" t="s">
        <v>436</v>
      </c>
      <c r="C458" s="33" t="s">
        <v>253</v>
      </c>
      <c r="D458" s="33" t="s">
        <v>168</v>
      </c>
      <c r="E458" s="69" t="s">
        <v>777</v>
      </c>
      <c r="F458" s="33" t="s">
        <v>478</v>
      </c>
      <c r="G458" s="156">
        <f>H458</f>
        <v>82.988</v>
      </c>
      <c r="H458" s="156">
        <f>116.13-33.142</f>
        <v>82.988</v>
      </c>
      <c r="I458" s="177"/>
    </row>
    <row r="459" spans="1:9" ht="140.25" customHeight="1">
      <c r="A459" s="25" t="s">
        <v>841</v>
      </c>
      <c r="B459" s="36" t="s">
        <v>436</v>
      </c>
      <c r="C459" s="33" t="s">
        <v>253</v>
      </c>
      <c r="D459" s="33" t="s">
        <v>168</v>
      </c>
      <c r="E459" s="69" t="s">
        <v>846</v>
      </c>
      <c r="F459" s="33" t="s">
        <v>478</v>
      </c>
      <c r="G459" s="156">
        <f>H459</f>
        <v>497.90125</v>
      </c>
      <c r="H459" s="156">
        <v>497.90125</v>
      </c>
      <c r="I459" s="177"/>
    </row>
    <row r="460" spans="1:9" ht="69">
      <c r="A460" s="329" t="s">
        <v>450</v>
      </c>
      <c r="B460" s="43" t="s">
        <v>435</v>
      </c>
      <c r="C460" s="43" t="s">
        <v>162</v>
      </c>
      <c r="D460" s="43" t="s">
        <v>162</v>
      </c>
      <c r="E460" s="43" t="s">
        <v>338</v>
      </c>
      <c r="F460" s="43" t="s">
        <v>432</v>
      </c>
      <c r="G460" s="167">
        <f>H460+I460</f>
        <v>533582.85768</v>
      </c>
      <c r="H460" s="206">
        <f>H461+H573+H589</f>
        <v>298070.64603000006</v>
      </c>
      <c r="I460" s="206">
        <f>I461+I467+I573+I589</f>
        <v>235512.21164999998</v>
      </c>
    </row>
    <row r="461" spans="1:9" ht="13.5">
      <c r="A461" s="42" t="s">
        <v>413</v>
      </c>
      <c r="B461" s="43" t="s">
        <v>435</v>
      </c>
      <c r="C461" s="44" t="s">
        <v>414</v>
      </c>
      <c r="D461" s="44" t="s">
        <v>162</v>
      </c>
      <c r="E461" s="44" t="s">
        <v>338</v>
      </c>
      <c r="F461" s="44" t="s">
        <v>432</v>
      </c>
      <c r="G461" s="167">
        <f>I461+H461</f>
        <v>527097.77054</v>
      </c>
      <c r="H461" s="206">
        <f>H462+H477+H514+H519+H524+H534+H539</f>
        <v>298055.40135000006</v>
      </c>
      <c r="I461" s="206">
        <f>I462+I477+I514+I519+I524+I539</f>
        <v>229042.36919</v>
      </c>
    </row>
    <row r="462" spans="1:9" ht="13.5">
      <c r="A462" s="330" t="s">
        <v>423</v>
      </c>
      <c r="B462" s="43" t="s">
        <v>435</v>
      </c>
      <c r="C462" s="44" t="s">
        <v>414</v>
      </c>
      <c r="D462" s="44" t="s">
        <v>161</v>
      </c>
      <c r="E462" s="44" t="s">
        <v>338</v>
      </c>
      <c r="F462" s="44" t="s">
        <v>432</v>
      </c>
      <c r="G462" s="167">
        <f aca="true" t="shared" si="28" ref="G462:G543">H462+I462</f>
        <v>118336.94755000001</v>
      </c>
      <c r="H462" s="206">
        <f>H463+H470+H473</f>
        <v>70291.41955</v>
      </c>
      <c r="I462" s="206">
        <f>I463+I470</f>
        <v>48045.528</v>
      </c>
    </row>
    <row r="463" spans="1:9" ht="41.25">
      <c r="A463" s="52" t="s">
        <v>496</v>
      </c>
      <c r="B463" s="58" t="s">
        <v>435</v>
      </c>
      <c r="C463" s="54" t="s">
        <v>414</v>
      </c>
      <c r="D463" s="54" t="s">
        <v>161</v>
      </c>
      <c r="E463" s="54" t="s">
        <v>37</v>
      </c>
      <c r="F463" s="54" t="s">
        <v>432</v>
      </c>
      <c r="G463" s="168">
        <f t="shared" si="28"/>
        <v>70291.41955</v>
      </c>
      <c r="H463" s="205">
        <f>H464</f>
        <v>70291.41955</v>
      </c>
      <c r="I463" s="205">
        <f>I464</f>
        <v>0</v>
      </c>
    </row>
    <row r="464" spans="1:9" ht="41.25">
      <c r="A464" s="55" t="s">
        <v>275</v>
      </c>
      <c r="B464" s="36" t="s">
        <v>435</v>
      </c>
      <c r="C464" s="33" t="s">
        <v>414</v>
      </c>
      <c r="D464" s="33" t="s">
        <v>161</v>
      </c>
      <c r="E464" s="33" t="s">
        <v>50</v>
      </c>
      <c r="F464" s="33" t="s">
        <v>432</v>
      </c>
      <c r="G464" s="156">
        <f t="shared" si="28"/>
        <v>70291.41955</v>
      </c>
      <c r="H464" s="177">
        <f>H465+H467</f>
        <v>70291.41955</v>
      </c>
      <c r="I464" s="177">
        <f>I465+I467</f>
        <v>0</v>
      </c>
    </row>
    <row r="465" spans="1:9" ht="41.25">
      <c r="A465" s="37" t="s">
        <v>225</v>
      </c>
      <c r="B465" s="36" t="s">
        <v>435</v>
      </c>
      <c r="C465" s="33" t="s">
        <v>414</v>
      </c>
      <c r="D465" s="33" t="s">
        <v>161</v>
      </c>
      <c r="E465" s="33" t="s">
        <v>52</v>
      </c>
      <c r="F465" s="33" t="s">
        <v>226</v>
      </c>
      <c r="G465" s="156">
        <f t="shared" si="28"/>
        <v>840</v>
      </c>
      <c r="H465" s="177">
        <f>H466</f>
        <v>840</v>
      </c>
      <c r="I465" s="177">
        <f>I466</f>
        <v>0</v>
      </c>
    </row>
    <row r="466" spans="1:9" ht="13.5">
      <c r="A466" s="38" t="s">
        <v>227</v>
      </c>
      <c r="B466" s="36" t="s">
        <v>435</v>
      </c>
      <c r="C466" s="33" t="s">
        <v>414</v>
      </c>
      <c r="D466" s="33" t="s">
        <v>161</v>
      </c>
      <c r="E466" s="33" t="s">
        <v>51</v>
      </c>
      <c r="F466" s="33" t="s">
        <v>304</v>
      </c>
      <c r="G466" s="156">
        <f t="shared" si="28"/>
        <v>840</v>
      </c>
      <c r="H466" s="156">
        <v>840</v>
      </c>
      <c r="I466" s="177"/>
    </row>
    <row r="467" spans="1:10" ht="54.75">
      <c r="A467" s="37" t="s">
        <v>415</v>
      </c>
      <c r="B467" s="36" t="s">
        <v>435</v>
      </c>
      <c r="C467" s="33" t="s">
        <v>414</v>
      </c>
      <c r="D467" s="33" t="s">
        <v>161</v>
      </c>
      <c r="E467" s="33" t="s">
        <v>52</v>
      </c>
      <c r="F467" s="33" t="s">
        <v>432</v>
      </c>
      <c r="G467" s="156">
        <f>H467+I467</f>
        <v>69451.41955</v>
      </c>
      <c r="H467" s="177">
        <f>H468</f>
        <v>69451.41955</v>
      </c>
      <c r="I467" s="177">
        <f>I468</f>
        <v>0</v>
      </c>
      <c r="J467" s="80"/>
    </row>
    <row r="468" spans="1:9" ht="41.25">
      <c r="A468" s="37" t="s">
        <v>225</v>
      </c>
      <c r="B468" s="36" t="s">
        <v>435</v>
      </c>
      <c r="C468" s="33" t="s">
        <v>414</v>
      </c>
      <c r="D468" s="33" t="s">
        <v>161</v>
      </c>
      <c r="E468" s="33" t="s">
        <v>52</v>
      </c>
      <c r="F468" s="33" t="s">
        <v>226</v>
      </c>
      <c r="G468" s="156">
        <f t="shared" si="28"/>
        <v>69451.41955</v>
      </c>
      <c r="H468" s="177">
        <f>H469</f>
        <v>69451.41955</v>
      </c>
      <c r="I468" s="177">
        <f>I469</f>
        <v>0</v>
      </c>
    </row>
    <row r="469" spans="1:10" ht="13.5">
      <c r="A469" s="37" t="s">
        <v>191</v>
      </c>
      <c r="B469" s="36" t="s">
        <v>435</v>
      </c>
      <c r="C469" s="33" t="s">
        <v>414</v>
      </c>
      <c r="D469" s="33" t="s">
        <v>161</v>
      </c>
      <c r="E469" s="33" t="s">
        <v>53</v>
      </c>
      <c r="F469" s="33" t="s">
        <v>304</v>
      </c>
      <c r="G469" s="156">
        <f t="shared" si="28"/>
        <v>69451.41955</v>
      </c>
      <c r="H469" s="156">
        <f>25796.6+9000+2000+11611.95+5717.64+2271.60247+1000-2000+14053.62708</f>
        <v>69451.41955</v>
      </c>
      <c r="I469" s="177"/>
      <c r="J469" s="80"/>
    </row>
    <row r="470" spans="1:9" ht="69">
      <c r="A470" s="37" t="s">
        <v>419</v>
      </c>
      <c r="B470" s="36" t="s">
        <v>435</v>
      </c>
      <c r="C470" s="33" t="s">
        <v>414</v>
      </c>
      <c r="D470" s="334" t="s">
        <v>161</v>
      </c>
      <c r="E470" s="33" t="s">
        <v>54</v>
      </c>
      <c r="F470" s="33" t="s">
        <v>432</v>
      </c>
      <c r="G470" s="156">
        <f>H470+I470</f>
        <v>48045.528</v>
      </c>
      <c r="H470" s="177">
        <f>H471</f>
        <v>0</v>
      </c>
      <c r="I470" s="177">
        <f>I471</f>
        <v>48045.528</v>
      </c>
    </row>
    <row r="471" spans="1:9" ht="41.25">
      <c r="A471" s="37" t="s">
        <v>225</v>
      </c>
      <c r="B471" s="36" t="s">
        <v>435</v>
      </c>
      <c r="C471" s="33" t="s">
        <v>414</v>
      </c>
      <c r="D471" s="33" t="s">
        <v>161</v>
      </c>
      <c r="E471" s="33" t="s">
        <v>54</v>
      </c>
      <c r="F471" s="33" t="s">
        <v>226</v>
      </c>
      <c r="G471" s="156">
        <f t="shared" si="28"/>
        <v>48045.528</v>
      </c>
      <c r="H471" s="177"/>
      <c r="I471" s="156">
        <f>I472</f>
        <v>48045.528</v>
      </c>
    </row>
    <row r="472" spans="1:9" ht="13.5">
      <c r="A472" s="37" t="s">
        <v>227</v>
      </c>
      <c r="B472" s="36" t="s">
        <v>435</v>
      </c>
      <c r="C472" s="33" t="s">
        <v>414</v>
      </c>
      <c r="D472" s="33" t="s">
        <v>161</v>
      </c>
      <c r="E472" s="33" t="s">
        <v>54</v>
      </c>
      <c r="F472" s="33" t="s">
        <v>304</v>
      </c>
      <c r="G472" s="156">
        <f t="shared" si="28"/>
        <v>48045.528</v>
      </c>
      <c r="H472" s="177"/>
      <c r="I472" s="156">
        <v>48045.528</v>
      </c>
    </row>
    <row r="473" spans="1:9" ht="21" customHeight="1" hidden="1">
      <c r="A473" s="52" t="s">
        <v>609</v>
      </c>
      <c r="B473" s="53" t="s">
        <v>435</v>
      </c>
      <c r="C473" s="54" t="s">
        <v>414</v>
      </c>
      <c r="D473" s="54" t="s">
        <v>161</v>
      </c>
      <c r="E473" s="54" t="s">
        <v>338</v>
      </c>
      <c r="F473" s="100" t="s">
        <v>432</v>
      </c>
      <c r="G473" s="199">
        <f>H473</f>
        <v>0</v>
      </c>
      <c r="H473" s="159">
        <f>H474</f>
        <v>0</v>
      </c>
      <c r="I473" s="159"/>
    </row>
    <row r="474" spans="1:9" ht="33" customHeight="1" hidden="1">
      <c r="A474" s="37" t="s">
        <v>610</v>
      </c>
      <c r="B474" s="41" t="s">
        <v>435</v>
      </c>
      <c r="C474" s="33" t="s">
        <v>414</v>
      </c>
      <c r="D474" s="33" t="s">
        <v>161</v>
      </c>
      <c r="E474" s="33" t="s">
        <v>611</v>
      </c>
      <c r="F474" s="69" t="s">
        <v>432</v>
      </c>
      <c r="G474" s="198">
        <f>H474</f>
        <v>0</v>
      </c>
      <c r="H474" s="156">
        <f>H475</f>
        <v>0</v>
      </c>
      <c r="I474" s="156"/>
    </row>
    <row r="475" spans="1:9" ht="47.25" customHeight="1" hidden="1">
      <c r="A475" s="37" t="s">
        <v>225</v>
      </c>
      <c r="B475" s="41" t="s">
        <v>435</v>
      </c>
      <c r="C475" s="33" t="s">
        <v>414</v>
      </c>
      <c r="D475" s="33" t="s">
        <v>161</v>
      </c>
      <c r="E475" s="33" t="s">
        <v>611</v>
      </c>
      <c r="F475" s="69" t="s">
        <v>226</v>
      </c>
      <c r="G475" s="198">
        <f>H475</f>
        <v>0</v>
      </c>
      <c r="H475" s="156">
        <f>H476</f>
        <v>0</v>
      </c>
      <c r="I475" s="156"/>
    </row>
    <row r="476" spans="1:9" ht="22.5" customHeight="1" hidden="1">
      <c r="A476" s="37" t="s">
        <v>227</v>
      </c>
      <c r="B476" s="41" t="s">
        <v>435</v>
      </c>
      <c r="C476" s="33" t="s">
        <v>414</v>
      </c>
      <c r="D476" s="33" t="s">
        <v>161</v>
      </c>
      <c r="E476" s="33" t="s">
        <v>611</v>
      </c>
      <c r="F476" s="69" t="s">
        <v>304</v>
      </c>
      <c r="G476" s="198">
        <f>H476</f>
        <v>0</v>
      </c>
      <c r="H476" s="156">
        <v>0</v>
      </c>
      <c r="I476" s="156"/>
    </row>
    <row r="477" spans="1:9" ht="13.5">
      <c r="A477" s="330" t="s">
        <v>468</v>
      </c>
      <c r="B477" s="43" t="s">
        <v>435</v>
      </c>
      <c r="C477" s="44" t="s">
        <v>414</v>
      </c>
      <c r="D477" s="44" t="s">
        <v>163</v>
      </c>
      <c r="E477" s="44" t="s">
        <v>338</v>
      </c>
      <c r="F477" s="44" t="s">
        <v>432</v>
      </c>
      <c r="G477" s="167">
        <f>H477+I477</f>
        <v>340683.51788000006</v>
      </c>
      <c r="H477" s="206">
        <f>H478+H499</f>
        <v>162216.00788000002</v>
      </c>
      <c r="I477" s="206">
        <f>I478+I499+I511</f>
        <v>178467.51</v>
      </c>
    </row>
    <row r="478" spans="1:9" ht="41.25">
      <c r="A478" s="52" t="s">
        <v>496</v>
      </c>
      <c r="B478" s="58" t="s">
        <v>435</v>
      </c>
      <c r="C478" s="54" t="s">
        <v>414</v>
      </c>
      <c r="D478" s="54" t="s">
        <v>163</v>
      </c>
      <c r="E478" s="54" t="s">
        <v>37</v>
      </c>
      <c r="F478" s="54" t="s">
        <v>432</v>
      </c>
      <c r="G478" s="168">
        <f t="shared" si="28"/>
        <v>162216.00788000002</v>
      </c>
      <c r="H478" s="205">
        <f>H479+H486+H493</f>
        <v>162216.00788000002</v>
      </c>
      <c r="I478" s="205">
        <f>I479+I483+I486+I493</f>
        <v>0</v>
      </c>
    </row>
    <row r="479" spans="1:9" ht="41.25">
      <c r="A479" s="55" t="s">
        <v>278</v>
      </c>
      <c r="B479" s="36" t="s">
        <v>435</v>
      </c>
      <c r="C479" s="33" t="s">
        <v>414</v>
      </c>
      <c r="D479" s="33" t="s">
        <v>163</v>
      </c>
      <c r="E479" s="33" t="s">
        <v>55</v>
      </c>
      <c r="F479" s="33" t="s">
        <v>432</v>
      </c>
      <c r="G479" s="156">
        <f t="shared" si="28"/>
        <v>159408.00788000002</v>
      </c>
      <c r="H479" s="177">
        <f>H480+H483</f>
        <v>159408.00788000002</v>
      </c>
      <c r="I479" s="177">
        <f>I480+I483</f>
        <v>0</v>
      </c>
    </row>
    <row r="480" spans="1:9" ht="27">
      <c r="A480" s="37" t="s">
        <v>270</v>
      </c>
      <c r="B480" s="36" t="s">
        <v>435</v>
      </c>
      <c r="C480" s="33" t="s">
        <v>414</v>
      </c>
      <c r="D480" s="33" t="s">
        <v>163</v>
      </c>
      <c r="E480" s="33" t="s">
        <v>56</v>
      </c>
      <c r="F480" s="33" t="s">
        <v>432</v>
      </c>
      <c r="G480" s="156">
        <f t="shared" si="28"/>
        <v>1170</v>
      </c>
      <c r="H480" s="156">
        <f>H481</f>
        <v>1170</v>
      </c>
      <c r="I480" s="177">
        <f>I481</f>
        <v>0</v>
      </c>
    </row>
    <row r="481" spans="1:9" ht="41.25">
      <c r="A481" s="37" t="s">
        <v>225</v>
      </c>
      <c r="B481" s="36" t="s">
        <v>435</v>
      </c>
      <c r="C481" s="33" t="s">
        <v>414</v>
      </c>
      <c r="D481" s="33" t="s">
        <v>163</v>
      </c>
      <c r="E481" s="33" t="s">
        <v>56</v>
      </c>
      <c r="F481" s="33" t="s">
        <v>226</v>
      </c>
      <c r="G481" s="156">
        <f t="shared" si="28"/>
        <v>1170</v>
      </c>
      <c r="H481" s="177">
        <f>H482</f>
        <v>1170</v>
      </c>
      <c r="I481" s="177">
        <f>I482</f>
        <v>0</v>
      </c>
    </row>
    <row r="482" spans="1:9" ht="13.5">
      <c r="A482" s="38" t="s">
        <v>227</v>
      </c>
      <c r="B482" s="36" t="s">
        <v>435</v>
      </c>
      <c r="C482" s="33" t="s">
        <v>414</v>
      </c>
      <c r="D482" s="33" t="s">
        <v>163</v>
      </c>
      <c r="E482" s="33" t="s">
        <v>57</v>
      </c>
      <c r="F482" s="33" t="s">
        <v>304</v>
      </c>
      <c r="G482" s="156">
        <f t="shared" si="28"/>
        <v>1170</v>
      </c>
      <c r="H482" s="177">
        <f>700+470</f>
        <v>1170</v>
      </c>
      <c r="I482" s="177"/>
    </row>
    <row r="483" spans="1:9" ht="41.25">
      <c r="A483" s="37" t="s">
        <v>271</v>
      </c>
      <c r="B483" s="41" t="s">
        <v>435</v>
      </c>
      <c r="C483" s="33" t="s">
        <v>414</v>
      </c>
      <c r="D483" s="33" t="s">
        <v>163</v>
      </c>
      <c r="E483" s="33" t="s">
        <v>56</v>
      </c>
      <c r="F483" s="33" t="s">
        <v>432</v>
      </c>
      <c r="G483" s="156">
        <f t="shared" si="28"/>
        <v>158238.00788000002</v>
      </c>
      <c r="H483" s="156">
        <f>H484</f>
        <v>158238.00788000002</v>
      </c>
      <c r="I483" s="156">
        <f>I484</f>
        <v>0</v>
      </c>
    </row>
    <row r="484" spans="1:9" ht="41.25">
      <c r="A484" s="37" t="s">
        <v>225</v>
      </c>
      <c r="B484" s="36" t="s">
        <v>435</v>
      </c>
      <c r="C484" s="33" t="s">
        <v>414</v>
      </c>
      <c r="D484" s="33" t="s">
        <v>163</v>
      </c>
      <c r="E484" s="33" t="s">
        <v>56</v>
      </c>
      <c r="F484" s="33" t="s">
        <v>226</v>
      </c>
      <c r="G484" s="156">
        <f t="shared" si="28"/>
        <v>158238.00788000002</v>
      </c>
      <c r="H484" s="177">
        <f>H485</f>
        <v>158238.00788000002</v>
      </c>
      <c r="I484" s="177">
        <f>I485</f>
        <v>0</v>
      </c>
    </row>
    <row r="485" spans="1:9" ht="13.5">
      <c r="A485" s="37" t="s">
        <v>227</v>
      </c>
      <c r="B485" s="36" t="s">
        <v>435</v>
      </c>
      <c r="C485" s="33" t="s">
        <v>414</v>
      </c>
      <c r="D485" s="33" t="s">
        <v>163</v>
      </c>
      <c r="E485" s="33" t="s">
        <v>58</v>
      </c>
      <c r="F485" s="33" t="s">
        <v>304</v>
      </c>
      <c r="G485" s="156">
        <f t="shared" si="28"/>
        <v>158238.00788000002</v>
      </c>
      <c r="H485" s="156">
        <f>66719.69615+3476+5319.52811-71+471-130.39903+10083.4+20118.39+10000+3731.75697+3000-2915.42308+33.142+38401.91676</f>
        <v>158238.00788000002</v>
      </c>
      <c r="I485" s="177"/>
    </row>
    <row r="486" spans="1:9" ht="27">
      <c r="A486" s="55" t="s">
        <v>276</v>
      </c>
      <c r="B486" s="36" t="s">
        <v>435</v>
      </c>
      <c r="C486" s="33" t="s">
        <v>414</v>
      </c>
      <c r="D486" s="33" t="s">
        <v>163</v>
      </c>
      <c r="E486" s="33" t="s">
        <v>59</v>
      </c>
      <c r="F486" s="33" t="s">
        <v>432</v>
      </c>
      <c r="G486" s="156">
        <f t="shared" si="28"/>
        <v>2808</v>
      </c>
      <c r="H486" s="156">
        <f>H487+H490</f>
        <v>2808</v>
      </c>
      <c r="I486" s="177">
        <f>I487+I490</f>
        <v>0</v>
      </c>
    </row>
    <row r="487" spans="1:9" ht="27">
      <c r="A487" s="52" t="s">
        <v>277</v>
      </c>
      <c r="B487" s="58" t="s">
        <v>435</v>
      </c>
      <c r="C487" s="54" t="s">
        <v>414</v>
      </c>
      <c r="D487" s="54" t="s">
        <v>163</v>
      </c>
      <c r="E487" s="54" t="s">
        <v>60</v>
      </c>
      <c r="F487" s="54" t="s">
        <v>432</v>
      </c>
      <c r="G487" s="168">
        <f t="shared" si="28"/>
        <v>258</v>
      </c>
      <c r="H487" s="205">
        <f>H488</f>
        <v>258</v>
      </c>
      <c r="I487" s="205">
        <f>I488</f>
        <v>0</v>
      </c>
    </row>
    <row r="488" spans="1:9" ht="41.25">
      <c r="A488" s="37" t="s">
        <v>225</v>
      </c>
      <c r="B488" s="36" t="s">
        <v>435</v>
      </c>
      <c r="C488" s="33" t="s">
        <v>414</v>
      </c>
      <c r="D488" s="33" t="s">
        <v>163</v>
      </c>
      <c r="E488" s="33" t="s">
        <v>60</v>
      </c>
      <c r="F488" s="33" t="s">
        <v>226</v>
      </c>
      <c r="G488" s="156">
        <f t="shared" si="28"/>
        <v>258</v>
      </c>
      <c r="H488" s="177">
        <f>H489</f>
        <v>258</v>
      </c>
      <c r="I488" s="177">
        <f>I489</f>
        <v>0</v>
      </c>
    </row>
    <row r="489" spans="1:9" ht="13.5">
      <c r="A489" s="38" t="s">
        <v>227</v>
      </c>
      <c r="B489" s="36" t="s">
        <v>435</v>
      </c>
      <c r="C489" s="33" t="s">
        <v>414</v>
      </c>
      <c r="D489" s="33" t="s">
        <v>163</v>
      </c>
      <c r="E489" s="33" t="s">
        <v>61</v>
      </c>
      <c r="F489" s="33" t="s">
        <v>304</v>
      </c>
      <c r="G489" s="156">
        <f t="shared" si="28"/>
        <v>258</v>
      </c>
      <c r="H489" s="177">
        <f>250+8</f>
        <v>258</v>
      </c>
      <c r="I489" s="177"/>
    </row>
    <row r="490" spans="1:9" ht="27">
      <c r="A490" s="52" t="s">
        <v>272</v>
      </c>
      <c r="B490" s="58" t="s">
        <v>435</v>
      </c>
      <c r="C490" s="54" t="s">
        <v>414</v>
      </c>
      <c r="D490" s="54" t="s">
        <v>163</v>
      </c>
      <c r="E490" s="54" t="s">
        <v>60</v>
      </c>
      <c r="F490" s="54" t="s">
        <v>432</v>
      </c>
      <c r="G490" s="168">
        <f t="shared" si="28"/>
        <v>2550</v>
      </c>
      <c r="H490" s="205">
        <f>H491</f>
        <v>2550</v>
      </c>
      <c r="I490" s="205">
        <f>I491</f>
        <v>0</v>
      </c>
    </row>
    <row r="491" spans="1:9" ht="41.25">
      <c r="A491" s="37" t="s">
        <v>225</v>
      </c>
      <c r="B491" s="36" t="s">
        <v>435</v>
      </c>
      <c r="C491" s="33" t="s">
        <v>414</v>
      </c>
      <c r="D491" s="33" t="s">
        <v>163</v>
      </c>
      <c r="E491" s="33" t="s">
        <v>60</v>
      </c>
      <c r="F491" s="33" t="s">
        <v>226</v>
      </c>
      <c r="G491" s="156">
        <f t="shared" si="28"/>
        <v>2550</v>
      </c>
      <c r="H491" s="177">
        <f>H492</f>
        <v>2550</v>
      </c>
      <c r="I491" s="177">
        <f>I492</f>
        <v>0</v>
      </c>
    </row>
    <row r="492" spans="1:9" ht="13.5">
      <c r="A492" s="38" t="s">
        <v>460</v>
      </c>
      <c r="B492" s="36" t="s">
        <v>435</v>
      </c>
      <c r="C492" s="33" t="s">
        <v>414</v>
      </c>
      <c r="D492" s="33" t="s">
        <v>163</v>
      </c>
      <c r="E492" s="33" t="s">
        <v>62</v>
      </c>
      <c r="F492" s="33" t="s">
        <v>304</v>
      </c>
      <c r="G492" s="156">
        <f t="shared" si="28"/>
        <v>2550</v>
      </c>
      <c r="H492" s="177">
        <f>750+300+1500</f>
        <v>2550</v>
      </c>
      <c r="I492" s="177"/>
    </row>
    <row r="493" spans="1:9" ht="27" hidden="1">
      <c r="A493" s="55" t="s">
        <v>306</v>
      </c>
      <c r="B493" s="36" t="s">
        <v>435</v>
      </c>
      <c r="C493" s="33" t="s">
        <v>414</v>
      </c>
      <c r="D493" s="33" t="s">
        <v>163</v>
      </c>
      <c r="E493" s="33" t="s">
        <v>63</v>
      </c>
      <c r="F493" s="33" t="s">
        <v>432</v>
      </c>
      <c r="G493" s="156">
        <f t="shared" si="28"/>
        <v>0</v>
      </c>
      <c r="H493" s="177">
        <f>H494</f>
        <v>0</v>
      </c>
      <c r="I493" s="177"/>
    </row>
    <row r="494" spans="1:9" ht="41.25" hidden="1">
      <c r="A494" s="37" t="s">
        <v>225</v>
      </c>
      <c r="B494" s="36" t="s">
        <v>435</v>
      </c>
      <c r="C494" s="33" t="s">
        <v>414</v>
      </c>
      <c r="D494" s="33" t="s">
        <v>163</v>
      </c>
      <c r="E494" s="33" t="s">
        <v>64</v>
      </c>
      <c r="F494" s="33" t="s">
        <v>432</v>
      </c>
      <c r="G494" s="156">
        <f t="shared" si="28"/>
        <v>0</v>
      </c>
      <c r="H494" s="156">
        <f>H495+H496</f>
        <v>0</v>
      </c>
      <c r="I494" s="177"/>
    </row>
    <row r="495" spans="1:9" ht="27" hidden="1">
      <c r="A495" s="37" t="s">
        <v>134</v>
      </c>
      <c r="B495" s="36" t="s">
        <v>435</v>
      </c>
      <c r="C495" s="33" t="s">
        <v>414</v>
      </c>
      <c r="D495" s="33" t="s">
        <v>163</v>
      </c>
      <c r="E495" s="33" t="s">
        <v>65</v>
      </c>
      <c r="F495" s="33" t="s">
        <v>304</v>
      </c>
      <c r="G495" s="156">
        <f t="shared" si="28"/>
        <v>0</v>
      </c>
      <c r="H495" s="156"/>
      <c r="I495" s="177"/>
    </row>
    <row r="496" spans="1:9" ht="27" hidden="1">
      <c r="A496" s="37" t="s">
        <v>135</v>
      </c>
      <c r="B496" s="36" t="s">
        <v>435</v>
      </c>
      <c r="C496" s="33" t="s">
        <v>414</v>
      </c>
      <c r="D496" s="33" t="s">
        <v>163</v>
      </c>
      <c r="E496" s="33" t="s">
        <v>66</v>
      </c>
      <c r="F496" s="33" t="s">
        <v>304</v>
      </c>
      <c r="G496" s="156">
        <f t="shared" si="28"/>
        <v>0</v>
      </c>
      <c r="H496" s="156"/>
      <c r="I496" s="177"/>
    </row>
    <row r="497" spans="1:9" ht="41.25">
      <c r="A497" s="52" t="s">
        <v>496</v>
      </c>
      <c r="B497" s="58" t="s">
        <v>435</v>
      </c>
      <c r="C497" s="54" t="s">
        <v>414</v>
      </c>
      <c r="D497" s="54" t="s">
        <v>163</v>
      </c>
      <c r="E497" s="54" t="s">
        <v>37</v>
      </c>
      <c r="F497" s="54" t="s">
        <v>432</v>
      </c>
      <c r="G497" s="156">
        <f t="shared" si="28"/>
        <v>172100.73</v>
      </c>
      <c r="H497" s="156">
        <f>H498</f>
        <v>0</v>
      </c>
      <c r="I497" s="156">
        <f>I498</f>
        <v>172100.73</v>
      </c>
    </row>
    <row r="498" spans="1:9" ht="41.25">
      <c r="A498" s="55" t="s">
        <v>278</v>
      </c>
      <c r="B498" s="36" t="s">
        <v>435</v>
      </c>
      <c r="C498" s="33" t="s">
        <v>414</v>
      </c>
      <c r="D498" s="33" t="s">
        <v>163</v>
      </c>
      <c r="E498" s="33" t="s">
        <v>55</v>
      </c>
      <c r="F498" s="33" t="s">
        <v>432</v>
      </c>
      <c r="G498" s="156">
        <f t="shared" si="28"/>
        <v>172100.73</v>
      </c>
      <c r="H498" s="156">
        <f>H499</f>
        <v>0</v>
      </c>
      <c r="I498" s="156">
        <f>I499</f>
        <v>172100.73</v>
      </c>
    </row>
    <row r="499" spans="1:9" ht="13.5">
      <c r="A499" s="37" t="s">
        <v>182</v>
      </c>
      <c r="B499" s="36" t="s">
        <v>435</v>
      </c>
      <c r="C499" s="33" t="s">
        <v>414</v>
      </c>
      <c r="D499" s="33" t="s">
        <v>163</v>
      </c>
      <c r="E499" s="33" t="s">
        <v>338</v>
      </c>
      <c r="F499" s="33" t="s">
        <v>432</v>
      </c>
      <c r="G499" s="156">
        <f>H499+I499</f>
        <v>172100.73</v>
      </c>
      <c r="H499" s="177">
        <f>H500+H502+H508</f>
        <v>0</v>
      </c>
      <c r="I499" s="177">
        <f>I500+I502+I505+I508</f>
        <v>172100.73</v>
      </c>
    </row>
    <row r="500" spans="1:9" ht="41.25" hidden="1">
      <c r="A500" s="37" t="s">
        <v>196</v>
      </c>
      <c r="B500" s="36" t="s">
        <v>435</v>
      </c>
      <c r="C500" s="33" t="s">
        <v>414</v>
      </c>
      <c r="D500" s="33" t="s">
        <v>163</v>
      </c>
      <c r="E500" s="33" t="s">
        <v>136</v>
      </c>
      <c r="F500" s="33" t="s">
        <v>432</v>
      </c>
      <c r="G500" s="156">
        <f t="shared" si="28"/>
        <v>0</v>
      </c>
      <c r="H500" s="177">
        <f>H501</f>
        <v>0</v>
      </c>
      <c r="I500" s="177">
        <f>I501</f>
        <v>0</v>
      </c>
    </row>
    <row r="501" spans="1:9" ht="13.5" hidden="1">
      <c r="A501" s="37" t="s">
        <v>182</v>
      </c>
      <c r="B501" s="36" t="s">
        <v>435</v>
      </c>
      <c r="C501" s="33" t="s">
        <v>414</v>
      </c>
      <c r="D501" s="33" t="s">
        <v>163</v>
      </c>
      <c r="E501" s="33" t="s">
        <v>136</v>
      </c>
      <c r="F501" s="33" t="s">
        <v>396</v>
      </c>
      <c r="G501" s="156">
        <f t="shared" si="28"/>
        <v>0</v>
      </c>
      <c r="H501" s="177"/>
      <c r="I501" s="177"/>
    </row>
    <row r="502" spans="1:9" ht="55.5" customHeight="1">
      <c r="A502" s="37" t="s">
        <v>616</v>
      </c>
      <c r="B502" s="36" t="s">
        <v>435</v>
      </c>
      <c r="C502" s="33" t="s">
        <v>414</v>
      </c>
      <c r="D502" s="33" t="s">
        <v>163</v>
      </c>
      <c r="E502" s="33" t="s">
        <v>55</v>
      </c>
      <c r="F502" s="33" t="s">
        <v>432</v>
      </c>
      <c r="G502" s="156">
        <f t="shared" si="28"/>
        <v>10064.37</v>
      </c>
      <c r="H502" s="177">
        <f>H503</f>
        <v>0</v>
      </c>
      <c r="I502" s="177">
        <f>I503</f>
        <v>10064.37</v>
      </c>
    </row>
    <row r="503" spans="1:9" ht="41.25">
      <c r="A503" s="25" t="s">
        <v>225</v>
      </c>
      <c r="B503" s="30" t="s">
        <v>435</v>
      </c>
      <c r="C503" s="69" t="s">
        <v>414</v>
      </c>
      <c r="D503" s="69" t="s">
        <v>163</v>
      </c>
      <c r="E503" s="69" t="s">
        <v>617</v>
      </c>
      <c r="F503" s="69" t="s">
        <v>226</v>
      </c>
      <c r="G503" s="156">
        <f t="shared" si="28"/>
        <v>10064.37</v>
      </c>
      <c r="H503" s="156"/>
      <c r="I503" s="156">
        <f>I504</f>
        <v>10064.37</v>
      </c>
    </row>
    <row r="504" spans="1:9" ht="13.5">
      <c r="A504" s="85" t="s">
        <v>227</v>
      </c>
      <c r="B504" s="30" t="s">
        <v>435</v>
      </c>
      <c r="C504" s="69" t="s">
        <v>414</v>
      </c>
      <c r="D504" s="69" t="s">
        <v>163</v>
      </c>
      <c r="E504" s="69" t="s">
        <v>617</v>
      </c>
      <c r="F504" s="69" t="s">
        <v>304</v>
      </c>
      <c r="G504" s="156">
        <f t="shared" si="28"/>
        <v>10064.37</v>
      </c>
      <c r="H504" s="156"/>
      <c r="I504" s="156">
        <f>13848.602-3784.232</f>
        <v>10064.37</v>
      </c>
    </row>
    <row r="505" spans="1:9" ht="69">
      <c r="A505" s="96" t="s">
        <v>834</v>
      </c>
      <c r="B505" s="136" t="s">
        <v>435</v>
      </c>
      <c r="C505" s="100" t="s">
        <v>414</v>
      </c>
      <c r="D505" s="100" t="s">
        <v>163</v>
      </c>
      <c r="E505" s="100" t="s">
        <v>835</v>
      </c>
      <c r="F505" s="100" t="s">
        <v>432</v>
      </c>
      <c r="G505" s="197">
        <f>H505+I505</f>
        <v>5152</v>
      </c>
      <c r="H505" s="168">
        <v>0</v>
      </c>
      <c r="I505" s="168">
        <f>I506</f>
        <v>5152</v>
      </c>
    </row>
    <row r="506" spans="1:9" ht="41.25">
      <c r="A506" s="25" t="s">
        <v>225</v>
      </c>
      <c r="B506" s="30" t="s">
        <v>435</v>
      </c>
      <c r="C506" s="69" t="s">
        <v>414</v>
      </c>
      <c r="D506" s="69" t="s">
        <v>163</v>
      </c>
      <c r="E506" s="69" t="s">
        <v>835</v>
      </c>
      <c r="F506" s="69" t="s">
        <v>226</v>
      </c>
      <c r="G506" s="198">
        <f>H506+I506</f>
        <v>5152</v>
      </c>
      <c r="H506" s="156"/>
      <c r="I506" s="156">
        <f>I507</f>
        <v>5152</v>
      </c>
    </row>
    <row r="507" spans="1:9" ht="13.5">
      <c r="A507" s="25" t="s">
        <v>227</v>
      </c>
      <c r="B507" s="30" t="s">
        <v>435</v>
      </c>
      <c r="C507" s="69" t="s">
        <v>414</v>
      </c>
      <c r="D507" s="69" t="s">
        <v>163</v>
      </c>
      <c r="E507" s="69" t="s">
        <v>835</v>
      </c>
      <c r="F507" s="69" t="s">
        <v>304</v>
      </c>
      <c r="G507" s="198">
        <f>H507+I507</f>
        <v>5152</v>
      </c>
      <c r="H507" s="156"/>
      <c r="I507" s="156">
        <v>5152</v>
      </c>
    </row>
    <row r="508" spans="1:9" ht="69">
      <c r="A508" s="37" t="s">
        <v>197</v>
      </c>
      <c r="B508" s="36" t="s">
        <v>435</v>
      </c>
      <c r="C508" s="33" t="s">
        <v>414</v>
      </c>
      <c r="D508" s="33" t="s">
        <v>163</v>
      </c>
      <c r="E508" s="33" t="s">
        <v>69</v>
      </c>
      <c r="F508" s="33" t="s">
        <v>432</v>
      </c>
      <c r="G508" s="156">
        <f t="shared" si="28"/>
        <v>156884.36000000002</v>
      </c>
      <c r="H508" s="177">
        <f>H509</f>
        <v>0</v>
      </c>
      <c r="I508" s="177">
        <f>I509</f>
        <v>156884.36000000002</v>
      </c>
    </row>
    <row r="509" spans="1:9" ht="41.25">
      <c r="A509" s="37" t="s">
        <v>225</v>
      </c>
      <c r="B509" s="36" t="s">
        <v>435</v>
      </c>
      <c r="C509" s="33" t="s">
        <v>414</v>
      </c>
      <c r="D509" s="33" t="s">
        <v>163</v>
      </c>
      <c r="E509" s="33" t="s">
        <v>69</v>
      </c>
      <c r="F509" s="33" t="s">
        <v>226</v>
      </c>
      <c r="G509" s="156">
        <f t="shared" si="28"/>
        <v>156884.36000000002</v>
      </c>
      <c r="H509" s="177"/>
      <c r="I509" s="156">
        <f>I510</f>
        <v>156884.36000000002</v>
      </c>
    </row>
    <row r="510" spans="1:9" ht="13.5">
      <c r="A510" s="37" t="s">
        <v>227</v>
      </c>
      <c r="B510" s="36" t="s">
        <v>435</v>
      </c>
      <c r="C510" s="33" t="s">
        <v>414</v>
      </c>
      <c r="D510" s="33" t="s">
        <v>163</v>
      </c>
      <c r="E510" s="33" t="s">
        <v>69</v>
      </c>
      <c r="F510" s="33" t="s">
        <v>304</v>
      </c>
      <c r="G510" s="156">
        <f t="shared" si="28"/>
        <v>156884.36000000002</v>
      </c>
      <c r="H510" s="177"/>
      <c r="I510" s="156">
        <f>156357.937+526.423</f>
        <v>156884.36000000002</v>
      </c>
    </row>
    <row r="511" spans="1:9" s="27" customFormat="1" ht="82.5">
      <c r="A511" s="96" t="s">
        <v>828</v>
      </c>
      <c r="B511" s="53" t="s">
        <v>435</v>
      </c>
      <c r="C511" s="54" t="s">
        <v>414</v>
      </c>
      <c r="D511" s="54" t="s">
        <v>163</v>
      </c>
      <c r="E511" s="100" t="s">
        <v>836</v>
      </c>
      <c r="F511" s="100" t="s">
        <v>432</v>
      </c>
      <c r="G511" s="197">
        <f>H511+I511</f>
        <v>6366.78</v>
      </c>
      <c r="H511" s="168">
        <v>0</v>
      </c>
      <c r="I511" s="168">
        <f>I512</f>
        <v>6366.78</v>
      </c>
    </row>
    <row r="512" spans="1:9" ht="41.25">
      <c r="A512" s="25" t="s">
        <v>225</v>
      </c>
      <c r="B512" s="41" t="s">
        <v>435</v>
      </c>
      <c r="C512" s="33" t="s">
        <v>414</v>
      </c>
      <c r="D512" s="33" t="s">
        <v>163</v>
      </c>
      <c r="E512" s="69" t="s">
        <v>836</v>
      </c>
      <c r="F512" s="69" t="s">
        <v>226</v>
      </c>
      <c r="G512" s="198">
        <f>H512+I512</f>
        <v>6366.78</v>
      </c>
      <c r="H512" s="156"/>
      <c r="I512" s="156">
        <f>I513</f>
        <v>6366.78</v>
      </c>
    </row>
    <row r="513" spans="1:9" ht="13.5">
      <c r="A513" s="25" t="s">
        <v>227</v>
      </c>
      <c r="B513" s="41" t="s">
        <v>435</v>
      </c>
      <c r="C513" s="33" t="s">
        <v>414</v>
      </c>
      <c r="D513" s="33" t="s">
        <v>163</v>
      </c>
      <c r="E513" s="69" t="s">
        <v>836</v>
      </c>
      <c r="F513" s="69" t="s">
        <v>304</v>
      </c>
      <c r="G513" s="198">
        <f>H513+I513</f>
        <v>6366.78</v>
      </c>
      <c r="H513" s="156"/>
      <c r="I513" s="156">
        <v>6366.78</v>
      </c>
    </row>
    <row r="514" spans="1:9" ht="41.25">
      <c r="A514" s="52" t="s">
        <v>496</v>
      </c>
      <c r="B514" s="53" t="s">
        <v>435</v>
      </c>
      <c r="C514" s="54" t="s">
        <v>414</v>
      </c>
      <c r="D514" s="54" t="s">
        <v>168</v>
      </c>
      <c r="E514" s="54" t="s">
        <v>37</v>
      </c>
      <c r="F514" s="54" t="s">
        <v>432</v>
      </c>
      <c r="G514" s="168">
        <f t="shared" si="28"/>
        <v>23159.453</v>
      </c>
      <c r="H514" s="168">
        <f>H515</f>
        <v>23159.453</v>
      </c>
      <c r="I514" s="168">
        <f>I515</f>
        <v>0</v>
      </c>
    </row>
    <row r="515" spans="1:9" ht="27">
      <c r="A515" s="55" t="s">
        <v>306</v>
      </c>
      <c r="B515" s="36" t="s">
        <v>435</v>
      </c>
      <c r="C515" s="33" t="s">
        <v>414</v>
      </c>
      <c r="D515" s="33" t="s">
        <v>168</v>
      </c>
      <c r="E515" s="33" t="s">
        <v>63</v>
      </c>
      <c r="F515" s="33" t="s">
        <v>432</v>
      </c>
      <c r="G515" s="156">
        <f t="shared" si="28"/>
        <v>23159.453</v>
      </c>
      <c r="H515" s="177">
        <f>H516</f>
        <v>23159.453</v>
      </c>
      <c r="I515" s="177">
        <f>I516</f>
        <v>0</v>
      </c>
    </row>
    <row r="516" spans="1:9" ht="41.25">
      <c r="A516" s="37" t="s">
        <v>225</v>
      </c>
      <c r="B516" s="36" t="s">
        <v>435</v>
      </c>
      <c r="C516" s="33" t="s">
        <v>414</v>
      </c>
      <c r="D516" s="33" t="s">
        <v>168</v>
      </c>
      <c r="E516" s="33" t="s">
        <v>64</v>
      </c>
      <c r="F516" s="33" t="s">
        <v>226</v>
      </c>
      <c r="G516" s="156">
        <f t="shared" si="28"/>
        <v>23159.453</v>
      </c>
      <c r="H516" s="177">
        <f>H517+H518</f>
        <v>23159.453</v>
      </c>
      <c r="I516" s="156"/>
    </row>
    <row r="517" spans="1:9" ht="27">
      <c r="A517" s="37" t="s">
        <v>134</v>
      </c>
      <c r="B517" s="36" t="s">
        <v>435</v>
      </c>
      <c r="C517" s="33" t="s">
        <v>414</v>
      </c>
      <c r="D517" s="33" t="s">
        <v>168</v>
      </c>
      <c r="E517" s="33" t="s">
        <v>65</v>
      </c>
      <c r="F517" s="33" t="s">
        <v>304</v>
      </c>
      <c r="G517" s="156">
        <f t="shared" si="28"/>
        <v>9742.363000000001</v>
      </c>
      <c r="H517" s="156">
        <f>5180.48+704.64+2620.9+1236.343</f>
        <v>9742.363000000001</v>
      </c>
      <c r="I517" s="156"/>
    </row>
    <row r="518" spans="1:9" ht="27">
      <c r="A518" s="37" t="s">
        <v>135</v>
      </c>
      <c r="B518" s="36" t="s">
        <v>435</v>
      </c>
      <c r="C518" s="33" t="s">
        <v>414</v>
      </c>
      <c r="D518" s="33" t="s">
        <v>168</v>
      </c>
      <c r="E518" s="33" t="s">
        <v>66</v>
      </c>
      <c r="F518" s="33" t="s">
        <v>304</v>
      </c>
      <c r="G518" s="156">
        <f t="shared" si="28"/>
        <v>13417.09</v>
      </c>
      <c r="H518" s="156">
        <f>12332.59+54+49.5+531+150+300</f>
        <v>13417.09</v>
      </c>
      <c r="I518" s="156"/>
    </row>
    <row r="519" spans="1:9" ht="41.25">
      <c r="A519" s="52" t="s">
        <v>497</v>
      </c>
      <c r="B519" s="53" t="s">
        <v>435</v>
      </c>
      <c r="C519" s="54" t="s">
        <v>414</v>
      </c>
      <c r="D519" s="54" t="s">
        <v>411</v>
      </c>
      <c r="E519" s="54" t="s">
        <v>37</v>
      </c>
      <c r="F519" s="54" t="s">
        <v>432</v>
      </c>
      <c r="G519" s="168">
        <f t="shared" si="28"/>
        <v>50</v>
      </c>
      <c r="H519" s="168">
        <f aca="true" t="shared" si="29" ref="H519:I522">H520</f>
        <v>50</v>
      </c>
      <c r="I519" s="168">
        <f t="shared" si="29"/>
        <v>0</v>
      </c>
    </row>
    <row r="520" spans="1:9" ht="27">
      <c r="A520" s="55" t="s">
        <v>307</v>
      </c>
      <c r="B520" s="36" t="s">
        <v>435</v>
      </c>
      <c r="C520" s="33" t="s">
        <v>414</v>
      </c>
      <c r="D520" s="33" t="s">
        <v>411</v>
      </c>
      <c r="E520" s="33" t="s">
        <v>70</v>
      </c>
      <c r="F520" s="33" t="s">
        <v>432</v>
      </c>
      <c r="G520" s="156">
        <f t="shared" si="28"/>
        <v>50</v>
      </c>
      <c r="H520" s="177">
        <f t="shared" si="29"/>
        <v>50</v>
      </c>
      <c r="I520" s="177">
        <f t="shared" si="29"/>
        <v>0</v>
      </c>
    </row>
    <row r="521" spans="1:9" ht="27">
      <c r="A521" s="37" t="s">
        <v>273</v>
      </c>
      <c r="B521" s="36" t="s">
        <v>435</v>
      </c>
      <c r="C521" s="33" t="s">
        <v>414</v>
      </c>
      <c r="D521" s="33" t="s">
        <v>411</v>
      </c>
      <c r="E521" s="33" t="s">
        <v>71</v>
      </c>
      <c r="F521" s="33" t="s">
        <v>432</v>
      </c>
      <c r="G521" s="156">
        <f t="shared" si="28"/>
        <v>50</v>
      </c>
      <c r="H521" s="177">
        <f t="shared" si="29"/>
        <v>50</v>
      </c>
      <c r="I521" s="177">
        <f t="shared" si="29"/>
        <v>0</v>
      </c>
    </row>
    <row r="522" spans="1:9" ht="41.25">
      <c r="A522" s="37" t="s">
        <v>225</v>
      </c>
      <c r="B522" s="36" t="s">
        <v>435</v>
      </c>
      <c r="C522" s="33" t="s">
        <v>414</v>
      </c>
      <c r="D522" s="33" t="s">
        <v>411</v>
      </c>
      <c r="E522" s="33" t="s">
        <v>71</v>
      </c>
      <c r="F522" s="33" t="s">
        <v>226</v>
      </c>
      <c r="G522" s="156">
        <f t="shared" si="28"/>
        <v>50</v>
      </c>
      <c r="H522" s="156">
        <f t="shared" si="29"/>
        <v>50</v>
      </c>
      <c r="I522" s="156">
        <f t="shared" si="29"/>
        <v>0</v>
      </c>
    </row>
    <row r="523" spans="1:9" ht="13.5">
      <c r="A523" s="37" t="s">
        <v>227</v>
      </c>
      <c r="B523" s="36" t="s">
        <v>435</v>
      </c>
      <c r="C523" s="33" t="s">
        <v>414</v>
      </c>
      <c r="D523" s="33" t="s">
        <v>411</v>
      </c>
      <c r="E523" s="33" t="s">
        <v>71</v>
      </c>
      <c r="F523" s="33" t="s">
        <v>304</v>
      </c>
      <c r="G523" s="156">
        <f t="shared" si="28"/>
        <v>50</v>
      </c>
      <c r="H523" s="177">
        <v>50</v>
      </c>
      <c r="I523" s="177"/>
    </row>
    <row r="524" spans="1:9" ht="41.25">
      <c r="A524" s="52" t="s">
        <v>496</v>
      </c>
      <c r="B524" s="53" t="s">
        <v>435</v>
      </c>
      <c r="C524" s="54" t="s">
        <v>414</v>
      </c>
      <c r="D524" s="54" t="s">
        <v>414</v>
      </c>
      <c r="E524" s="54" t="s">
        <v>37</v>
      </c>
      <c r="F524" s="54" t="s">
        <v>432</v>
      </c>
      <c r="G524" s="168">
        <f t="shared" si="28"/>
        <v>2540.5791799999997</v>
      </c>
      <c r="H524" s="168">
        <f>H525+H533</f>
        <v>11.24799</v>
      </c>
      <c r="I524" s="168">
        <f>I525+I533</f>
        <v>2529.33119</v>
      </c>
    </row>
    <row r="525" spans="1:9" ht="33.75" customHeight="1">
      <c r="A525" s="55" t="s">
        <v>306</v>
      </c>
      <c r="B525" s="41" t="s">
        <v>435</v>
      </c>
      <c r="C525" s="33" t="s">
        <v>414</v>
      </c>
      <c r="D525" s="33" t="s">
        <v>414</v>
      </c>
      <c r="E525" s="33" t="s">
        <v>63</v>
      </c>
      <c r="F525" s="33" t="s">
        <v>432</v>
      </c>
      <c r="G525" s="198">
        <f aca="true" t="shared" si="30" ref="G525:G532">H525+I525</f>
        <v>1193.4749900000002</v>
      </c>
      <c r="H525" s="156">
        <f>H526</f>
        <v>11.24799</v>
      </c>
      <c r="I525" s="156">
        <f>I526</f>
        <v>1182.227</v>
      </c>
    </row>
    <row r="526" spans="1:9" ht="41.25">
      <c r="A526" s="96" t="s">
        <v>714</v>
      </c>
      <c r="B526" s="53" t="s">
        <v>435</v>
      </c>
      <c r="C526" s="54" t="s">
        <v>414</v>
      </c>
      <c r="D526" s="54" t="s">
        <v>414</v>
      </c>
      <c r="E526" s="100" t="s">
        <v>338</v>
      </c>
      <c r="F526" s="100" t="s">
        <v>432</v>
      </c>
      <c r="G526" s="197">
        <f t="shared" si="30"/>
        <v>1193.4749900000002</v>
      </c>
      <c r="H526" s="168">
        <f>H530</f>
        <v>11.24799</v>
      </c>
      <c r="I526" s="168">
        <f>I527</f>
        <v>1182.227</v>
      </c>
    </row>
    <row r="527" spans="1:9" ht="69">
      <c r="A527" s="25" t="s">
        <v>729</v>
      </c>
      <c r="B527" s="41" t="s">
        <v>435</v>
      </c>
      <c r="C527" s="33" t="s">
        <v>414</v>
      </c>
      <c r="D527" s="33" t="s">
        <v>414</v>
      </c>
      <c r="E527" s="69" t="s">
        <v>737</v>
      </c>
      <c r="F527" s="69" t="s">
        <v>432</v>
      </c>
      <c r="G527" s="198">
        <f t="shared" si="30"/>
        <v>1182.227</v>
      </c>
      <c r="H527" s="156"/>
      <c r="I527" s="156">
        <f>I528</f>
        <v>1182.227</v>
      </c>
    </row>
    <row r="528" spans="1:9" ht="41.25">
      <c r="A528" s="25" t="s">
        <v>225</v>
      </c>
      <c r="B528" s="41" t="s">
        <v>435</v>
      </c>
      <c r="C528" s="33" t="s">
        <v>414</v>
      </c>
      <c r="D528" s="33" t="s">
        <v>414</v>
      </c>
      <c r="E528" s="69" t="s">
        <v>737</v>
      </c>
      <c r="F528" s="69" t="s">
        <v>226</v>
      </c>
      <c r="G528" s="198">
        <f t="shared" si="30"/>
        <v>1182.227</v>
      </c>
      <c r="H528" s="156"/>
      <c r="I528" s="156">
        <f>I529</f>
        <v>1182.227</v>
      </c>
    </row>
    <row r="529" spans="1:9" ht="13.5">
      <c r="A529" s="25" t="s">
        <v>227</v>
      </c>
      <c r="B529" s="41" t="s">
        <v>435</v>
      </c>
      <c r="C529" s="33" t="s">
        <v>414</v>
      </c>
      <c r="D529" s="33" t="s">
        <v>414</v>
      </c>
      <c r="E529" s="69" t="s">
        <v>737</v>
      </c>
      <c r="F529" s="69" t="s">
        <v>304</v>
      </c>
      <c r="G529" s="198">
        <f t="shared" si="30"/>
        <v>1182.227</v>
      </c>
      <c r="H529" s="156"/>
      <c r="I529" s="156">
        <v>1182.227</v>
      </c>
    </row>
    <row r="530" spans="1:9" ht="82.5">
      <c r="A530" s="25" t="s">
        <v>730</v>
      </c>
      <c r="B530" s="30" t="s">
        <v>435</v>
      </c>
      <c r="C530" s="69" t="s">
        <v>414</v>
      </c>
      <c r="D530" s="69" t="s">
        <v>414</v>
      </c>
      <c r="E530" s="69" t="s">
        <v>786</v>
      </c>
      <c r="F530" s="69" t="s">
        <v>432</v>
      </c>
      <c r="G530" s="198">
        <f t="shared" si="30"/>
        <v>11.24799</v>
      </c>
      <c r="H530" s="156">
        <f>H531</f>
        <v>11.24799</v>
      </c>
      <c r="I530" s="156"/>
    </row>
    <row r="531" spans="1:9" ht="41.25">
      <c r="A531" s="25" t="s">
        <v>225</v>
      </c>
      <c r="B531" s="30" t="s">
        <v>435</v>
      </c>
      <c r="C531" s="69" t="s">
        <v>414</v>
      </c>
      <c r="D531" s="69" t="s">
        <v>414</v>
      </c>
      <c r="E531" s="69" t="s">
        <v>786</v>
      </c>
      <c r="F531" s="69" t="s">
        <v>226</v>
      </c>
      <c r="G531" s="198">
        <f t="shared" si="30"/>
        <v>11.24799</v>
      </c>
      <c r="H531" s="156">
        <f>H532</f>
        <v>11.24799</v>
      </c>
      <c r="I531" s="156"/>
    </row>
    <row r="532" spans="1:9" ht="13.5">
      <c r="A532" s="25" t="s">
        <v>227</v>
      </c>
      <c r="B532" s="30" t="s">
        <v>435</v>
      </c>
      <c r="C532" s="69" t="s">
        <v>414</v>
      </c>
      <c r="D532" s="69" t="s">
        <v>414</v>
      </c>
      <c r="E532" s="69" t="s">
        <v>786</v>
      </c>
      <c r="F532" s="69" t="s">
        <v>304</v>
      </c>
      <c r="G532" s="198">
        <f t="shared" si="30"/>
        <v>11.24799</v>
      </c>
      <c r="H532" s="156">
        <f>11.94169-6.00085+5.30715</f>
        <v>11.24799</v>
      </c>
      <c r="I532" s="156"/>
    </row>
    <row r="533" spans="1:9" ht="27">
      <c r="A533" s="144" t="s">
        <v>485</v>
      </c>
      <c r="B533" s="30" t="s">
        <v>435</v>
      </c>
      <c r="C533" s="69" t="s">
        <v>414</v>
      </c>
      <c r="D533" s="69" t="s">
        <v>414</v>
      </c>
      <c r="E533" s="69" t="s">
        <v>72</v>
      </c>
      <c r="F533" s="69" t="s">
        <v>432</v>
      </c>
      <c r="G533" s="156">
        <f t="shared" si="28"/>
        <v>1347.10419</v>
      </c>
      <c r="H533" s="156">
        <f>H534</f>
        <v>0</v>
      </c>
      <c r="I533" s="156">
        <f>I534</f>
        <v>1347.10419</v>
      </c>
    </row>
    <row r="534" spans="1:9" ht="54.75">
      <c r="A534" s="142" t="s">
        <v>783</v>
      </c>
      <c r="B534" s="43" t="s">
        <v>435</v>
      </c>
      <c r="C534" s="44" t="s">
        <v>414</v>
      </c>
      <c r="D534" s="44" t="s">
        <v>414</v>
      </c>
      <c r="E534" s="44" t="s">
        <v>72</v>
      </c>
      <c r="F534" s="44" t="s">
        <v>432</v>
      </c>
      <c r="G534" s="167">
        <f>H534+I534</f>
        <v>1347.10419</v>
      </c>
      <c r="H534" s="206">
        <f>H535+H537</f>
        <v>0</v>
      </c>
      <c r="I534" s="206">
        <f>I535+I537</f>
        <v>1347.10419</v>
      </c>
    </row>
    <row r="535" spans="1:9" ht="41.25">
      <c r="A535" s="38" t="s">
        <v>225</v>
      </c>
      <c r="B535" s="36" t="s">
        <v>435</v>
      </c>
      <c r="C535" s="33" t="s">
        <v>414</v>
      </c>
      <c r="D535" s="33" t="s">
        <v>414</v>
      </c>
      <c r="E535" s="33" t="s">
        <v>73</v>
      </c>
      <c r="F535" s="33" t="s">
        <v>226</v>
      </c>
      <c r="G535" s="156">
        <f>H535+I535</f>
        <v>1347.10419</v>
      </c>
      <c r="H535" s="177"/>
      <c r="I535" s="177">
        <f>I536</f>
        <v>1347.10419</v>
      </c>
    </row>
    <row r="536" spans="1:9" ht="13.5">
      <c r="A536" s="38" t="s">
        <v>227</v>
      </c>
      <c r="B536" s="36" t="s">
        <v>435</v>
      </c>
      <c r="C536" s="33" t="s">
        <v>414</v>
      </c>
      <c r="D536" s="33" t="s">
        <v>414</v>
      </c>
      <c r="E536" s="33" t="s">
        <v>73</v>
      </c>
      <c r="F536" s="33" t="s">
        <v>304</v>
      </c>
      <c r="G536" s="156">
        <f>H536+I536</f>
        <v>1347.10419</v>
      </c>
      <c r="H536" s="177"/>
      <c r="I536" s="177">
        <f>2664.058-642.381-674.57281</f>
        <v>1347.10419</v>
      </c>
    </row>
    <row r="537" spans="1:9" ht="41.25" hidden="1">
      <c r="A537" s="38" t="s">
        <v>225</v>
      </c>
      <c r="B537" s="36" t="s">
        <v>435</v>
      </c>
      <c r="C537" s="33" t="s">
        <v>414</v>
      </c>
      <c r="D537" s="33" t="s">
        <v>414</v>
      </c>
      <c r="E537" s="33" t="s">
        <v>73</v>
      </c>
      <c r="F537" s="33" t="s">
        <v>226</v>
      </c>
      <c r="G537" s="156">
        <f t="shared" si="28"/>
        <v>0</v>
      </c>
      <c r="H537" s="177"/>
      <c r="I537" s="177">
        <f>I538</f>
        <v>0</v>
      </c>
    </row>
    <row r="538" spans="1:9" ht="13.5" hidden="1">
      <c r="A538" s="38" t="s">
        <v>227</v>
      </c>
      <c r="B538" s="36" t="s">
        <v>435</v>
      </c>
      <c r="C538" s="33" t="s">
        <v>414</v>
      </c>
      <c r="D538" s="33" t="s">
        <v>414</v>
      </c>
      <c r="E538" s="33" t="s">
        <v>73</v>
      </c>
      <c r="F538" s="33" t="s">
        <v>304</v>
      </c>
      <c r="G538" s="156">
        <f t="shared" si="28"/>
        <v>0</v>
      </c>
      <c r="H538" s="177"/>
      <c r="I538" s="177"/>
    </row>
    <row r="539" spans="1:9" ht="13.5">
      <c r="A539" s="330" t="s">
        <v>389</v>
      </c>
      <c r="B539" s="43" t="s">
        <v>435</v>
      </c>
      <c r="C539" s="44" t="s">
        <v>414</v>
      </c>
      <c r="D539" s="44" t="s">
        <v>399</v>
      </c>
      <c r="E539" s="44" t="s">
        <v>338</v>
      </c>
      <c r="F539" s="44" t="s">
        <v>432</v>
      </c>
      <c r="G539" s="167">
        <f>H539+I539</f>
        <v>42327.27293</v>
      </c>
      <c r="H539" s="206">
        <f>H540+H555+H563+H567+H570</f>
        <v>42327.27293</v>
      </c>
      <c r="I539" s="206">
        <f>I540</f>
        <v>0</v>
      </c>
    </row>
    <row r="540" spans="1:9" ht="41.25">
      <c r="A540" s="52" t="s">
        <v>496</v>
      </c>
      <c r="B540" s="58" t="s">
        <v>435</v>
      </c>
      <c r="C540" s="54" t="s">
        <v>414</v>
      </c>
      <c r="D540" s="54" t="s">
        <v>399</v>
      </c>
      <c r="E540" s="54" t="s">
        <v>37</v>
      </c>
      <c r="F540" s="54" t="s">
        <v>432</v>
      </c>
      <c r="G540" s="168">
        <f t="shared" si="28"/>
        <v>40646.57293</v>
      </c>
      <c r="H540" s="205">
        <f>H541</f>
        <v>40646.57293</v>
      </c>
      <c r="I540" s="205"/>
    </row>
    <row r="541" spans="1:10" ht="27">
      <c r="A541" s="55" t="s">
        <v>279</v>
      </c>
      <c r="B541" s="36" t="s">
        <v>435</v>
      </c>
      <c r="C541" s="33" t="s">
        <v>414</v>
      </c>
      <c r="D541" s="33" t="s">
        <v>399</v>
      </c>
      <c r="E541" s="33" t="s">
        <v>75</v>
      </c>
      <c r="F541" s="33" t="s">
        <v>432</v>
      </c>
      <c r="G541" s="156">
        <f t="shared" si="28"/>
        <v>40646.57293</v>
      </c>
      <c r="H541" s="177">
        <f>H542+H550</f>
        <v>40646.57293</v>
      </c>
      <c r="I541" s="177"/>
      <c r="J541" s="80"/>
    </row>
    <row r="542" spans="1:9" ht="43.5" customHeight="1">
      <c r="A542" s="37" t="s">
        <v>274</v>
      </c>
      <c r="B542" s="36" t="s">
        <v>435</v>
      </c>
      <c r="C542" s="33" t="s">
        <v>414</v>
      </c>
      <c r="D542" s="33" t="s">
        <v>399</v>
      </c>
      <c r="E542" s="33" t="s">
        <v>75</v>
      </c>
      <c r="F542" s="33" t="s">
        <v>432</v>
      </c>
      <c r="G542" s="156">
        <f t="shared" si="28"/>
        <v>37740.64</v>
      </c>
      <c r="H542" s="177">
        <f>H543+H545+H547</f>
        <v>37740.64</v>
      </c>
      <c r="I542" s="177">
        <f>I543+I545+I547</f>
        <v>0</v>
      </c>
    </row>
    <row r="543" spans="1:9" ht="81" customHeight="1">
      <c r="A543" s="37" t="s">
        <v>199</v>
      </c>
      <c r="B543" s="36" t="s">
        <v>435</v>
      </c>
      <c r="C543" s="33" t="s">
        <v>414</v>
      </c>
      <c r="D543" s="33" t="s">
        <v>399</v>
      </c>
      <c r="E543" s="33" t="s">
        <v>75</v>
      </c>
      <c r="F543" s="33" t="s">
        <v>166</v>
      </c>
      <c r="G543" s="156">
        <f t="shared" si="28"/>
        <v>31601</v>
      </c>
      <c r="H543" s="177">
        <f>H544</f>
        <v>31601</v>
      </c>
      <c r="I543" s="177">
        <f>I544</f>
        <v>0</v>
      </c>
    </row>
    <row r="544" spans="1:10" ht="27">
      <c r="A544" s="37" t="s">
        <v>215</v>
      </c>
      <c r="B544" s="36" t="s">
        <v>435</v>
      </c>
      <c r="C544" s="33" t="s">
        <v>414</v>
      </c>
      <c r="D544" s="33" t="s">
        <v>399</v>
      </c>
      <c r="E544" s="33" t="s">
        <v>75</v>
      </c>
      <c r="F544" s="33" t="s">
        <v>173</v>
      </c>
      <c r="G544" s="156">
        <f aca="true" t="shared" si="31" ref="G544:G614">H544+I544</f>
        <v>31601</v>
      </c>
      <c r="H544" s="156">
        <v>31601</v>
      </c>
      <c r="I544" s="177"/>
      <c r="J544" s="105">
        <f>H544+H552</f>
        <v>34506.93293</v>
      </c>
    </row>
    <row r="545" spans="1:9" ht="27">
      <c r="A545" s="37" t="s">
        <v>202</v>
      </c>
      <c r="B545" s="36" t="s">
        <v>435</v>
      </c>
      <c r="C545" s="33" t="s">
        <v>414</v>
      </c>
      <c r="D545" s="33" t="s">
        <v>399</v>
      </c>
      <c r="E545" s="33" t="s">
        <v>75</v>
      </c>
      <c r="F545" s="33" t="s">
        <v>170</v>
      </c>
      <c r="G545" s="156">
        <f t="shared" si="31"/>
        <v>5950.44</v>
      </c>
      <c r="H545" s="156">
        <f>H546</f>
        <v>5950.44</v>
      </c>
      <c r="I545" s="177">
        <f>I546</f>
        <v>0</v>
      </c>
    </row>
    <row r="546" spans="1:9" ht="41.25">
      <c r="A546" s="85" t="s">
        <v>203</v>
      </c>
      <c r="B546" s="30" t="s">
        <v>435</v>
      </c>
      <c r="C546" s="69" t="s">
        <v>414</v>
      </c>
      <c r="D546" s="69" t="s">
        <v>399</v>
      </c>
      <c r="E546" s="69" t="s">
        <v>75</v>
      </c>
      <c r="F546" s="69" t="s">
        <v>204</v>
      </c>
      <c r="G546" s="156">
        <f t="shared" si="31"/>
        <v>5950.44</v>
      </c>
      <c r="H546" s="156">
        <f>5877-106.56+300-120</f>
        <v>5950.44</v>
      </c>
      <c r="I546" s="177"/>
    </row>
    <row r="547" spans="1:9" ht="13.5">
      <c r="A547" s="25" t="s">
        <v>207</v>
      </c>
      <c r="B547" s="30" t="s">
        <v>435</v>
      </c>
      <c r="C547" s="69" t="s">
        <v>414</v>
      </c>
      <c r="D547" s="69" t="s">
        <v>399</v>
      </c>
      <c r="E547" s="69" t="s">
        <v>75</v>
      </c>
      <c r="F547" s="69" t="s">
        <v>208</v>
      </c>
      <c r="G547" s="156">
        <f>H547+I547</f>
        <v>189.2</v>
      </c>
      <c r="H547" s="156">
        <f>H548+H549</f>
        <v>189.2</v>
      </c>
      <c r="I547" s="177">
        <f>I549</f>
        <v>0</v>
      </c>
    </row>
    <row r="548" spans="1:9" ht="13.5" hidden="1">
      <c r="A548" s="25" t="s">
        <v>211</v>
      </c>
      <c r="B548" s="30" t="s">
        <v>435</v>
      </c>
      <c r="C548" s="69" t="s">
        <v>414</v>
      </c>
      <c r="D548" s="69" t="s">
        <v>399</v>
      </c>
      <c r="E548" s="69" t="s">
        <v>75</v>
      </c>
      <c r="F548" s="69" t="s">
        <v>212</v>
      </c>
      <c r="G548" s="156">
        <f>H548</f>
        <v>0</v>
      </c>
      <c r="H548" s="156"/>
      <c r="I548" s="177"/>
    </row>
    <row r="549" spans="1:9" ht="13.5">
      <c r="A549" s="25" t="s">
        <v>205</v>
      </c>
      <c r="B549" s="30" t="s">
        <v>435</v>
      </c>
      <c r="C549" s="69" t="s">
        <v>414</v>
      </c>
      <c r="D549" s="69" t="s">
        <v>399</v>
      </c>
      <c r="E549" s="69" t="s">
        <v>75</v>
      </c>
      <c r="F549" s="69" t="s">
        <v>206</v>
      </c>
      <c r="G549" s="156">
        <f>H549+I549</f>
        <v>189.2</v>
      </c>
      <c r="H549" s="156">
        <v>189.2</v>
      </c>
      <c r="I549" s="177"/>
    </row>
    <row r="550" spans="1:9" ht="63" customHeight="1">
      <c r="A550" s="55" t="s">
        <v>571</v>
      </c>
      <c r="B550" s="41" t="s">
        <v>435</v>
      </c>
      <c r="C550" s="69" t="s">
        <v>414</v>
      </c>
      <c r="D550" s="69" t="s">
        <v>399</v>
      </c>
      <c r="E550" s="69" t="s">
        <v>75</v>
      </c>
      <c r="F550" s="33" t="s">
        <v>432</v>
      </c>
      <c r="G550" s="156">
        <f>H550</f>
        <v>2905.93293</v>
      </c>
      <c r="H550" s="156">
        <f>H551+H553</f>
        <v>2905.93293</v>
      </c>
      <c r="I550" s="156"/>
    </row>
    <row r="551" spans="1:9" ht="82.5">
      <c r="A551" s="37" t="s">
        <v>199</v>
      </c>
      <c r="B551" s="41" t="s">
        <v>435</v>
      </c>
      <c r="C551" s="69" t="s">
        <v>414</v>
      </c>
      <c r="D551" s="69" t="s">
        <v>399</v>
      </c>
      <c r="E551" s="69" t="s">
        <v>75</v>
      </c>
      <c r="F551" s="33" t="s">
        <v>166</v>
      </c>
      <c r="G551" s="156">
        <f>H551</f>
        <v>2905.93293</v>
      </c>
      <c r="H551" s="156">
        <f>H552</f>
        <v>2905.93293</v>
      </c>
      <c r="I551" s="156"/>
    </row>
    <row r="552" spans="1:9" ht="27">
      <c r="A552" s="37" t="s">
        <v>215</v>
      </c>
      <c r="B552" s="41" t="s">
        <v>435</v>
      </c>
      <c r="C552" s="69" t="s">
        <v>414</v>
      </c>
      <c r="D552" s="69" t="s">
        <v>399</v>
      </c>
      <c r="E552" s="69" t="s">
        <v>75</v>
      </c>
      <c r="F552" s="33" t="s">
        <v>173</v>
      </c>
      <c r="G552" s="156">
        <f>H552</f>
        <v>2905.93293</v>
      </c>
      <c r="H552" s="156">
        <f>2855.53+30+6-38.00045-10.09072-0.965+56.03252+18.72658-11.3</f>
        <v>2905.93293</v>
      </c>
      <c r="I552" s="156"/>
    </row>
    <row r="553" spans="1:9" ht="27" hidden="1">
      <c r="A553" s="37" t="s">
        <v>202</v>
      </c>
      <c r="B553" s="41" t="s">
        <v>435</v>
      </c>
      <c r="C553" s="69" t="s">
        <v>414</v>
      </c>
      <c r="D553" s="69" t="s">
        <v>399</v>
      </c>
      <c r="E553" s="69" t="s">
        <v>75</v>
      </c>
      <c r="F553" s="33" t="s">
        <v>170</v>
      </c>
      <c r="G553" s="156">
        <f>H553</f>
        <v>0</v>
      </c>
      <c r="H553" s="156">
        <f>H554</f>
        <v>0</v>
      </c>
      <c r="I553" s="156"/>
    </row>
    <row r="554" spans="1:9" ht="41.25" hidden="1">
      <c r="A554" s="38" t="s">
        <v>203</v>
      </c>
      <c r="B554" s="41" t="s">
        <v>435</v>
      </c>
      <c r="C554" s="69" t="s">
        <v>414</v>
      </c>
      <c r="D554" s="69" t="s">
        <v>399</v>
      </c>
      <c r="E554" s="69" t="s">
        <v>75</v>
      </c>
      <c r="F554" s="33" t="s">
        <v>204</v>
      </c>
      <c r="G554" s="156">
        <f>H554</f>
        <v>0</v>
      </c>
      <c r="H554" s="156">
        <f>116-30-6-80</f>
        <v>0</v>
      </c>
      <c r="I554" s="156"/>
    </row>
    <row r="555" spans="1:9" ht="54.75">
      <c r="A555" s="52" t="s">
        <v>498</v>
      </c>
      <c r="B555" s="58" t="s">
        <v>435</v>
      </c>
      <c r="C555" s="54" t="s">
        <v>414</v>
      </c>
      <c r="D555" s="54" t="s">
        <v>399</v>
      </c>
      <c r="E555" s="54" t="s">
        <v>77</v>
      </c>
      <c r="F555" s="54" t="s">
        <v>432</v>
      </c>
      <c r="G555" s="168">
        <f t="shared" si="31"/>
        <v>688</v>
      </c>
      <c r="H555" s="168">
        <f>H556+H561</f>
        <v>688</v>
      </c>
      <c r="I555" s="205">
        <f>I556+I561</f>
        <v>0</v>
      </c>
    </row>
    <row r="556" spans="1:9" ht="13.5">
      <c r="A556" s="37" t="s">
        <v>424</v>
      </c>
      <c r="B556" s="36" t="s">
        <v>435</v>
      </c>
      <c r="C556" s="33" t="s">
        <v>414</v>
      </c>
      <c r="D556" s="33" t="s">
        <v>399</v>
      </c>
      <c r="E556" s="33" t="s">
        <v>78</v>
      </c>
      <c r="F556" s="33" t="s">
        <v>432</v>
      </c>
      <c r="G556" s="156">
        <f t="shared" si="31"/>
        <v>438</v>
      </c>
      <c r="H556" s="177">
        <f>H557+H560</f>
        <v>438</v>
      </c>
      <c r="I556" s="177">
        <f>I559</f>
        <v>0</v>
      </c>
    </row>
    <row r="557" spans="1:9" ht="82.5">
      <c r="A557" s="25" t="s">
        <v>199</v>
      </c>
      <c r="B557" s="41" t="s">
        <v>435</v>
      </c>
      <c r="C557" s="33" t="s">
        <v>414</v>
      </c>
      <c r="D557" s="33" t="s">
        <v>399</v>
      </c>
      <c r="E557" s="33" t="s">
        <v>79</v>
      </c>
      <c r="F557" s="69" t="s">
        <v>166</v>
      </c>
      <c r="G557" s="198">
        <f>H557</f>
        <v>2.31083</v>
      </c>
      <c r="H557" s="156">
        <f>H558</f>
        <v>2.31083</v>
      </c>
      <c r="I557" s="156"/>
    </row>
    <row r="558" spans="1:9" ht="27">
      <c r="A558" s="25" t="s">
        <v>215</v>
      </c>
      <c r="B558" s="41" t="s">
        <v>435</v>
      </c>
      <c r="C558" s="33" t="s">
        <v>414</v>
      </c>
      <c r="D558" s="33" t="s">
        <v>399</v>
      </c>
      <c r="E558" s="33" t="s">
        <v>79</v>
      </c>
      <c r="F558" s="69" t="s">
        <v>173</v>
      </c>
      <c r="G558" s="198">
        <f>H558</f>
        <v>2.31083</v>
      </c>
      <c r="H558" s="156">
        <v>2.31083</v>
      </c>
      <c r="I558" s="156"/>
    </row>
    <row r="559" spans="1:9" ht="27">
      <c r="A559" s="37" t="s">
        <v>202</v>
      </c>
      <c r="B559" s="36" t="s">
        <v>435</v>
      </c>
      <c r="C559" s="33" t="s">
        <v>414</v>
      </c>
      <c r="D559" s="33" t="s">
        <v>399</v>
      </c>
      <c r="E559" s="33" t="s">
        <v>79</v>
      </c>
      <c r="F559" s="33" t="s">
        <v>170</v>
      </c>
      <c r="G559" s="156">
        <f t="shared" si="31"/>
        <v>435.68917</v>
      </c>
      <c r="H559" s="177">
        <f>H560</f>
        <v>435.68917</v>
      </c>
      <c r="I559" s="177">
        <f>I560</f>
        <v>0</v>
      </c>
    </row>
    <row r="560" spans="1:9" ht="41.25">
      <c r="A560" s="38" t="s">
        <v>203</v>
      </c>
      <c r="B560" s="36" t="s">
        <v>435</v>
      </c>
      <c r="C560" s="33" t="s">
        <v>414</v>
      </c>
      <c r="D560" s="33" t="s">
        <v>399</v>
      </c>
      <c r="E560" s="33" t="s">
        <v>79</v>
      </c>
      <c r="F560" s="33" t="s">
        <v>204</v>
      </c>
      <c r="G560" s="156">
        <f t="shared" si="31"/>
        <v>435.68917</v>
      </c>
      <c r="H560" s="177">
        <f>300+48+90-2.31083</f>
        <v>435.68917</v>
      </c>
      <c r="I560" s="177"/>
    </row>
    <row r="561" spans="1:9" ht="41.25">
      <c r="A561" s="37" t="s">
        <v>225</v>
      </c>
      <c r="B561" s="36" t="s">
        <v>435</v>
      </c>
      <c r="C561" s="33" t="s">
        <v>414</v>
      </c>
      <c r="D561" s="33" t="s">
        <v>399</v>
      </c>
      <c r="E561" s="33" t="s">
        <v>78</v>
      </c>
      <c r="F561" s="33" t="s">
        <v>226</v>
      </c>
      <c r="G561" s="156">
        <f t="shared" si="31"/>
        <v>250</v>
      </c>
      <c r="H561" s="177">
        <f>H562</f>
        <v>250</v>
      </c>
      <c r="I561" s="177">
        <f>I562</f>
        <v>0</v>
      </c>
    </row>
    <row r="562" spans="1:9" ht="27">
      <c r="A562" s="37" t="s">
        <v>140</v>
      </c>
      <c r="B562" s="36" t="s">
        <v>435</v>
      </c>
      <c r="C562" s="33" t="s">
        <v>414</v>
      </c>
      <c r="D562" s="33" t="s">
        <v>399</v>
      </c>
      <c r="E562" s="33" t="s">
        <v>80</v>
      </c>
      <c r="F562" s="33" t="s">
        <v>304</v>
      </c>
      <c r="G562" s="156">
        <f t="shared" si="31"/>
        <v>250</v>
      </c>
      <c r="H562" s="177">
        <f>298-48</f>
        <v>250</v>
      </c>
      <c r="I562" s="177"/>
    </row>
    <row r="563" spans="1:9" ht="45" customHeight="1">
      <c r="A563" s="52" t="s">
        <v>499</v>
      </c>
      <c r="B563" s="58" t="s">
        <v>435</v>
      </c>
      <c r="C563" s="54" t="s">
        <v>414</v>
      </c>
      <c r="D563" s="54" t="s">
        <v>399</v>
      </c>
      <c r="E563" s="54" t="s">
        <v>44</v>
      </c>
      <c r="F563" s="54" t="s">
        <v>432</v>
      </c>
      <c r="G563" s="168">
        <f t="shared" si="31"/>
        <v>46</v>
      </c>
      <c r="H563" s="205">
        <f>H564</f>
        <v>46</v>
      </c>
      <c r="I563" s="205">
        <f aca="true" t="shared" si="32" ref="H563:I565">I564</f>
        <v>0</v>
      </c>
    </row>
    <row r="564" spans="1:9" ht="13.5">
      <c r="A564" s="37" t="s">
        <v>424</v>
      </c>
      <c r="B564" s="36" t="s">
        <v>435</v>
      </c>
      <c r="C564" s="33" t="s">
        <v>414</v>
      </c>
      <c r="D564" s="33" t="s">
        <v>399</v>
      </c>
      <c r="E564" s="33" t="s">
        <v>45</v>
      </c>
      <c r="F564" s="33" t="s">
        <v>432</v>
      </c>
      <c r="G564" s="156">
        <f t="shared" si="31"/>
        <v>46</v>
      </c>
      <c r="H564" s="177">
        <f>H565</f>
        <v>46</v>
      </c>
      <c r="I564" s="177">
        <f t="shared" si="32"/>
        <v>0</v>
      </c>
    </row>
    <row r="565" spans="1:9" ht="27">
      <c r="A565" s="37" t="s">
        <v>202</v>
      </c>
      <c r="B565" s="36" t="s">
        <v>435</v>
      </c>
      <c r="C565" s="33" t="s">
        <v>414</v>
      </c>
      <c r="D565" s="33" t="s">
        <v>399</v>
      </c>
      <c r="E565" s="33" t="s">
        <v>45</v>
      </c>
      <c r="F565" s="33" t="s">
        <v>170</v>
      </c>
      <c r="G565" s="156">
        <f t="shared" si="31"/>
        <v>46</v>
      </c>
      <c r="H565" s="156">
        <f t="shared" si="32"/>
        <v>46</v>
      </c>
      <c r="I565" s="156">
        <f t="shared" si="32"/>
        <v>0</v>
      </c>
    </row>
    <row r="566" spans="1:9" ht="41.25">
      <c r="A566" s="38" t="s">
        <v>203</v>
      </c>
      <c r="B566" s="36" t="s">
        <v>435</v>
      </c>
      <c r="C566" s="33" t="s">
        <v>414</v>
      </c>
      <c r="D566" s="33" t="s">
        <v>399</v>
      </c>
      <c r="E566" s="33" t="s">
        <v>81</v>
      </c>
      <c r="F566" s="33" t="s">
        <v>204</v>
      </c>
      <c r="G566" s="156">
        <f t="shared" si="31"/>
        <v>46</v>
      </c>
      <c r="H566" s="156">
        <f>124-78</f>
        <v>46</v>
      </c>
      <c r="I566" s="156"/>
    </row>
    <row r="567" spans="1:9" ht="45" customHeight="1" hidden="1">
      <c r="A567" s="52" t="s">
        <v>302</v>
      </c>
      <c r="B567" s="53" t="s">
        <v>435</v>
      </c>
      <c r="C567" s="54" t="s">
        <v>414</v>
      </c>
      <c r="D567" s="54" t="s">
        <v>399</v>
      </c>
      <c r="E567" s="54" t="s">
        <v>47</v>
      </c>
      <c r="F567" s="54" t="s">
        <v>432</v>
      </c>
      <c r="G567" s="168">
        <f t="shared" si="31"/>
        <v>0</v>
      </c>
      <c r="H567" s="168">
        <f>H568</f>
        <v>0</v>
      </c>
      <c r="I567" s="168"/>
    </row>
    <row r="568" spans="1:9" ht="27" hidden="1">
      <c r="A568" s="45" t="s">
        <v>202</v>
      </c>
      <c r="B568" s="36" t="s">
        <v>435</v>
      </c>
      <c r="C568" s="40" t="s">
        <v>414</v>
      </c>
      <c r="D568" s="40" t="s">
        <v>399</v>
      </c>
      <c r="E568" s="69" t="s">
        <v>562</v>
      </c>
      <c r="F568" s="40" t="s">
        <v>170</v>
      </c>
      <c r="G568" s="177">
        <f t="shared" si="31"/>
        <v>0</v>
      </c>
      <c r="H568" s="177">
        <f>H569</f>
        <v>0</v>
      </c>
      <c r="I568" s="156"/>
    </row>
    <row r="569" spans="1:9" ht="41.25" hidden="1">
      <c r="A569" s="47" t="s">
        <v>203</v>
      </c>
      <c r="B569" s="36" t="s">
        <v>435</v>
      </c>
      <c r="C569" s="40" t="s">
        <v>414</v>
      </c>
      <c r="D569" s="40" t="s">
        <v>399</v>
      </c>
      <c r="E569" s="69" t="s">
        <v>562</v>
      </c>
      <c r="F569" s="40" t="s">
        <v>204</v>
      </c>
      <c r="G569" s="177">
        <f t="shared" si="31"/>
        <v>0</v>
      </c>
      <c r="H569" s="177"/>
      <c r="I569" s="156"/>
    </row>
    <row r="570" spans="1:9" ht="57.75" customHeight="1">
      <c r="A570" s="68" t="s">
        <v>559</v>
      </c>
      <c r="B570" s="53" t="s">
        <v>435</v>
      </c>
      <c r="C570" s="54" t="s">
        <v>414</v>
      </c>
      <c r="D570" s="54" t="s">
        <v>399</v>
      </c>
      <c r="E570" s="54" t="s">
        <v>338</v>
      </c>
      <c r="F570" s="54" t="s">
        <v>432</v>
      </c>
      <c r="G570" s="168">
        <f t="shared" si="31"/>
        <v>946.7</v>
      </c>
      <c r="H570" s="168">
        <f>H571</f>
        <v>946.7</v>
      </c>
      <c r="I570" s="168"/>
    </row>
    <row r="571" spans="1:9" ht="42" customHeight="1">
      <c r="A571" s="37" t="s">
        <v>225</v>
      </c>
      <c r="B571" s="36" t="s">
        <v>435</v>
      </c>
      <c r="C571" s="40" t="s">
        <v>414</v>
      </c>
      <c r="D571" s="40" t="s">
        <v>399</v>
      </c>
      <c r="E571" s="33" t="s">
        <v>558</v>
      </c>
      <c r="F571" s="33" t="s">
        <v>226</v>
      </c>
      <c r="G571" s="177">
        <f t="shared" si="31"/>
        <v>946.7</v>
      </c>
      <c r="H571" s="177">
        <f>H572</f>
        <v>946.7</v>
      </c>
      <c r="I571" s="156"/>
    </row>
    <row r="572" spans="1:9" ht="28.5" customHeight="1">
      <c r="A572" s="37" t="s">
        <v>140</v>
      </c>
      <c r="B572" s="36" t="s">
        <v>435</v>
      </c>
      <c r="C572" s="40" t="s">
        <v>414</v>
      </c>
      <c r="D572" s="40" t="s">
        <v>399</v>
      </c>
      <c r="E572" s="33" t="s">
        <v>558</v>
      </c>
      <c r="F572" s="33" t="s">
        <v>304</v>
      </c>
      <c r="G572" s="177">
        <f t="shared" si="31"/>
        <v>946.7</v>
      </c>
      <c r="H572" s="177">
        <f>840+106.7</f>
        <v>946.7</v>
      </c>
      <c r="I572" s="156"/>
    </row>
    <row r="573" spans="1:9" ht="13.5">
      <c r="A573" s="330" t="s">
        <v>243</v>
      </c>
      <c r="B573" s="43" t="s">
        <v>435</v>
      </c>
      <c r="C573" s="44" t="s">
        <v>244</v>
      </c>
      <c r="D573" s="44" t="s">
        <v>162</v>
      </c>
      <c r="E573" s="44" t="s">
        <v>338</v>
      </c>
      <c r="F573" s="44" t="s">
        <v>432</v>
      </c>
      <c r="G573" s="167">
        <f>H573+I573</f>
        <v>3436.15024</v>
      </c>
      <c r="H573" s="206">
        <f>H578</f>
        <v>0</v>
      </c>
      <c r="I573" s="206">
        <f>I574+I578+I586</f>
        <v>3436.15024</v>
      </c>
    </row>
    <row r="574" spans="1:9" ht="14.25">
      <c r="A574" s="138" t="s">
        <v>629</v>
      </c>
      <c r="B574" s="126" t="s">
        <v>435</v>
      </c>
      <c r="C574" s="127" t="s">
        <v>244</v>
      </c>
      <c r="D574" s="127" t="s">
        <v>168</v>
      </c>
      <c r="E574" s="127" t="s">
        <v>338</v>
      </c>
      <c r="F574" s="127" t="s">
        <v>432</v>
      </c>
      <c r="G574" s="167">
        <f>H574+I574</f>
        <v>580</v>
      </c>
      <c r="H574" s="206">
        <f aca="true" t="shared" si="33" ref="H574:I576">H575</f>
        <v>0</v>
      </c>
      <c r="I574" s="206">
        <f>I575</f>
        <v>580</v>
      </c>
    </row>
    <row r="575" spans="1:9" ht="82.5">
      <c r="A575" s="52" t="s">
        <v>630</v>
      </c>
      <c r="B575" s="41" t="s">
        <v>435</v>
      </c>
      <c r="C575" s="33" t="s">
        <v>244</v>
      </c>
      <c r="D575" s="33" t="s">
        <v>168</v>
      </c>
      <c r="E575" s="54" t="s">
        <v>55</v>
      </c>
      <c r="F575" s="54" t="s">
        <v>432</v>
      </c>
      <c r="G575" s="197">
        <f>I575</f>
        <v>580</v>
      </c>
      <c r="H575" s="168">
        <f t="shared" si="33"/>
        <v>0</v>
      </c>
      <c r="I575" s="168">
        <f t="shared" si="33"/>
        <v>580</v>
      </c>
    </row>
    <row r="576" spans="1:9" ht="27">
      <c r="A576" s="25" t="s">
        <v>216</v>
      </c>
      <c r="B576" s="41" t="s">
        <v>435</v>
      </c>
      <c r="C576" s="33" t="s">
        <v>244</v>
      </c>
      <c r="D576" s="33" t="s">
        <v>168</v>
      </c>
      <c r="E576" s="69" t="s">
        <v>735</v>
      </c>
      <c r="F576" s="69" t="s">
        <v>171</v>
      </c>
      <c r="G576" s="198">
        <f>I576</f>
        <v>580</v>
      </c>
      <c r="H576" s="156">
        <f t="shared" si="33"/>
        <v>0</v>
      </c>
      <c r="I576" s="156">
        <f t="shared" si="33"/>
        <v>580</v>
      </c>
    </row>
    <row r="577" spans="1:9" ht="27">
      <c r="A577" s="25" t="s">
        <v>219</v>
      </c>
      <c r="B577" s="41" t="s">
        <v>435</v>
      </c>
      <c r="C577" s="33" t="s">
        <v>244</v>
      </c>
      <c r="D577" s="33" t="s">
        <v>168</v>
      </c>
      <c r="E577" s="69" t="s">
        <v>735</v>
      </c>
      <c r="F577" s="69" t="s">
        <v>220</v>
      </c>
      <c r="G577" s="198">
        <f>I577</f>
        <v>580</v>
      </c>
      <c r="H577" s="156"/>
      <c r="I577" s="156">
        <f>2375-1795</f>
        <v>580</v>
      </c>
    </row>
    <row r="578" spans="1:9" ht="14.25">
      <c r="A578" s="138" t="s">
        <v>425</v>
      </c>
      <c r="B578" s="126" t="s">
        <v>435</v>
      </c>
      <c r="C578" s="127" t="s">
        <v>244</v>
      </c>
      <c r="D578" s="127" t="s">
        <v>172</v>
      </c>
      <c r="E578" s="127" t="s">
        <v>338</v>
      </c>
      <c r="F578" s="127" t="s">
        <v>432</v>
      </c>
      <c r="G578" s="159">
        <f t="shared" si="31"/>
        <v>2456.15024</v>
      </c>
      <c r="H578" s="159">
        <f>H579</f>
        <v>0</v>
      </c>
      <c r="I578" s="159">
        <f>I581</f>
        <v>2456.15024</v>
      </c>
    </row>
    <row r="579" spans="1:9" ht="41.25">
      <c r="A579" s="52" t="s">
        <v>496</v>
      </c>
      <c r="B579" s="58" t="s">
        <v>435</v>
      </c>
      <c r="C579" s="54" t="s">
        <v>244</v>
      </c>
      <c r="D579" s="54" t="s">
        <v>162</v>
      </c>
      <c r="E579" s="54" t="s">
        <v>37</v>
      </c>
      <c r="F579" s="54" t="s">
        <v>432</v>
      </c>
      <c r="G579" s="156">
        <f>H579+I579</f>
        <v>2456.15024</v>
      </c>
      <c r="H579" s="177">
        <f>H580</f>
        <v>0</v>
      </c>
      <c r="I579" s="177">
        <f>I580</f>
        <v>2456.15024</v>
      </c>
    </row>
    <row r="580" spans="1:9" ht="41.25">
      <c r="A580" s="55" t="s">
        <v>275</v>
      </c>
      <c r="B580" s="36" t="s">
        <v>435</v>
      </c>
      <c r="C580" s="33" t="s">
        <v>244</v>
      </c>
      <c r="D580" s="33" t="s">
        <v>172</v>
      </c>
      <c r="E580" s="33" t="s">
        <v>50</v>
      </c>
      <c r="F580" s="33" t="s">
        <v>432</v>
      </c>
      <c r="G580" s="156">
        <f>H580+I580</f>
        <v>2456.15024</v>
      </c>
      <c r="H580" s="177">
        <f>H581</f>
        <v>0</v>
      </c>
      <c r="I580" s="177">
        <f>I581</f>
        <v>2456.15024</v>
      </c>
    </row>
    <row r="581" spans="1:9" ht="69">
      <c r="A581" s="37" t="s">
        <v>246</v>
      </c>
      <c r="B581" s="41" t="s">
        <v>435</v>
      </c>
      <c r="C581" s="33" t="s">
        <v>244</v>
      </c>
      <c r="D581" s="33" t="s">
        <v>172</v>
      </c>
      <c r="E581" s="33" t="s">
        <v>96</v>
      </c>
      <c r="F581" s="33" t="s">
        <v>432</v>
      </c>
      <c r="G581" s="156">
        <f t="shared" si="31"/>
        <v>2456.15024</v>
      </c>
      <c r="H581" s="156">
        <f>H583</f>
        <v>0</v>
      </c>
      <c r="I581" s="156">
        <f>I582+I583</f>
        <v>2456.15024</v>
      </c>
    </row>
    <row r="582" spans="1:10" ht="41.25">
      <c r="A582" s="38" t="s">
        <v>203</v>
      </c>
      <c r="B582" s="41" t="s">
        <v>435</v>
      </c>
      <c r="C582" s="33" t="s">
        <v>244</v>
      </c>
      <c r="D582" s="33" t="s">
        <v>172</v>
      </c>
      <c r="E582" s="33" t="s">
        <v>96</v>
      </c>
      <c r="F582" s="33" t="s">
        <v>204</v>
      </c>
      <c r="G582" s="156">
        <f t="shared" si="31"/>
        <v>36.84226</v>
      </c>
      <c r="H582" s="156"/>
      <c r="I582" s="156">
        <f>69.70985-32.86759</f>
        <v>36.84226</v>
      </c>
      <c r="J582" s="1">
        <v>69709.85</v>
      </c>
    </row>
    <row r="583" spans="1:10" ht="27">
      <c r="A583" s="35" t="s">
        <v>217</v>
      </c>
      <c r="B583" s="41" t="s">
        <v>435</v>
      </c>
      <c r="C583" s="33" t="s">
        <v>244</v>
      </c>
      <c r="D583" s="33" t="s">
        <v>172</v>
      </c>
      <c r="E583" s="33" t="s">
        <v>96</v>
      </c>
      <c r="F583" s="81">
        <v>310</v>
      </c>
      <c r="G583" s="156">
        <f t="shared" si="31"/>
        <v>2419.30798</v>
      </c>
      <c r="H583" s="156"/>
      <c r="I583" s="156">
        <f>4577.61315-2158.30517</f>
        <v>2419.30798</v>
      </c>
      <c r="J583" s="1">
        <v>4577613.15</v>
      </c>
    </row>
    <row r="584" spans="1:9" ht="41.25">
      <c r="A584" s="96" t="s">
        <v>497</v>
      </c>
      <c r="B584" s="41" t="s">
        <v>435</v>
      </c>
      <c r="C584" s="33" t="s">
        <v>244</v>
      </c>
      <c r="D584" s="33" t="s">
        <v>172</v>
      </c>
      <c r="E584" s="54" t="s">
        <v>37</v>
      </c>
      <c r="F584" s="54" t="s">
        <v>432</v>
      </c>
      <c r="G584" s="156">
        <f t="shared" si="31"/>
        <v>400</v>
      </c>
      <c r="H584" s="156"/>
      <c r="I584" s="156">
        <f>I585</f>
        <v>400</v>
      </c>
    </row>
    <row r="585" spans="1:9" ht="27">
      <c r="A585" s="144" t="s">
        <v>485</v>
      </c>
      <c r="B585" s="41" t="s">
        <v>435</v>
      </c>
      <c r="C585" s="33" t="s">
        <v>244</v>
      </c>
      <c r="D585" s="33" t="s">
        <v>172</v>
      </c>
      <c r="E585" s="33" t="s">
        <v>72</v>
      </c>
      <c r="F585" s="33" t="s">
        <v>432</v>
      </c>
      <c r="G585" s="156">
        <f t="shared" si="31"/>
        <v>400</v>
      </c>
      <c r="H585" s="156"/>
      <c r="I585" s="156">
        <f>I586</f>
        <v>400</v>
      </c>
    </row>
    <row r="586" spans="1:9" ht="54.75">
      <c r="A586" s="142" t="s">
        <v>783</v>
      </c>
      <c r="B586" s="43" t="s">
        <v>435</v>
      </c>
      <c r="C586" s="44" t="s">
        <v>244</v>
      </c>
      <c r="D586" s="44" t="s">
        <v>172</v>
      </c>
      <c r="E586" s="44" t="s">
        <v>72</v>
      </c>
      <c r="F586" s="44" t="s">
        <v>432</v>
      </c>
      <c r="G586" s="167">
        <f>H586+I586</f>
        <v>400</v>
      </c>
      <c r="H586" s="206"/>
      <c r="I586" s="206">
        <f>I587+I604</f>
        <v>400</v>
      </c>
    </row>
    <row r="587" spans="1:9" ht="27">
      <c r="A587" s="38" t="s">
        <v>216</v>
      </c>
      <c r="B587" s="36" t="s">
        <v>435</v>
      </c>
      <c r="C587" s="33" t="s">
        <v>244</v>
      </c>
      <c r="D587" s="33" t="s">
        <v>172</v>
      </c>
      <c r="E587" s="33" t="s">
        <v>73</v>
      </c>
      <c r="F587" s="33" t="s">
        <v>171</v>
      </c>
      <c r="G587" s="156">
        <f>H587+I587</f>
        <v>400</v>
      </c>
      <c r="H587" s="177"/>
      <c r="I587" s="177">
        <f>I588</f>
        <v>400</v>
      </c>
    </row>
    <row r="588" spans="1:9" ht="33" customHeight="1">
      <c r="A588" s="38" t="s">
        <v>217</v>
      </c>
      <c r="B588" s="41" t="s">
        <v>435</v>
      </c>
      <c r="C588" s="33" t="s">
        <v>244</v>
      </c>
      <c r="D588" s="33" t="s">
        <v>172</v>
      </c>
      <c r="E588" s="33" t="s">
        <v>73</v>
      </c>
      <c r="F588" s="33" t="s">
        <v>218</v>
      </c>
      <c r="G588" s="156">
        <f>H588+I588</f>
        <v>400</v>
      </c>
      <c r="H588" s="156"/>
      <c r="I588" s="156">
        <v>400</v>
      </c>
    </row>
    <row r="589" spans="1:9" ht="17.25" customHeight="1">
      <c r="A589" s="330" t="s">
        <v>247</v>
      </c>
      <c r="B589" s="335" t="s">
        <v>435</v>
      </c>
      <c r="C589" s="44" t="s">
        <v>179</v>
      </c>
      <c r="D589" s="44" t="s">
        <v>162</v>
      </c>
      <c r="E589" s="44" t="s">
        <v>338</v>
      </c>
      <c r="F589" s="44" t="s">
        <v>432</v>
      </c>
      <c r="G589" s="167">
        <f>H589+I589</f>
        <v>3048.9368999999997</v>
      </c>
      <c r="H589" s="167">
        <f>H590+H597</f>
        <v>15.244679999999999</v>
      </c>
      <c r="I589" s="167">
        <f>I590+I597</f>
        <v>3033.69222</v>
      </c>
    </row>
    <row r="590" spans="1:9" ht="30.75" customHeight="1" hidden="1">
      <c r="A590" s="142" t="s">
        <v>764</v>
      </c>
      <c r="B590" s="30" t="s">
        <v>435</v>
      </c>
      <c r="C590" s="143" t="s">
        <v>179</v>
      </c>
      <c r="D590" s="143" t="s">
        <v>163</v>
      </c>
      <c r="E590" s="143" t="s">
        <v>97</v>
      </c>
      <c r="F590" s="143" t="s">
        <v>432</v>
      </c>
      <c r="G590" s="200">
        <f>H590+I590</f>
        <v>0</v>
      </c>
      <c r="H590" s="167">
        <f>H594</f>
        <v>0</v>
      </c>
      <c r="I590" s="167">
        <f>I591</f>
        <v>0</v>
      </c>
    </row>
    <row r="591" spans="1:9" ht="56.25" customHeight="1" hidden="1">
      <c r="A591" s="97" t="s">
        <v>770</v>
      </c>
      <c r="B591" s="30" t="s">
        <v>435</v>
      </c>
      <c r="C591" s="100" t="s">
        <v>179</v>
      </c>
      <c r="D591" s="100" t="s">
        <v>163</v>
      </c>
      <c r="E591" s="69" t="s">
        <v>767</v>
      </c>
      <c r="F591" s="69" t="s">
        <v>432</v>
      </c>
      <c r="G591" s="197">
        <f>I591</f>
        <v>0</v>
      </c>
      <c r="H591" s="168"/>
      <c r="I591" s="168">
        <f>I592</f>
        <v>0</v>
      </c>
    </row>
    <row r="592" spans="1:9" ht="42.75" customHeight="1" hidden="1">
      <c r="A592" s="25" t="s">
        <v>637</v>
      </c>
      <c r="B592" s="30" t="s">
        <v>435</v>
      </c>
      <c r="C592" s="69" t="s">
        <v>179</v>
      </c>
      <c r="D592" s="69" t="s">
        <v>163</v>
      </c>
      <c r="E592" s="69" t="s">
        <v>767</v>
      </c>
      <c r="F592" s="69" t="s">
        <v>226</v>
      </c>
      <c r="G592" s="198">
        <f>I592</f>
        <v>0</v>
      </c>
      <c r="H592" s="156"/>
      <c r="I592" s="156">
        <f>I593</f>
        <v>0</v>
      </c>
    </row>
    <row r="593" spans="1:9" ht="18" customHeight="1" hidden="1">
      <c r="A593" s="25" t="s">
        <v>191</v>
      </c>
      <c r="B593" s="30" t="s">
        <v>435</v>
      </c>
      <c r="C593" s="69" t="s">
        <v>179</v>
      </c>
      <c r="D593" s="69" t="s">
        <v>163</v>
      </c>
      <c r="E593" s="69" t="s">
        <v>767</v>
      </c>
      <c r="F593" s="69" t="s">
        <v>304</v>
      </c>
      <c r="G593" s="198">
        <f>I593</f>
        <v>0</v>
      </c>
      <c r="H593" s="156"/>
      <c r="I593" s="156">
        <f>156-156</f>
        <v>0</v>
      </c>
    </row>
    <row r="594" spans="1:9" ht="69.75" customHeight="1" hidden="1">
      <c r="A594" s="97" t="s">
        <v>771</v>
      </c>
      <c r="B594" s="30" t="s">
        <v>435</v>
      </c>
      <c r="C594" s="100" t="s">
        <v>179</v>
      </c>
      <c r="D594" s="100" t="s">
        <v>163</v>
      </c>
      <c r="E594" s="69" t="s">
        <v>768</v>
      </c>
      <c r="F594" s="69" t="s">
        <v>432</v>
      </c>
      <c r="G594" s="197">
        <f>H594</f>
        <v>0</v>
      </c>
      <c r="H594" s="168">
        <f>H595</f>
        <v>0</v>
      </c>
      <c r="I594" s="168"/>
    </row>
    <row r="595" spans="1:9" ht="43.5" customHeight="1" hidden="1">
      <c r="A595" s="25" t="s">
        <v>637</v>
      </c>
      <c r="B595" s="30" t="s">
        <v>435</v>
      </c>
      <c r="C595" s="69" t="s">
        <v>179</v>
      </c>
      <c r="D595" s="69" t="s">
        <v>163</v>
      </c>
      <c r="E595" s="69" t="s">
        <v>768</v>
      </c>
      <c r="F595" s="69" t="s">
        <v>226</v>
      </c>
      <c r="G595" s="198">
        <f>H595</f>
        <v>0</v>
      </c>
      <c r="H595" s="156">
        <f>H596</f>
        <v>0</v>
      </c>
      <c r="I595" s="156"/>
    </row>
    <row r="596" spans="1:9" ht="16.5" customHeight="1" hidden="1">
      <c r="A596" s="25" t="s">
        <v>191</v>
      </c>
      <c r="B596" s="30" t="s">
        <v>435</v>
      </c>
      <c r="C596" s="69" t="s">
        <v>179</v>
      </c>
      <c r="D596" s="69" t="s">
        <v>163</v>
      </c>
      <c r="E596" s="69" t="s">
        <v>768</v>
      </c>
      <c r="F596" s="69" t="s">
        <v>304</v>
      </c>
      <c r="G596" s="198">
        <f>H596</f>
        <v>0</v>
      </c>
      <c r="H596" s="156">
        <f>1.57576-1.57576</f>
        <v>0</v>
      </c>
      <c r="I596" s="156"/>
    </row>
    <row r="597" spans="1:9" ht="44.25" customHeight="1">
      <c r="A597" s="146" t="s">
        <v>635</v>
      </c>
      <c r="B597" s="157" t="s">
        <v>435</v>
      </c>
      <c r="C597" s="143" t="s">
        <v>179</v>
      </c>
      <c r="D597" s="143" t="s">
        <v>163</v>
      </c>
      <c r="E597" s="143" t="s">
        <v>97</v>
      </c>
      <c r="F597" s="143" t="s">
        <v>432</v>
      </c>
      <c r="G597" s="200">
        <f>H597+I597</f>
        <v>3048.9368999999997</v>
      </c>
      <c r="H597" s="167">
        <f>H601</f>
        <v>15.244679999999999</v>
      </c>
      <c r="I597" s="167">
        <f>I598</f>
        <v>3033.69222</v>
      </c>
    </row>
    <row r="598" spans="1:9" ht="72" customHeight="1">
      <c r="A598" s="97" t="s">
        <v>656</v>
      </c>
      <c r="B598" s="136" t="s">
        <v>435</v>
      </c>
      <c r="C598" s="100" t="s">
        <v>179</v>
      </c>
      <c r="D598" s="100" t="s">
        <v>163</v>
      </c>
      <c r="E598" s="100" t="s">
        <v>636</v>
      </c>
      <c r="F598" s="100" t="s">
        <v>432</v>
      </c>
      <c r="G598" s="197">
        <f>I598</f>
        <v>3033.69222</v>
      </c>
      <c r="H598" s="168"/>
      <c r="I598" s="168">
        <f>I599</f>
        <v>3033.69222</v>
      </c>
    </row>
    <row r="599" spans="1:9" ht="43.5" customHeight="1">
      <c r="A599" s="25" t="s">
        <v>637</v>
      </c>
      <c r="B599" s="30" t="s">
        <v>435</v>
      </c>
      <c r="C599" s="69" t="s">
        <v>179</v>
      </c>
      <c r="D599" s="69" t="s">
        <v>163</v>
      </c>
      <c r="E599" s="69" t="s">
        <v>636</v>
      </c>
      <c r="F599" s="69" t="s">
        <v>226</v>
      </c>
      <c r="G599" s="198">
        <f>I599</f>
        <v>3033.69222</v>
      </c>
      <c r="H599" s="156"/>
      <c r="I599" s="156">
        <f>I600</f>
        <v>3033.69222</v>
      </c>
    </row>
    <row r="600" spans="1:9" ht="20.25" customHeight="1">
      <c r="A600" s="25" t="s">
        <v>191</v>
      </c>
      <c r="B600" s="30" t="s">
        <v>435</v>
      </c>
      <c r="C600" s="69" t="s">
        <v>179</v>
      </c>
      <c r="D600" s="69" t="s">
        <v>163</v>
      </c>
      <c r="E600" s="69" t="s">
        <v>636</v>
      </c>
      <c r="F600" s="69" t="s">
        <v>304</v>
      </c>
      <c r="G600" s="198">
        <f>I600</f>
        <v>3033.69222</v>
      </c>
      <c r="H600" s="156"/>
      <c r="I600" s="156">
        <f>358.2+2978.433-302.94078</f>
        <v>3033.69222</v>
      </c>
    </row>
    <row r="601" spans="1:9" ht="85.5" customHeight="1">
      <c r="A601" s="97" t="s">
        <v>657</v>
      </c>
      <c r="B601" s="136" t="s">
        <v>435</v>
      </c>
      <c r="C601" s="100" t="s">
        <v>179</v>
      </c>
      <c r="D601" s="100" t="s">
        <v>163</v>
      </c>
      <c r="E601" s="100" t="s">
        <v>638</v>
      </c>
      <c r="F601" s="100" t="s">
        <v>432</v>
      </c>
      <c r="G601" s="197">
        <f>H601</f>
        <v>15.244679999999999</v>
      </c>
      <c r="H601" s="168">
        <f>H602</f>
        <v>15.244679999999999</v>
      </c>
      <c r="I601" s="168"/>
    </row>
    <row r="602" spans="1:9" ht="42" customHeight="1">
      <c r="A602" s="25" t="s">
        <v>637</v>
      </c>
      <c r="B602" s="30" t="s">
        <v>435</v>
      </c>
      <c r="C602" s="69" t="s">
        <v>179</v>
      </c>
      <c r="D602" s="69" t="s">
        <v>163</v>
      </c>
      <c r="E602" s="69" t="s">
        <v>638</v>
      </c>
      <c r="F602" s="69" t="s">
        <v>226</v>
      </c>
      <c r="G602" s="198">
        <f>H602</f>
        <v>15.244679999999999</v>
      </c>
      <c r="H602" s="156">
        <f>H603</f>
        <v>15.244679999999999</v>
      </c>
      <c r="I602" s="156"/>
    </row>
    <row r="603" spans="1:9" ht="23.25" customHeight="1">
      <c r="A603" s="25" t="s">
        <v>191</v>
      </c>
      <c r="B603" s="30" t="s">
        <v>435</v>
      </c>
      <c r="C603" s="69" t="s">
        <v>179</v>
      </c>
      <c r="D603" s="69" t="s">
        <v>163</v>
      </c>
      <c r="E603" s="69" t="s">
        <v>638</v>
      </c>
      <c r="F603" s="69" t="s">
        <v>304</v>
      </c>
      <c r="G603" s="198">
        <f>H603</f>
        <v>15.244679999999999</v>
      </c>
      <c r="H603" s="156">
        <f>16.767-1.52232</f>
        <v>15.244679999999999</v>
      </c>
      <c r="I603" s="156"/>
    </row>
    <row r="604" spans="1:9" ht="27">
      <c r="A604" s="329" t="s">
        <v>153</v>
      </c>
      <c r="B604" s="43" t="s">
        <v>434</v>
      </c>
      <c r="C604" s="43" t="s">
        <v>162</v>
      </c>
      <c r="D604" s="43" t="s">
        <v>162</v>
      </c>
      <c r="E604" s="43" t="s">
        <v>338</v>
      </c>
      <c r="F604" s="43" t="s">
        <v>432</v>
      </c>
      <c r="G604" s="167">
        <f>H604+I604</f>
        <v>1336.8</v>
      </c>
      <c r="H604" s="206">
        <f>H605</f>
        <v>1336.8</v>
      </c>
      <c r="I604" s="206">
        <f>I605</f>
        <v>0</v>
      </c>
    </row>
    <row r="605" spans="1:9" ht="41.25">
      <c r="A605" s="35" t="s">
        <v>421</v>
      </c>
      <c r="B605" s="36" t="s">
        <v>434</v>
      </c>
      <c r="C605" s="33" t="s">
        <v>161</v>
      </c>
      <c r="D605" s="33" t="s">
        <v>174</v>
      </c>
      <c r="E605" s="33" t="s">
        <v>338</v>
      </c>
      <c r="F605" s="33" t="s">
        <v>432</v>
      </c>
      <c r="G605" s="156">
        <f t="shared" si="31"/>
        <v>1336.8</v>
      </c>
      <c r="H605" s="177">
        <f>H606</f>
        <v>1336.8</v>
      </c>
      <c r="I605" s="177">
        <f>I606</f>
        <v>0</v>
      </c>
    </row>
    <row r="606" spans="1:9" ht="27">
      <c r="A606" s="35" t="s">
        <v>175</v>
      </c>
      <c r="B606" s="36" t="s">
        <v>434</v>
      </c>
      <c r="C606" s="33" t="s">
        <v>161</v>
      </c>
      <c r="D606" s="33" t="s">
        <v>174</v>
      </c>
      <c r="E606" s="33" t="s">
        <v>16</v>
      </c>
      <c r="F606" s="33" t="s">
        <v>432</v>
      </c>
      <c r="G606" s="156">
        <f t="shared" si="31"/>
        <v>1336.8</v>
      </c>
      <c r="H606" s="177">
        <f>H607</f>
        <v>1336.8</v>
      </c>
      <c r="I606" s="177">
        <f>I607+I612</f>
        <v>0</v>
      </c>
    </row>
    <row r="607" spans="1:9" ht="41.25">
      <c r="A607" s="37" t="s">
        <v>176</v>
      </c>
      <c r="B607" s="36" t="s">
        <v>434</v>
      </c>
      <c r="C607" s="33" t="s">
        <v>161</v>
      </c>
      <c r="D607" s="33" t="s">
        <v>174</v>
      </c>
      <c r="E607" s="33" t="s">
        <v>17</v>
      </c>
      <c r="F607" s="33" t="s">
        <v>432</v>
      </c>
      <c r="G607" s="156">
        <f t="shared" si="31"/>
        <v>1336.8</v>
      </c>
      <c r="H607" s="177">
        <f>H608+H610+H612</f>
        <v>1336.8</v>
      </c>
      <c r="I607" s="177">
        <f>I608+I610+I612</f>
        <v>0</v>
      </c>
    </row>
    <row r="608" spans="1:9" ht="27">
      <c r="A608" s="37" t="s">
        <v>202</v>
      </c>
      <c r="B608" s="36" t="s">
        <v>434</v>
      </c>
      <c r="C608" s="33" t="s">
        <v>161</v>
      </c>
      <c r="D608" s="33" t="s">
        <v>174</v>
      </c>
      <c r="E608" s="33" t="s">
        <v>20</v>
      </c>
      <c r="F608" s="33" t="s">
        <v>170</v>
      </c>
      <c r="G608" s="156">
        <f t="shared" si="31"/>
        <v>60.6</v>
      </c>
      <c r="H608" s="177">
        <f>H609</f>
        <v>60.6</v>
      </c>
      <c r="I608" s="177">
        <f>I609</f>
        <v>0</v>
      </c>
    </row>
    <row r="609" spans="1:9" ht="41.25">
      <c r="A609" s="37" t="s">
        <v>203</v>
      </c>
      <c r="B609" s="36" t="s">
        <v>434</v>
      </c>
      <c r="C609" s="33" t="s">
        <v>161</v>
      </c>
      <c r="D609" s="33" t="s">
        <v>174</v>
      </c>
      <c r="E609" s="33" t="s">
        <v>20</v>
      </c>
      <c r="F609" s="33" t="s">
        <v>204</v>
      </c>
      <c r="G609" s="156">
        <f t="shared" si="31"/>
        <v>60.6</v>
      </c>
      <c r="H609" s="156">
        <v>60.6</v>
      </c>
      <c r="I609" s="177"/>
    </row>
    <row r="610" spans="1:9" ht="13.5">
      <c r="A610" s="37" t="s">
        <v>207</v>
      </c>
      <c r="B610" s="36" t="s">
        <v>434</v>
      </c>
      <c r="C610" s="33" t="s">
        <v>161</v>
      </c>
      <c r="D610" s="33" t="s">
        <v>174</v>
      </c>
      <c r="E610" s="33" t="s">
        <v>20</v>
      </c>
      <c r="F610" s="33" t="s">
        <v>208</v>
      </c>
      <c r="G610" s="156">
        <f t="shared" si="31"/>
        <v>2</v>
      </c>
      <c r="H610" s="156">
        <f>H611</f>
        <v>2</v>
      </c>
      <c r="I610" s="177"/>
    </row>
    <row r="611" spans="1:9" ht="13.5">
      <c r="A611" s="37" t="s">
        <v>205</v>
      </c>
      <c r="B611" s="36" t="s">
        <v>434</v>
      </c>
      <c r="C611" s="33" t="s">
        <v>161</v>
      </c>
      <c r="D611" s="33" t="s">
        <v>174</v>
      </c>
      <c r="E611" s="33" t="s">
        <v>20</v>
      </c>
      <c r="F611" s="33" t="s">
        <v>206</v>
      </c>
      <c r="G611" s="156">
        <f t="shared" si="31"/>
        <v>2</v>
      </c>
      <c r="H611" s="156">
        <v>2</v>
      </c>
      <c r="I611" s="177"/>
    </row>
    <row r="612" spans="1:9" ht="13.5">
      <c r="A612" s="52" t="s">
        <v>177</v>
      </c>
      <c r="B612" s="58" t="s">
        <v>434</v>
      </c>
      <c r="C612" s="54" t="s">
        <v>161</v>
      </c>
      <c r="D612" s="54" t="s">
        <v>174</v>
      </c>
      <c r="E612" s="54" t="s">
        <v>21</v>
      </c>
      <c r="F612" s="54" t="s">
        <v>432</v>
      </c>
      <c r="G612" s="168">
        <f t="shared" si="31"/>
        <v>1274.2</v>
      </c>
      <c r="H612" s="205">
        <f>H613</f>
        <v>1274.2</v>
      </c>
      <c r="I612" s="205">
        <f>I613</f>
        <v>0</v>
      </c>
    </row>
    <row r="613" spans="1:9" ht="82.5" customHeight="1">
      <c r="A613" s="37" t="s">
        <v>199</v>
      </c>
      <c r="B613" s="36" t="s">
        <v>434</v>
      </c>
      <c r="C613" s="33" t="s">
        <v>161</v>
      </c>
      <c r="D613" s="33" t="s">
        <v>174</v>
      </c>
      <c r="E613" s="33" t="s">
        <v>21</v>
      </c>
      <c r="F613" s="33" t="s">
        <v>166</v>
      </c>
      <c r="G613" s="156">
        <f t="shared" si="31"/>
        <v>1274.2</v>
      </c>
      <c r="H613" s="156">
        <f>H614</f>
        <v>1274.2</v>
      </c>
      <c r="I613" s="156">
        <f>I614</f>
        <v>0</v>
      </c>
    </row>
    <row r="614" spans="1:9" ht="29.25" customHeight="1">
      <c r="A614" s="37" t="s">
        <v>201</v>
      </c>
      <c r="B614" s="36" t="s">
        <v>434</v>
      </c>
      <c r="C614" s="33" t="s">
        <v>161</v>
      </c>
      <c r="D614" s="33" t="s">
        <v>174</v>
      </c>
      <c r="E614" s="33" t="s">
        <v>21</v>
      </c>
      <c r="F614" s="33" t="s">
        <v>200</v>
      </c>
      <c r="G614" s="156">
        <f t="shared" si="31"/>
        <v>1274.2</v>
      </c>
      <c r="H614" s="156">
        <v>1274.2</v>
      </c>
      <c r="I614" s="207"/>
    </row>
    <row r="615" spans="1:9" s="338" customFormat="1" ht="13.5">
      <c r="A615" s="336" t="s">
        <v>154</v>
      </c>
      <c r="B615" s="337"/>
      <c r="C615" s="337"/>
      <c r="D615" s="337"/>
      <c r="E615" s="337"/>
      <c r="F615" s="337"/>
      <c r="G615" s="167">
        <f>I615+H615</f>
        <v>758034.25833</v>
      </c>
      <c r="H615" s="167">
        <f>H12+H406+H420+H460+H604</f>
        <v>414907.46899</v>
      </c>
      <c r="I615" s="167">
        <f>I12+I406+I420+I460+I604</f>
        <v>343126.78933999996</v>
      </c>
    </row>
    <row r="617" spans="5:9" ht="15">
      <c r="E617" s="48" t="s">
        <v>694</v>
      </c>
      <c r="G617" s="147">
        <f>H617+I617</f>
        <v>702068.78265</v>
      </c>
      <c r="H617" s="155">
        <v>358941.99331</v>
      </c>
      <c r="I617" s="155">
        <v>343126.78934</v>
      </c>
    </row>
    <row r="618" spans="5:9" ht="15">
      <c r="E618" s="48" t="s">
        <v>732</v>
      </c>
      <c r="G618" s="147">
        <f>H618+I618</f>
        <v>55965.47568</v>
      </c>
      <c r="H618" s="155">
        <v>55965.47568</v>
      </c>
      <c r="I618" s="155">
        <v>0</v>
      </c>
    </row>
    <row r="619" spans="5:9" ht="15">
      <c r="E619" s="48" t="s">
        <v>752</v>
      </c>
      <c r="G619" s="147">
        <f>H619+I619</f>
        <v>758034.25833</v>
      </c>
      <c r="H619" s="155">
        <f>H617+H618</f>
        <v>414907.46898999996</v>
      </c>
      <c r="I619" s="155">
        <f>I617+I618</f>
        <v>343126.78934</v>
      </c>
    </row>
    <row r="620" spans="5:9" ht="15">
      <c r="E620" s="339"/>
      <c r="G620" s="174"/>
      <c r="H620" s="155">
        <f>H615-H619</f>
        <v>0</v>
      </c>
      <c r="I620" s="155">
        <f>I615-I619</f>
        <v>0</v>
      </c>
    </row>
    <row r="621" ht="15">
      <c r="G621" s="340"/>
    </row>
  </sheetData>
  <sheetProtection/>
  <autoFilter ref="E1:E618"/>
  <mergeCells count="16">
    <mergeCell ref="A10:A11"/>
    <mergeCell ref="B10:B11"/>
    <mergeCell ref="C10:C11"/>
    <mergeCell ref="D10:D11"/>
    <mergeCell ref="E10:E11"/>
    <mergeCell ref="F10:F11"/>
    <mergeCell ref="G10:G11"/>
    <mergeCell ref="H10:I10"/>
    <mergeCell ref="G1:I1"/>
    <mergeCell ref="F2:I2"/>
    <mergeCell ref="B3:F3"/>
    <mergeCell ref="G3:I3"/>
    <mergeCell ref="B4:F4"/>
    <mergeCell ref="G4:I4"/>
    <mergeCell ref="A6:I6"/>
    <mergeCell ref="A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15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73.625" style="359" customWidth="1"/>
    <col min="2" max="2" width="6.625" style="1" customWidth="1"/>
    <col min="3" max="3" width="18.50390625" style="14" customWidth="1"/>
    <col min="4" max="4" width="14.625" style="123" customWidth="1"/>
    <col min="5" max="5" width="13.625" style="1" customWidth="1"/>
    <col min="6" max="6" width="11.125" style="1" customWidth="1"/>
    <col min="7" max="16384" width="8.875" style="1" customWidth="1"/>
  </cols>
  <sheetData>
    <row r="1" spans="1:4" ht="15">
      <c r="A1" s="274" t="s">
        <v>838</v>
      </c>
      <c r="B1" s="274"/>
      <c r="C1" s="274"/>
      <c r="D1" s="274"/>
    </row>
    <row r="2" spans="1:4" ht="15">
      <c r="A2" s="274" t="s">
        <v>428</v>
      </c>
      <c r="B2" s="274"/>
      <c r="C2" s="274"/>
      <c r="D2" s="274"/>
    </row>
    <row r="3" spans="1:4" ht="15">
      <c r="A3" s="274" t="s">
        <v>470</v>
      </c>
      <c r="B3" s="274"/>
      <c r="C3" s="274"/>
      <c r="D3" s="274"/>
    </row>
    <row r="4" spans="1:4" ht="15">
      <c r="A4" s="266" t="s">
        <v>851</v>
      </c>
      <c r="B4" s="266"/>
      <c r="C4" s="266"/>
      <c r="D4" s="266"/>
    </row>
    <row r="5" spans="1:2" ht="5.25" customHeight="1">
      <c r="A5" s="26"/>
      <c r="B5" s="11"/>
    </row>
    <row r="6" spans="1:4" ht="60.75" customHeight="1">
      <c r="A6" s="276" t="s">
        <v>660</v>
      </c>
      <c r="B6" s="276"/>
      <c r="C6" s="276"/>
      <c r="D6" s="276"/>
    </row>
    <row r="7" spans="1:4" ht="3.75" customHeight="1">
      <c r="A7" s="67"/>
      <c r="B7" s="67"/>
      <c r="C7" s="67"/>
      <c r="D7" s="175"/>
    </row>
    <row r="8" spans="1:4" ht="12.75">
      <c r="A8" s="26"/>
      <c r="B8" s="12"/>
      <c r="C8" s="20"/>
      <c r="D8" s="341" t="s">
        <v>145</v>
      </c>
    </row>
    <row r="9" spans="1:4" ht="39.75" customHeight="1">
      <c r="A9" s="342" t="s">
        <v>368</v>
      </c>
      <c r="B9" s="342" t="s">
        <v>309</v>
      </c>
      <c r="C9" s="342" t="s">
        <v>370</v>
      </c>
      <c r="D9" s="343" t="s">
        <v>549</v>
      </c>
    </row>
    <row r="10" spans="1:4" s="346" customFormat="1" ht="10.5" customHeight="1">
      <c r="A10" s="344">
        <v>1</v>
      </c>
      <c r="B10" s="344">
        <v>2</v>
      </c>
      <c r="C10" s="344">
        <v>3</v>
      </c>
      <c r="D10" s="345">
        <v>4</v>
      </c>
    </row>
    <row r="11" spans="1:4" s="348" customFormat="1" ht="18.75" customHeight="1">
      <c r="A11" s="347" t="s">
        <v>130</v>
      </c>
      <c r="B11" s="347"/>
      <c r="C11" s="347"/>
      <c r="D11" s="347"/>
    </row>
    <row r="12" spans="1:5" s="48" customFormat="1" ht="35.25" customHeight="1">
      <c r="A12" s="117" t="s">
        <v>506</v>
      </c>
      <c r="B12" s="9" t="s">
        <v>432</v>
      </c>
      <c r="C12" s="9" t="s">
        <v>37</v>
      </c>
      <c r="D12" s="187">
        <f>D13+D28+D33+D36+D45+D49+D52+D55+D47+D57</f>
        <v>552356.7324600001</v>
      </c>
      <c r="E12" s="74"/>
    </row>
    <row r="13" spans="1:4" s="27" customFormat="1" ht="30" customHeight="1">
      <c r="A13" s="96" t="s">
        <v>313</v>
      </c>
      <c r="B13" s="136" t="s">
        <v>435</v>
      </c>
      <c r="C13" s="136" t="s">
        <v>55</v>
      </c>
      <c r="D13" s="168">
        <f>D14+D15+D18+D21+D22+D23+D24+D25+D26+D27</f>
        <v>345805.34956000006</v>
      </c>
    </row>
    <row r="14" spans="1:4" s="73" customFormat="1" ht="16.5" customHeight="1">
      <c r="A14" s="25" t="s">
        <v>270</v>
      </c>
      <c r="B14" s="30" t="s">
        <v>435</v>
      </c>
      <c r="C14" s="30" t="s">
        <v>57</v>
      </c>
      <c r="D14" s="156">
        <f>700+470</f>
        <v>1170</v>
      </c>
    </row>
    <row r="15" spans="1:4" s="73" customFormat="1" ht="40.5" customHeight="1" hidden="1">
      <c r="A15" s="96" t="s">
        <v>612</v>
      </c>
      <c r="B15" s="136" t="s">
        <v>435</v>
      </c>
      <c r="C15" s="136" t="s">
        <v>613</v>
      </c>
      <c r="D15" s="168">
        <f>D16+D17</f>
        <v>0</v>
      </c>
    </row>
    <row r="16" spans="1:4" s="73" customFormat="1" ht="48.75" customHeight="1" hidden="1">
      <c r="A16" s="25" t="s">
        <v>661</v>
      </c>
      <c r="B16" s="30" t="s">
        <v>435</v>
      </c>
      <c r="C16" s="30" t="s">
        <v>614</v>
      </c>
      <c r="D16" s="156">
        <v>0</v>
      </c>
    </row>
    <row r="17" spans="1:4" s="73" customFormat="1" ht="54" customHeight="1" hidden="1">
      <c r="A17" s="25" t="s">
        <v>662</v>
      </c>
      <c r="B17" s="30" t="s">
        <v>435</v>
      </c>
      <c r="C17" s="30" t="s">
        <v>615</v>
      </c>
      <c r="D17" s="156"/>
    </row>
    <row r="18" spans="1:4" s="73" customFormat="1" ht="45" customHeight="1">
      <c r="A18" s="137" t="s">
        <v>711</v>
      </c>
      <c r="B18" s="158" t="s">
        <v>192</v>
      </c>
      <c r="C18" s="213"/>
      <c r="D18" s="159">
        <f>D19+D20</f>
        <v>6954.83168</v>
      </c>
    </row>
    <row r="19" spans="1:4" s="73" customFormat="1" ht="46.5" customHeight="1">
      <c r="A19" s="25" t="s">
        <v>712</v>
      </c>
      <c r="B19" s="30" t="s">
        <v>192</v>
      </c>
      <c r="C19" s="30" t="s">
        <v>733</v>
      </c>
      <c r="D19" s="156">
        <v>6930</v>
      </c>
    </row>
    <row r="20" spans="1:4" s="73" customFormat="1" ht="55.5" customHeight="1">
      <c r="A20" s="25" t="s">
        <v>713</v>
      </c>
      <c r="B20" s="30" t="s">
        <v>192</v>
      </c>
      <c r="C20" s="30" t="s">
        <v>785</v>
      </c>
      <c r="D20" s="156">
        <f>70-35.17588-9.99244</f>
        <v>24.83168</v>
      </c>
    </row>
    <row r="21" spans="1:4" s="73" customFormat="1" ht="45.75" customHeight="1">
      <c r="A21" s="25" t="s">
        <v>743</v>
      </c>
      <c r="B21" s="30" t="s">
        <v>192</v>
      </c>
      <c r="C21" s="30" t="s">
        <v>734</v>
      </c>
      <c r="D21" s="156">
        <v>395</v>
      </c>
    </row>
    <row r="22" spans="1:4" s="48" customFormat="1" ht="31.5" customHeight="1">
      <c r="A22" s="25" t="s">
        <v>392</v>
      </c>
      <c r="B22" s="30" t="s">
        <v>435</v>
      </c>
      <c r="C22" s="30" t="s">
        <v>58</v>
      </c>
      <c r="D22" s="156">
        <f>67719.7-0.00385-1000+3476+5319.52811-71+471-130.39903+10083.4+20118.39+10000+3731.75697+3000-2915.42308+33.142+38401.91676</f>
        <v>158238.00788000002</v>
      </c>
    </row>
    <row r="23" spans="1:4" s="48" customFormat="1" ht="45" customHeight="1">
      <c r="A23" s="25" t="s">
        <v>116</v>
      </c>
      <c r="B23" s="30" t="s">
        <v>435</v>
      </c>
      <c r="C23" s="30" t="s">
        <v>69</v>
      </c>
      <c r="D23" s="156">
        <f>156357.937+526.423</f>
        <v>156884.36000000002</v>
      </c>
    </row>
    <row r="24" spans="1:4" s="48" customFormat="1" ht="27" customHeight="1">
      <c r="A24" s="25" t="s">
        <v>663</v>
      </c>
      <c r="B24" s="30" t="s">
        <v>435</v>
      </c>
      <c r="C24" s="30" t="s">
        <v>617</v>
      </c>
      <c r="D24" s="156">
        <f>13848.602-3784.232</f>
        <v>10064.37</v>
      </c>
    </row>
    <row r="25" spans="1:4" s="48" customFormat="1" ht="48" customHeight="1">
      <c r="A25" s="25" t="s">
        <v>630</v>
      </c>
      <c r="B25" s="30" t="s">
        <v>435</v>
      </c>
      <c r="C25" s="30" t="s">
        <v>735</v>
      </c>
      <c r="D25" s="156">
        <f>2375-1795</f>
        <v>580</v>
      </c>
    </row>
    <row r="26" spans="1:4" s="48" customFormat="1" ht="48" customHeight="1">
      <c r="A26" s="25" t="s">
        <v>834</v>
      </c>
      <c r="B26" s="30" t="s">
        <v>435</v>
      </c>
      <c r="C26" s="30" t="s">
        <v>835</v>
      </c>
      <c r="D26" s="156">
        <v>5152</v>
      </c>
    </row>
    <row r="27" spans="1:4" s="48" customFormat="1" ht="48" customHeight="1">
      <c r="A27" s="25" t="s">
        <v>828</v>
      </c>
      <c r="B27" s="30" t="s">
        <v>435</v>
      </c>
      <c r="C27" s="30" t="s">
        <v>836</v>
      </c>
      <c r="D27" s="156">
        <v>6366.78</v>
      </c>
    </row>
    <row r="28" spans="1:4" s="27" customFormat="1" ht="33" customHeight="1">
      <c r="A28" s="96" t="s">
        <v>314</v>
      </c>
      <c r="B28" s="136" t="s">
        <v>435</v>
      </c>
      <c r="C28" s="136" t="s">
        <v>50</v>
      </c>
      <c r="D28" s="168">
        <f>SUM(D29:D32)</f>
        <v>120793.09779000001</v>
      </c>
    </row>
    <row r="29" spans="1:4" s="48" customFormat="1" ht="24.75" customHeight="1">
      <c r="A29" s="25" t="s">
        <v>315</v>
      </c>
      <c r="B29" s="30" t="s">
        <v>435</v>
      </c>
      <c r="C29" s="30" t="s">
        <v>51</v>
      </c>
      <c r="D29" s="156">
        <f>200+640</f>
        <v>840</v>
      </c>
    </row>
    <row r="30" spans="1:5" s="48" customFormat="1" ht="30.75" customHeight="1">
      <c r="A30" s="25" t="s">
        <v>415</v>
      </c>
      <c r="B30" s="30" t="s">
        <v>435</v>
      </c>
      <c r="C30" s="30" t="s">
        <v>53</v>
      </c>
      <c r="D30" s="156">
        <f>25796.6+2000+9000+11611.95+5717.64+2271.60247+1000-2000+14053.62708</f>
        <v>69451.41955</v>
      </c>
      <c r="E30" s="74"/>
    </row>
    <row r="31" spans="1:5" s="48" customFormat="1" ht="45" customHeight="1">
      <c r="A31" s="25" t="s">
        <v>117</v>
      </c>
      <c r="B31" s="30" t="s">
        <v>435</v>
      </c>
      <c r="C31" s="30" t="s">
        <v>54</v>
      </c>
      <c r="D31" s="156">
        <v>48045.528</v>
      </c>
      <c r="E31" s="74"/>
    </row>
    <row r="32" spans="1:5" s="48" customFormat="1" ht="58.5" customHeight="1">
      <c r="A32" s="25" t="s">
        <v>118</v>
      </c>
      <c r="B32" s="30" t="s">
        <v>435</v>
      </c>
      <c r="C32" s="30" t="s">
        <v>96</v>
      </c>
      <c r="D32" s="156">
        <f>4647.323-2191.17276</f>
        <v>2456.1502400000004</v>
      </c>
      <c r="E32" s="74"/>
    </row>
    <row r="33" spans="1:4" s="27" customFormat="1" ht="16.5" customHeight="1">
      <c r="A33" s="96" t="s">
        <v>316</v>
      </c>
      <c r="B33" s="136" t="s">
        <v>435</v>
      </c>
      <c r="C33" s="136" t="s">
        <v>59</v>
      </c>
      <c r="D33" s="168">
        <f>D34+D35</f>
        <v>2808</v>
      </c>
    </row>
    <row r="34" spans="1:4" s="48" customFormat="1" ht="16.5" customHeight="1">
      <c r="A34" s="25" t="s">
        <v>277</v>
      </c>
      <c r="B34" s="30" t="s">
        <v>435</v>
      </c>
      <c r="C34" s="30" t="s">
        <v>61</v>
      </c>
      <c r="D34" s="156">
        <f>250+8</f>
        <v>258</v>
      </c>
    </row>
    <row r="35" spans="1:4" s="48" customFormat="1" ht="18.75" customHeight="1">
      <c r="A35" s="25" t="s">
        <v>272</v>
      </c>
      <c r="B35" s="30" t="s">
        <v>435</v>
      </c>
      <c r="C35" s="30" t="s">
        <v>62</v>
      </c>
      <c r="D35" s="156">
        <f>750+300+1500</f>
        <v>2550</v>
      </c>
    </row>
    <row r="36" spans="1:4" s="27" customFormat="1" ht="17.25" customHeight="1">
      <c r="A36" s="96" t="s">
        <v>317</v>
      </c>
      <c r="B36" s="136" t="s">
        <v>435</v>
      </c>
      <c r="C36" s="136" t="s">
        <v>63</v>
      </c>
      <c r="D36" s="168">
        <f>D38+D39+D40+D41+D42</f>
        <v>40273.607990000004</v>
      </c>
    </row>
    <row r="37" spans="1:4" s="48" customFormat="1" ht="30.75" customHeight="1" hidden="1">
      <c r="A37" s="25"/>
      <c r="B37" s="28"/>
      <c r="C37" s="28"/>
      <c r="D37" s="343"/>
    </row>
    <row r="38" spans="1:4" s="48" customFormat="1" ht="20.25" customHeight="1">
      <c r="A38" s="37" t="s">
        <v>134</v>
      </c>
      <c r="B38" s="30" t="s">
        <v>435</v>
      </c>
      <c r="C38" s="69" t="s">
        <v>65</v>
      </c>
      <c r="D38" s="156">
        <f>5180.48+704.64+2620.9+1236.343</f>
        <v>9742.363000000001</v>
      </c>
    </row>
    <row r="39" spans="1:4" s="48" customFormat="1" ht="18.75" customHeight="1">
      <c r="A39" s="37" t="s">
        <v>135</v>
      </c>
      <c r="B39" s="30" t="s">
        <v>435</v>
      </c>
      <c r="C39" s="69" t="s">
        <v>66</v>
      </c>
      <c r="D39" s="156">
        <f>12332.59+54+49.5+531+150+300</f>
        <v>13417.09</v>
      </c>
    </row>
    <row r="40" spans="1:5" s="48" customFormat="1" ht="21" customHeight="1">
      <c r="A40" s="25" t="s">
        <v>264</v>
      </c>
      <c r="B40" s="30" t="s">
        <v>192</v>
      </c>
      <c r="C40" s="30" t="s">
        <v>67</v>
      </c>
      <c r="D40" s="156">
        <f>7276.28+2464.5+238</f>
        <v>9978.779999999999</v>
      </c>
      <c r="E40" s="74"/>
    </row>
    <row r="41" spans="1:5" s="48" customFormat="1" ht="21" customHeight="1">
      <c r="A41" s="25" t="s">
        <v>265</v>
      </c>
      <c r="B41" s="30" t="s">
        <v>192</v>
      </c>
      <c r="C41" s="30" t="s">
        <v>68</v>
      </c>
      <c r="D41" s="156">
        <f>3354.13+2282.77+155+150</f>
        <v>5941.9</v>
      </c>
      <c r="E41" s="74"/>
    </row>
    <row r="42" spans="1:5" s="48" customFormat="1" ht="31.5" customHeight="1">
      <c r="A42" s="137" t="s">
        <v>714</v>
      </c>
      <c r="B42" s="158" t="s">
        <v>435</v>
      </c>
      <c r="C42" s="158"/>
      <c r="D42" s="159">
        <f>D43+D44</f>
        <v>1193.4749900000002</v>
      </c>
      <c r="E42" s="74"/>
    </row>
    <row r="43" spans="1:6" s="48" customFormat="1" ht="42" customHeight="1">
      <c r="A43" s="25" t="s">
        <v>715</v>
      </c>
      <c r="B43" s="30" t="s">
        <v>435</v>
      </c>
      <c r="C43" s="30" t="s">
        <v>737</v>
      </c>
      <c r="D43" s="156">
        <v>1182.227</v>
      </c>
      <c r="E43" s="155">
        <v>5.94084</v>
      </c>
      <c r="F43" s="48">
        <v>5.94084</v>
      </c>
    </row>
    <row r="44" spans="1:6" s="48" customFormat="1" ht="59.25" customHeight="1">
      <c r="A44" s="25" t="s">
        <v>716</v>
      </c>
      <c r="B44" s="30" t="s">
        <v>435</v>
      </c>
      <c r="C44" s="30" t="s">
        <v>786</v>
      </c>
      <c r="D44" s="156">
        <f>11.94169-6.00085+5.30715</f>
        <v>11.24799</v>
      </c>
      <c r="E44" s="155">
        <v>1188.16784</v>
      </c>
      <c r="F44" s="48">
        <v>1182.227</v>
      </c>
    </row>
    <row r="45" spans="1:5" s="27" customFormat="1" ht="17.25" customHeight="1">
      <c r="A45" s="96" t="s">
        <v>318</v>
      </c>
      <c r="B45" s="136" t="s">
        <v>435</v>
      </c>
      <c r="C45" s="136" t="s">
        <v>70</v>
      </c>
      <c r="D45" s="168">
        <f>D46</f>
        <v>50</v>
      </c>
      <c r="E45" s="173"/>
    </row>
    <row r="46" spans="1:4" s="75" customFormat="1" ht="17.25" customHeight="1">
      <c r="A46" s="25" t="s">
        <v>310</v>
      </c>
      <c r="B46" s="30" t="s">
        <v>435</v>
      </c>
      <c r="C46" s="30" t="s">
        <v>71</v>
      </c>
      <c r="D46" s="156">
        <v>50</v>
      </c>
    </row>
    <row r="47" spans="1:5" s="27" customFormat="1" ht="17.25" customHeight="1">
      <c r="A47" s="96" t="s">
        <v>485</v>
      </c>
      <c r="B47" s="136" t="s">
        <v>435</v>
      </c>
      <c r="C47" s="136" t="s">
        <v>72</v>
      </c>
      <c r="D47" s="168">
        <f>D48</f>
        <v>1747.10419</v>
      </c>
      <c r="E47" s="173"/>
    </row>
    <row r="48" spans="1:4" s="75" customFormat="1" ht="45" customHeight="1">
      <c r="A48" s="25" t="s">
        <v>783</v>
      </c>
      <c r="B48" s="30" t="s">
        <v>435</v>
      </c>
      <c r="C48" s="30" t="s">
        <v>73</v>
      </c>
      <c r="D48" s="156">
        <f>2664.058+400-642.381-674.57281</f>
        <v>1747.10419</v>
      </c>
    </row>
    <row r="49" spans="1:5" s="27" customFormat="1" ht="18.75" customHeight="1">
      <c r="A49" s="96" t="s">
        <v>319</v>
      </c>
      <c r="B49" s="136" t="s">
        <v>435</v>
      </c>
      <c r="C49" s="136" t="s">
        <v>74</v>
      </c>
      <c r="D49" s="168">
        <f>D50+D51</f>
        <v>40646.57293</v>
      </c>
      <c r="E49" s="173"/>
    </row>
    <row r="50" spans="1:4" s="48" customFormat="1" ht="31.5" customHeight="1">
      <c r="A50" s="25" t="s">
        <v>194</v>
      </c>
      <c r="B50" s="30" t="s">
        <v>435</v>
      </c>
      <c r="C50" s="30" t="s">
        <v>75</v>
      </c>
      <c r="D50" s="156">
        <f>37667.2-106.56+300-120</f>
        <v>37740.64</v>
      </c>
    </row>
    <row r="51" spans="1:5" s="48" customFormat="1" ht="42" customHeight="1">
      <c r="A51" s="25" t="s">
        <v>571</v>
      </c>
      <c r="B51" s="30" t="s">
        <v>435</v>
      </c>
      <c r="C51" s="30" t="s">
        <v>75</v>
      </c>
      <c r="D51" s="156">
        <f>2971.53-65.59707</f>
        <v>2905.9329300000004</v>
      </c>
      <c r="E51" s="155">
        <f>D51+D96</f>
        <v>4296.759540000001</v>
      </c>
    </row>
    <row r="52" spans="1:5" s="27" customFormat="1" ht="17.25" customHeight="1">
      <c r="A52" s="96" t="s">
        <v>39</v>
      </c>
      <c r="B52" s="136" t="s">
        <v>435</v>
      </c>
      <c r="C52" s="136" t="s">
        <v>38</v>
      </c>
      <c r="D52" s="168">
        <f>D53+D54</f>
        <v>150</v>
      </c>
      <c r="E52" s="173"/>
    </row>
    <row r="53" spans="1:5" s="32" customFormat="1" ht="15.75" customHeight="1">
      <c r="A53" s="25" t="s">
        <v>424</v>
      </c>
      <c r="B53" s="21">
        <v>951</v>
      </c>
      <c r="C53" s="30" t="s">
        <v>41</v>
      </c>
      <c r="D53" s="156">
        <v>111</v>
      </c>
      <c r="E53" s="73"/>
    </row>
    <row r="54" spans="1:4" s="75" customFormat="1" ht="15.75" customHeight="1">
      <c r="A54" s="25" t="s">
        <v>360</v>
      </c>
      <c r="B54" s="21">
        <v>951</v>
      </c>
      <c r="C54" s="30" t="s">
        <v>90</v>
      </c>
      <c r="D54" s="156">
        <v>39</v>
      </c>
    </row>
    <row r="55" spans="1:5" s="27" customFormat="1" ht="17.25" customHeight="1">
      <c r="A55" s="96" t="s">
        <v>503</v>
      </c>
      <c r="B55" s="136" t="s">
        <v>192</v>
      </c>
      <c r="C55" s="136" t="s">
        <v>43</v>
      </c>
      <c r="D55" s="168">
        <f>D56</f>
        <v>83</v>
      </c>
      <c r="E55" s="173"/>
    </row>
    <row r="56" spans="1:5" s="48" customFormat="1" ht="18" customHeight="1">
      <c r="A56" s="25" t="s">
        <v>350</v>
      </c>
      <c r="B56" s="30" t="s">
        <v>192</v>
      </c>
      <c r="C56" s="30" t="s">
        <v>736</v>
      </c>
      <c r="D56" s="156">
        <v>83</v>
      </c>
      <c r="E56" s="89"/>
    </row>
    <row r="57" spans="1:5" s="48" customFormat="1" ht="47.25" customHeight="1" hidden="1">
      <c r="A57" s="96" t="s">
        <v>527</v>
      </c>
      <c r="B57" s="136" t="s">
        <v>435</v>
      </c>
      <c r="C57" s="136" t="s">
        <v>55</v>
      </c>
      <c r="D57" s="168">
        <f>D58</f>
        <v>0</v>
      </c>
      <c r="E57" s="89"/>
    </row>
    <row r="58" spans="1:5" s="48" customFormat="1" ht="29.25" customHeight="1" hidden="1">
      <c r="A58" s="25" t="s">
        <v>528</v>
      </c>
      <c r="B58" s="30" t="s">
        <v>435</v>
      </c>
      <c r="C58" s="30" t="s">
        <v>56</v>
      </c>
      <c r="D58" s="156">
        <v>0</v>
      </c>
      <c r="E58" s="89"/>
    </row>
    <row r="59" spans="1:4" s="48" customFormat="1" ht="49.5" customHeight="1">
      <c r="A59" s="142" t="s">
        <v>507</v>
      </c>
      <c r="B59" s="157" t="s">
        <v>432</v>
      </c>
      <c r="C59" s="157" t="s">
        <v>77</v>
      </c>
      <c r="D59" s="167">
        <f>D60+D61+D62</f>
        <v>690</v>
      </c>
    </row>
    <row r="60" spans="1:4" s="48" customFormat="1" ht="14.25" customHeight="1">
      <c r="A60" s="25" t="s">
        <v>121</v>
      </c>
      <c r="B60" s="30" t="s">
        <v>435</v>
      </c>
      <c r="C60" s="30" t="s">
        <v>79</v>
      </c>
      <c r="D60" s="156">
        <f>300+48+90</f>
        <v>438</v>
      </c>
    </row>
    <row r="61" spans="1:4" s="48" customFormat="1" ht="15" customHeight="1">
      <c r="A61" s="25" t="s">
        <v>191</v>
      </c>
      <c r="B61" s="30" t="s">
        <v>435</v>
      </c>
      <c r="C61" s="30" t="s">
        <v>80</v>
      </c>
      <c r="D61" s="156">
        <f>298-48</f>
        <v>250</v>
      </c>
    </row>
    <row r="62" spans="1:4" s="48" customFormat="1" ht="15" customHeight="1">
      <c r="A62" s="25" t="s">
        <v>359</v>
      </c>
      <c r="B62" s="30" t="s">
        <v>192</v>
      </c>
      <c r="C62" s="30" t="s">
        <v>91</v>
      </c>
      <c r="D62" s="156">
        <v>2</v>
      </c>
    </row>
    <row r="63" spans="1:5" s="350" customFormat="1" ht="48" customHeight="1" hidden="1">
      <c r="A63" s="172" t="s">
        <v>456</v>
      </c>
      <c r="B63" s="335" t="s">
        <v>192</v>
      </c>
      <c r="C63" s="44" t="s">
        <v>36</v>
      </c>
      <c r="D63" s="167">
        <f>D64+D65</f>
        <v>0</v>
      </c>
      <c r="E63" s="349"/>
    </row>
    <row r="64" spans="1:5" s="351" customFormat="1" ht="48.75" customHeight="1" hidden="1">
      <c r="A64" s="132" t="s">
        <v>119</v>
      </c>
      <c r="B64" s="41" t="s">
        <v>192</v>
      </c>
      <c r="C64" s="33" t="s">
        <v>487</v>
      </c>
      <c r="D64" s="156"/>
      <c r="E64" s="73"/>
    </row>
    <row r="65" spans="1:5" s="76" customFormat="1" ht="48.75" customHeight="1" hidden="1">
      <c r="A65" s="25" t="s">
        <v>120</v>
      </c>
      <c r="B65" s="30" t="s">
        <v>192</v>
      </c>
      <c r="C65" s="33" t="s">
        <v>105</v>
      </c>
      <c r="D65" s="156"/>
      <c r="E65" s="48"/>
    </row>
    <row r="66" spans="1:5" s="62" customFormat="1" ht="33.75" customHeight="1">
      <c r="A66" s="142" t="s">
        <v>508</v>
      </c>
      <c r="B66" s="157" t="s">
        <v>432</v>
      </c>
      <c r="C66" s="157" t="s">
        <v>44</v>
      </c>
      <c r="D66" s="167">
        <f>D67+D69+D70</f>
        <v>134</v>
      </c>
      <c r="E66" s="75"/>
    </row>
    <row r="67" spans="1:4" s="75" customFormat="1" ht="15" customHeight="1">
      <c r="A67" s="25" t="s">
        <v>122</v>
      </c>
      <c r="B67" s="30" t="s">
        <v>435</v>
      </c>
      <c r="C67" s="30" t="s">
        <v>81</v>
      </c>
      <c r="D67" s="156">
        <f>124-78</f>
        <v>46</v>
      </c>
    </row>
    <row r="68" spans="1:4" s="75" customFormat="1" ht="15" customHeight="1" hidden="1">
      <c r="A68" s="25" t="s">
        <v>359</v>
      </c>
      <c r="B68" s="30" t="s">
        <v>192</v>
      </c>
      <c r="C68" s="30" t="s">
        <v>364</v>
      </c>
      <c r="D68" s="156"/>
    </row>
    <row r="69" spans="1:4" s="75" customFormat="1" ht="15" customHeight="1">
      <c r="A69" s="25" t="s">
        <v>746</v>
      </c>
      <c r="B69" s="30" t="s">
        <v>192</v>
      </c>
      <c r="C69" s="30" t="s">
        <v>46</v>
      </c>
      <c r="D69" s="156">
        <f>10+43-10</f>
        <v>43</v>
      </c>
    </row>
    <row r="70" spans="1:4" s="75" customFormat="1" ht="15" customHeight="1">
      <c r="A70" s="25" t="s">
        <v>359</v>
      </c>
      <c r="B70" s="30" t="s">
        <v>192</v>
      </c>
      <c r="C70" s="30" t="s">
        <v>738</v>
      </c>
      <c r="D70" s="156">
        <v>45</v>
      </c>
    </row>
    <row r="71" spans="1:6" s="62" customFormat="1" ht="32.25" customHeight="1">
      <c r="A71" s="142" t="s">
        <v>502</v>
      </c>
      <c r="B71" s="157" t="s">
        <v>432</v>
      </c>
      <c r="C71" s="157" t="s">
        <v>97</v>
      </c>
      <c r="D71" s="167">
        <f>D72+D76+D77+D84+D87</f>
        <v>38861.806169999996</v>
      </c>
      <c r="E71" s="162"/>
      <c r="F71" s="352"/>
    </row>
    <row r="72" spans="1:5" s="75" customFormat="1" ht="15.75" customHeight="1">
      <c r="A72" s="25" t="s">
        <v>311</v>
      </c>
      <c r="B72" s="30" t="s">
        <v>192</v>
      </c>
      <c r="C72" s="30" t="s">
        <v>98</v>
      </c>
      <c r="D72" s="156">
        <f>150-9.69697-23-28.3</f>
        <v>89.00303000000001</v>
      </c>
      <c r="E72" s="162">
        <f>D72+D76+D79+D81+D82+D83+D85+D86+D88+D89</f>
        <v>38861.806169999996</v>
      </c>
    </row>
    <row r="73" spans="1:5" s="62" customFormat="1" ht="46.5" customHeight="1" hidden="1">
      <c r="A73" s="142" t="s">
        <v>137</v>
      </c>
      <c r="B73" s="30" t="s">
        <v>664</v>
      </c>
      <c r="C73" s="30" t="s">
        <v>802</v>
      </c>
      <c r="D73" s="167">
        <f>D74</f>
        <v>0</v>
      </c>
      <c r="E73" s="75"/>
    </row>
    <row r="74" spans="1:5" s="77" customFormat="1" ht="15" customHeight="1" hidden="1">
      <c r="A74" s="142" t="s">
        <v>343</v>
      </c>
      <c r="B74" s="30" t="s">
        <v>665</v>
      </c>
      <c r="C74" s="30" t="s">
        <v>803</v>
      </c>
      <c r="D74" s="167">
        <f>D75</f>
        <v>0</v>
      </c>
      <c r="E74" s="160"/>
    </row>
    <row r="75" spans="1:4" s="75" customFormat="1" ht="60.75" customHeight="1" hidden="1">
      <c r="A75" s="25" t="s">
        <v>312</v>
      </c>
      <c r="B75" s="30" t="s">
        <v>666</v>
      </c>
      <c r="C75" s="30" t="s">
        <v>804</v>
      </c>
      <c r="D75" s="156">
        <v>0</v>
      </c>
    </row>
    <row r="76" spans="1:4" s="75" customFormat="1" ht="30.75" customHeight="1">
      <c r="A76" s="25" t="s">
        <v>805</v>
      </c>
      <c r="B76" s="30" t="s">
        <v>192</v>
      </c>
      <c r="C76" s="30" t="s">
        <v>801</v>
      </c>
      <c r="D76" s="156">
        <f>250-27+140+150</f>
        <v>513</v>
      </c>
    </row>
    <row r="77" spans="1:4" s="75" customFormat="1" ht="27.75" customHeight="1">
      <c r="A77" s="137" t="s">
        <v>635</v>
      </c>
      <c r="B77" s="158" t="s">
        <v>192</v>
      </c>
      <c r="C77" s="135"/>
      <c r="D77" s="159">
        <f>SUM(D78:D83)</f>
        <v>37291.48235</v>
      </c>
    </row>
    <row r="78" spans="1:5" s="75" customFormat="1" ht="48" customHeight="1" hidden="1">
      <c r="A78" s="25" t="s">
        <v>667</v>
      </c>
      <c r="B78" s="30" t="s">
        <v>192</v>
      </c>
      <c r="C78" s="69" t="s">
        <v>636</v>
      </c>
      <c r="D78" s="156">
        <v>0</v>
      </c>
      <c r="E78" s="161"/>
    </row>
    <row r="79" spans="1:5" s="75" customFormat="1" ht="19.5" customHeight="1">
      <c r="A79" s="25" t="s">
        <v>765</v>
      </c>
      <c r="B79" s="30" t="s">
        <v>192</v>
      </c>
      <c r="C79" s="69" t="s">
        <v>636</v>
      </c>
      <c r="D79" s="156">
        <f>45000-11100</f>
        <v>33900</v>
      </c>
      <c r="E79" s="161"/>
    </row>
    <row r="80" spans="1:4" s="75" customFormat="1" ht="57.75" customHeight="1" hidden="1">
      <c r="A80" s="25" t="s">
        <v>765</v>
      </c>
      <c r="B80" s="30" t="s">
        <v>192</v>
      </c>
      <c r="C80" s="69" t="s">
        <v>638</v>
      </c>
      <c r="D80" s="156">
        <v>0</v>
      </c>
    </row>
    <row r="81" spans="1:5" s="75" customFormat="1" ht="18" customHeight="1">
      <c r="A81" s="25" t="s">
        <v>765</v>
      </c>
      <c r="B81" s="30" t="s">
        <v>435</v>
      </c>
      <c r="C81" s="69" t="s">
        <v>636</v>
      </c>
      <c r="D81" s="156">
        <f>358.2+2978.433-302.94078</f>
        <v>3033.69222</v>
      </c>
      <c r="E81" s="162">
        <f>D81+D83</f>
        <v>3048.9368999999997</v>
      </c>
    </row>
    <row r="82" spans="1:4" s="75" customFormat="1" ht="18" customHeight="1">
      <c r="A82" s="25" t="s">
        <v>766</v>
      </c>
      <c r="B82" s="30" t="s">
        <v>192</v>
      </c>
      <c r="C82" s="69" t="s">
        <v>638</v>
      </c>
      <c r="D82" s="156">
        <f>454.54545-112</f>
        <v>342.54545</v>
      </c>
    </row>
    <row r="83" spans="1:4" s="75" customFormat="1" ht="18" customHeight="1">
      <c r="A83" s="25" t="s">
        <v>766</v>
      </c>
      <c r="B83" s="30" t="s">
        <v>435</v>
      </c>
      <c r="C83" s="69" t="s">
        <v>638</v>
      </c>
      <c r="D83" s="156">
        <f>16.767-1.52232</f>
        <v>15.244679999999999</v>
      </c>
    </row>
    <row r="84" spans="1:4" s="75" customFormat="1" ht="28.5" customHeight="1" hidden="1">
      <c r="A84" s="137" t="s">
        <v>764</v>
      </c>
      <c r="B84" s="158" t="s">
        <v>435</v>
      </c>
      <c r="C84" s="69"/>
      <c r="D84" s="159">
        <f>D85+D86</f>
        <v>0</v>
      </c>
    </row>
    <row r="85" spans="1:4" s="75" customFormat="1" ht="17.25" customHeight="1" hidden="1">
      <c r="A85" s="25" t="s">
        <v>794</v>
      </c>
      <c r="B85" s="30" t="s">
        <v>435</v>
      </c>
      <c r="C85" s="69" t="s">
        <v>767</v>
      </c>
      <c r="D85" s="156">
        <f>156-156</f>
        <v>0</v>
      </c>
    </row>
    <row r="86" spans="1:4" s="75" customFormat="1" ht="17.25" customHeight="1" hidden="1">
      <c r="A86" s="25" t="s">
        <v>795</v>
      </c>
      <c r="B86" s="30" t="s">
        <v>435</v>
      </c>
      <c r="C86" s="69" t="s">
        <v>768</v>
      </c>
      <c r="D86" s="156">
        <f>1.57576-1.57576</f>
        <v>0</v>
      </c>
    </row>
    <row r="87" spans="1:4" s="75" customFormat="1" ht="30" customHeight="1">
      <c r="A87" s="137" t="s">
        <v>806</v>
      </c>
      <c r="B87" s="158" t="s">
        <v>192</v>
      </c>
      <c r="C87" s="135"/>
      <c r="D87" s="159">
        <f>D88+D89</f>
        <v>968.32079</v>
      </c>
    </row>
    <row r="88" spans="1:5" s="75" customFormat="1" ht="43.5" customHeight="1">
      <c r="A88" s="25" t="s">
        <v>811</v>
      </c>
      <c r="B88" s="30" t="s">
        <v>192</v>
      </c>
      <c r="C88" s="69" t="s">
        <v>807</v>
      </c>
      <c r="D88" s="156">
        <v>960</v>
      </c>
      <c r="E88" s="75">
        <f>D87*99%</f>
        <v>958.6375821</v>
      </c>
    </row>
    <row r="89" spans="1:5" s="75" customFormat="1" ht="57.75" customHeight="1">
      <c r="A89" s="25" t="s">
        <v>809</v>
      </c>
      <c r="B89" s="30" t="s">
        <v>192</v>
      </c>
      <c r="C89" s="69" t="s">
        <v>810</v>
      </c>
      <c r="D89" s="156">
        <f>9.69697-1.37618</f>
        <v>8.32079</v>
      </c>
      <c r="E89" s="75">
        <f>D87*1%</f>
        <v>9.6832079</v>
      </c>
    </row>
    <row r="90" spans="1:5" s="338" customFormat="1" ht="35.25" customHeight="1">
      <c r="A90" s="142" t="s">
        <v>356</v>
      </c>
      <c r="B90" s="157" t="s">
        <v>432</v>
      </c>
      <c r="C90" s="157" t="s">
        <v>93</v>
      </c>
      <c r="D90" s="167">
        <f>D91</f>
        <v>28.400000000000006</v>
      </c>
      <c r="E90" s="75"/>
    </row>
    <row r="91" spans="1:5" s="77" customFormat="1" ht="28.5" customHeight="1">
      <c r="A91" s="25" t="s">
        <v>219</v>
      </c>
      <c r="B91" s="30" t="s">
        <v>192</v>
      </c>
      <c r="C91" s="30" t="s">
        <v>94</v>
      </c>
      <c r="D91" s="156">
        <f>200-171.6</f>
        <v>28.400000000000006</v>
      </c>
      <c r="E91" s="160"/>
    </row>
    <row r="92" spans="1:6" s="77" customFormat="1" ht="32.25" customHeight="1">
      <c r="A92" s="142" t="s">
        <v>509</v>
      </c>
      <c r="B92" s="157" t="s">
        <v>432</v>
      </c>
      <c r="C92" s="143" t="s">
        <v>82</v>
      </c>
      <c r="D92" s="167">
        <f>D93+D97+D100+D103+D106+D108+D111</f>
        <v>17019.734589999996</v>
      </c>
      <c r="E92" s="349"/>
      <c r="F92" s="353"/>
    </row>
    <row r="93" spans="1:5" s="75" customFormat="1" ht="34.5" customHeight="1">
      <c r="A93" s="137" t="s">
        <v>567</v>
      </c>
      <c r="B93" s="158" t="s">
        <v>192</v>
      </c>
      <c r="C93" s="135" t="s">
        <v>84</v>
      </c>
      <c r="D93" s="159">
        <f>D95+D96</f>
        <v>10628.74626</v>
      </c>
      <c r="E93" s="86"/>
    </row>
    <row r="94" spans="1:4" s="75" customFormat="1" ht="15" customHeight="1" hidden="1">
      <c r="A94" s="25" t="s">
        <v>233</v>
      </c>
      <c r="B94" s="30" t="s">
        <v>192</v>
      </c>
      <c r="C94" s="69" t="s">
        <v>234</v>
      </c>
      <c r="D94" s="156"/>
    </row>
    <row r="95" spans="1:5" s="75" customFormat="1" ht="15" customHeight="1">
      <c r="A95" s="25" t="s">
        <v>572</v>
      </c>
      <c r="B95" s="30" t="s">
        <v>192</v>
      </c>
      <c r="C95" s="69" t="s">
        <v>85</v>
      </c>
      <c r="D95" s="156">
        <f>6378.2+1847.22+473.3+224.19965+315</f>
        <v>9237.91965</v>
      </c>
      <c r="E95" s="162">
        <f>D104+D109</f>
        <v>974.24745</v>
      </c>
    </row>
    <row r="96" spans="1:4" s="75" customFormat="1" ht="27" customHeight="1">
      <c r="A96" s="25" t="s">
        <v>123</v>
      </c>
      <c r="B96" s="30" t="s">
        <v>192</v>
      </c>
      <c r="C96" s="69" t="s">
        <v>103</v>
      </c>
      <c r="D96" s="156">
        <f>1324.57+33.9409+32.31571</f>
        <v>1390.82661</v>
      </c>
    </row>
    <row r="97" spans="1:4" s="75" customFormat="1" ht="1.5" customHeight="1" hidden="1">
      <c r="A97" s="96" t="s">
        <v>620</v>
      </c>
      <c r="B97" s="136" t="s">
        <v>192</v>
      </c>
      <c r="C97" s="100" t="s">
        <v>668</v>
      </c>
      <c r="D97" s="168">
        <f>D98+D99</f>
        <v>0</v>
      </c>
    </row>
    <row r="98" spans="1:5" s="75" customFormat="1" ht="43.5" customHeight="1" hidden="1">
      <c r="A98" s="25" t="s">
        <v>621</v>
      </c>
      <c r="B98" s="30" t="s">
        <v>192</v>
      </c>
      <c r="C98" s="69" t="s">
        <v>622</v>
      </c>
      <c r="D98" s="156"/>
      <c r="E98" s="161">
        <f>D98/99</f>
        <v>0</v>
      </c>
    </row>
    <row r="99" spans="1:5" s="75" customFormat="1" ht="64.5" customHeight="1" hidden="1">
      <c r="A99" s="25" t="s">
        <v>669</v>
      </c>
      <c r="B99" s="30" t="s">
        <v>192</v>
      </c>
      <c r="C99" s="69" t="s">
        <v>623</v>
      </c>
      <c r="D99" s="156"/>
      <c r="E99" s="162">
        <f>D99-E98</f>
        <v>0</v>
      </c>
    </row>
    <row r="100" spans="1:4" s="75" customFormat="1" ht="44.25" customHeight="1">
      <c r="A100" s="137" t="s">
        <v>568</v>
      </c>
      <c r="B100" s="158" t="s">
        <v>192</v>
      </c>
      <c r="C100" s="135" t="s">
        <v>86</v>
      </c>
      <c r="D100" s="159">
        <f>D102</f>
        <v>2783.7999999999997</v>
      </c>
    </row>
    <row r="101" spans="1:4" s="75" customFormat="1" ht="15" customHeight="1" hidden="1">
      <c r="A101" s="25" t="s">
        <v>236</v>
      </c>
      <c r="B101" s="30" t="s">
        <v>192</v>
      </c>
      <c r="C101" s="69" t="s">
        <v>237</v>
      </c>
      <c r="D101" s="156"/>
    </row>
    <row r="102" spans="1:4" s="75" customFormat="1" ht="15" customHeight="1">
      <c r="A102" s="25" t="s">
        <v>227</v>
      </c>
      <c r="B102" s="30" t="s">
        <v>192</v>
      </c>
      <c r="C102" s="69" t="s">
        <v>86</v>
      </c>
      <c r="D102" s="156">
        <f>2368.7+347.1+68</f>
        <v>2783.7999999999997</v>
      </c>
    </row>
    <row r="103" spans="1:5" s="75" customFormat="1" ht="30" customHeight="1">
      <c r="A103" s="96" t="s">
        <v>624</v>
      </c>
      <c r="B103" s="136" t="s">
        <v>192</v>
      </c>
      <c r="C103" s="100" t="s">
        <v>625</v>
      </c>
      <c r="D103" s="168">
        <f>D104+D105</f>
        <v>150.755</v>
      </c>
      <c r="E103" s="162">
        <f>D103+D97</f>
        <v>150.755</v>
      </c>
    </row>
    <row r="104" spans="1:5" s="75" customFormat="1" ht="44.25" customHeight="1">
      <c r="A104" s="25" t="s">
        <v>670</v>
      </c>
      <c r="B104" s="30" t="s">
        <v>192</v>
      </c>
      <c r="C104" s="69" t="s">
        <v>626</v>
      </c>
      <c r="D104" s="156">
        <v>149.24745</v>
      </c>
      <c r="E104" s="161">
        <f>D104/99</f>
        <v>1.50755</v>
      </c>
    </row>
    <row r="105" spans="1:5" s="75" customFormat="1" ht="54" customHeight="1">
      <c r="A105" s="25" t="s">
        <v>671</v>
      </c>
      <c r="B105" s="30" t="s">
        <v>192</v>
      </c>
      <c r="C105" s="69" t="s">
        <v>627</v>
      </c>
      <c r="D105" s="156">
        <v>1.50755</v>
      </c>
      <c r="E105" s="162">
        <f>D105-E104</f>
        <v>0</v>
      </c>
    </row>
    <row r="106" spans="1:4" s="75" customFormat="1" ht="54.75" customHeight="1">
      <c r="A106" s="137" t="s">
        <v>569</v>
      </c>
      <c r="B106" s="158" t="s">
        <v>192</v>
      </c>
      <c r="C106" s="135" t="s">
        <v>87</v>
      </c>
      <c r="D106" s="159">
        <f>D107</f>
        <v>1494</v>
      </c>
    </row>
    <row r="107" spans="1:4" s="75" customFormat="1" ht="16.5" customHeight="1">
      <c r="A107" s="25" t="s">
        <v>227</v>
      </c>
      <c r="B107" s="30" t="s">
        <v>192</v>
      </c>
      <c r="C107" s="69" t="s">
        <v>87</v>
      </c>
      <c r="D107" s="156">
        <f>1330.4+163.6</f>
        <v>1494</v>
      </c>
    </row>
    <row r="108" spans="1:5" s="48" customFormat="1" ht="42" customHeight="1">
      <c r="A108" s="137" t="s">
        <v>640</v>
      </c>
      <c r="B108" s="158" t="s">
        <v>192</v>
      </c>
      <c r="C108" s="213"/>
      <c r="D108" s="159">
        <f>D109+D110</f>
        <v>833.33333</v>
      </c>
      <c r="E108" s="74"/>
    </row>
    <row r="109" spans="1:5" s="48" customFormat="1" ht="44.25" customHeight="1">
      <c r="A109" s="25" t="s">
        <v>699</v>
      </c>
      <c r="B109" s="30" t="s">
        <v>192</v>
      </c>
      <c r="C109" s="30" t="s">
        <v>774</v>
      </c>
      <c r="D109" s="156">
        <v>825</v>
      </c>
      <c r="E109" s="74"/>
    </row>
    <row r="110" spans="1:5" s="48" customFormat="1" ht="54" customHeight="1">
      <c r="A110" s="25" t="s">
        <v>700</v>
      </c>
      <c r="B110" s="30" t="s">
        <v>192</v>
      </c>
      <c r="C110" s="30" t="s">
        <v>775</v>
      </c>
      <c r="D110" s="156">
        <v>8.33333</v>
      </c>
      <c r="E110" s="74"/>
    </row>
    <row r="111" spans="1:5" s="75" customFormat="1" ht="21" customHeight="1">
      <c r="A111" s="137" t="s">
        <v>574</v>
      </c>
      <c r="B111" s="158" t="s">
        <v>192</v>
      </c>
      <c r="C111" s="135" t="s">
        <v>82</v>
      </c>
      <c r="D111" s="159">
        <f>D112+D125</f>
        <v>1129.1</v>
      </c>
      <c r="E111" s="162">
        <f>D125+D96</f>
        <v>1390.82661</v>
      </c>
    </row>
    <row r="112" spans="1:4" s="75" customFormat="1" ht="30.75" customHeight="1">
      <c r="A112" s="25" t="s">
        <v>573</v>
      </c>
      <c r="B112" s="30" t="s">
        <v>192</v>
      </c>
      <c r="C112" s="69" t="s">
        <v>88</v>
      </c>
      <c r="D112" s="156">
        <f>958.5+135.1+35.5</f>
        <v>1129.1</v>
      </c>
    </row>
    <row r="113" spans="1:5" s="77" customFormat="1" ht="29.25" customHeight="1" hidden="1">
      <c r="A113" s="142" t="s">
        <v>449</v>
      </c>
      <c r="B113" s="157" t="s">
        <v>432</v>
      </c>
      <c r="C113" s="143" t="s">
        <v>230</v>
      </c>
      <c r="D113" s="167"/>
      <c r="E113" s="160"/>
    </row>
    <row r="114" spans="1:4" s="75" customFormat="1" ht="18" customHeight="1" hidden="1">
      <c r="A114" s="25" t="s">
        <v>232</v>
      </c>
      <c r="B114" s="30" t="s">
        <v>435</v>
      </c>
      <c r="C114" s="69" t="s">
        <v>231</v>
      </c>
      <c r="D114" s="156"/>
    </row>
    <row r="115" spans="1:4" s="75" customFormat="1" ht="16.5" customHeight="1" hidden="1">
      <c r="A115" s="25" t="s">
        <v>233</v>
      </c>
      <c r="B115" s="30" t="s">
        <v>435</v>
      </c>
      <c r="C115" s="69" t="s">
        <v>234</v>
      </c>
      <c r="D115" s="156"/>
    </row>
    <row r="116" spans="1:4" s="75" customFormat="1" ht="18.75" customHeight="1" hidden="1">
      <c r="A116" s="25" t="s">
        <v>227</v>
      </c>
      <c r="B116" s="30" t="s">
        <v>435</v>
      </c>
      <c r="C116" s="69" t="s">
        <v>235</v>
      </c>
      <c r="D116" s="156"/>
    </row>
    <row r="117" spans="1:4" s="75" customFormat="1" ht="15" customHeight="1" hidden="1">
      <c r="A117" s="25" t="s">
        <v>238</v>
      </c>
      <c r="B117" s="30" t="s">
        <v>435</v>
      </c>
      <c r="C117" s="69" t="s">
        <v>239</v>
      </c>
      <c r="D117" s="156"/>
    </row>
    <row r="118" spans="1:4" s="75" customFormat="1" ht="13.5" customHeight="1" hidden="1">
      <c r="A118" s="25" t="s">
        <v>240</v>
      </c>
      <c r="B118" s="30" t="s">
        <v>435</v>
      </c>
      <c r="C118" s="69" t="s">
        <v>241</v>
      </c>
      <c r="D118" s="156"/>
    </row>
    <row r="119" spans="1:4" s="75" customFormat="1" ht="16.5" customHeight="1" hidden="1">
      <c r="A119" s="25" t="s">
        <v>227</v>
      </c>
      <c r="B119" s="30" t="s">
        <v>435</v>
      </c>
      <c r="C119" s="69" t="s">
        <v>242</v>
      </c>
      <c r="D119" s="156"/>
    </row>
    <row r="120" spans="1:4" s="75" customFormat="1" ht="0.75" customHeight="1" hidden="1">
      <c r="A120" s="85" t="s">
        <v>15</v>
      </c>
      <c r="B120" s="30" t="s">
        <v>432</v>
      </c>
      <c r="C120" s="69" t="s">
        <v>14</v>
      </c>
      <c r="D120" s="156"/>
    </row>
    <row r="121" spans="1:4" s="75" customFormat="1" ht="25.5" customHeight="1" hidden="1">
      <c r="A121" s="142" t="s">
        <v>343</v>
      </c>
      <c r="B121" s="30" t="s">
        <v>192</v>
      </c>
      <c r="C121" s="69" t="s">
        <v>14</v>
      </c>
      <c r="D121" s="156"/>
    </row>
    <row r="122" spans="1:4" s="75" customFormat="1" ht="54.75" customHeight="1" hidden="1">
      <c r="A122" s="142" t="s">
        <v>146</v>
      </c>
      <c r="B122" s="30" t="s">
        <v>432</v>
      </c>
      <c r="C122" s="69" t="s">
        <v>341</v>
      </c>
      <c r="D122" s="156"/>
    </row>
    <row r="123" spans="1:4" s="75" customFormat="1" ht="16.5" customHeight="1" hidden="1">
      <c r="A123" s="142" t="s">
        <v>343</v>
      </c>
      <c r="B123" s="30" t="s">
        <v>192</v>
      </c>
      <c r="C123" s="69" t="s">
        <v>341</v>
      </c>
      <c r="D123" s="156"/>
    </row>
    <row r="124" spans="1:4" s="75" customFormat="1" ht="16.5" customHeight="1" hidden="1">
      <c r="A124" s="142" t="s">
        <v>362</v>
      </c>
      <c r="B124" s="30" t="s">
        <v>192</v>
      </c>
      <c r="C124" s="69" t="s">
        <v>14</v>
      </c>
      <c r="D124" s="156"/>
    </row>
    <row r="125" spans="1:4" s="75" customFormat="1" ht="45.75" customHeight="1" hidden="1">
      <c r="A125" s="25" t="s">
        <v>571</v>
      </c>
      <c r="B125" s="30" t="s">
        <v>435</v>
      </c>
      <c r="C125" s="69" t="s">
        <v>529</v>
      </c>
      <c r="D125" s="156">
        <v>0</v>
      </c>
    </row>
    <row r="126" spans="1:4" s="75" customFormat="1" ht="33" customHeight="1" hidden="1">
      <c r="A126" s="142" t="s">
        <v>457</v>
      </c>
      <c r="B126" s="157" t="s">
        <v>432</v>
      </c>
      <c r="C126" s="143" t="s">
        <v>47</v>
      </c>
      <c r="D126" s="167">
        <f>D127+D128+D129</f>
        <v>0</v>
      </c>
    </row>
    <row r="127" spans="1:4" s="75" customFormat="1" ht="17.25" customHeight="1" hidden="1">
      <c r="A127" s="25" t="s">
        <v>124</v>
      </c>
      <c r="B127" s="30" t="s">
        <v>192</v>
      </c>
      <c r="C127" s="69" t="s">
        <v>561</v>
      </c>
      <c r="D127" s="156">
        <v>0</v>
      </c>
    </row>
    <row r="128" spans="1:4" s="75" customFormat="1" ht="19.5" customHeight="1" hidden="1">
      <c r="A128" s="25" t="s">
        <v>563</v>
      </c>
      <c r="B128" s="30" t="s">
        <v>435</v>
      </c>
      <c r="C128" s="69" t="s">
        <v>562</v>
      </c>
      <c r="D128" s="156"/>
    </row>
    <row r="129" spans="1:4" s="75" customFormat="1" ht="33" customHeight="1" hidden="1">
      <c r="A129" s="25" t="s">
        <v>535</v>
      </c>
      <c r="B129" s="30" t="s">
        <v>192</v>
      </c>
      <c r="C129" s="69" t="s">
        <v>524</v>
      </c>
      <c r="D129" s="156"/>
    </row>
    <row r="130" spans="1:4" s="75" customFormat="1" ht="45" customHeight="1" hidden="1">
      <c r="A130" s="142" t="s">
        <v>504</v>
      </c>
      <c r="B130" s="157" t="s">
        <v>432</v>
      </c>
      <c r="C130" s="157" t="s">
        <v>492</v>
      </c>
      <c r="D130" s="167">
        <f>D131</f>
        <v>0</v>
      </c>
    </row>
    <row r="131" spans="1:4" s="75" customFormat="1" ht="30" customHeight="1" hidden="1">
      <c r="A131" s="25" t="s">
        <v>755</v>
      </c>
      <c r="B131" s="30" t="s">
        <v>192</v>
      </c>
      <c r="C131" s="69" t="s">
        <v>493</v>
      </c>
      <c r="D131" s="156">
        <v>0</v>
      </c>
    </row>
    <row r="132" spans="1:5" s="75" customFormat="1" ht="62.25" customHeight="1">
      <c r="A132" s="142" t="s">
        <v>519</v>
      </c>
      <c r="B132" s="157" t="s">
        <v>432</v>
      </c>
      <c r="C132" s="157" t="s">
        <v>494</v>
      </c>
      <c r="D132" s="167">
        <f>SUM(D133:D140)</f>
        <v>25082.92501</v>
      </c>
      <c r="E132" s="88"/>
    </row>
    <row r="133" spans="1:5" s="75" customFormat="1" ht="30.75" customHeight="1">
      <c r="A133" s="25" t="s">
        <v>49</v>
      </c>
      <c r="B133" s="30" t="s">
        <v>192</v>
      </c>
      <c r="C133" s="69" t="s">
        <v>516</v>
      </c>
      <c r="D133" s="156">
        <f>1955+39.3-100-270-18.7</f>
        <v>1605.6</v>
      </c>
      <c r="E133" s="88"/>
    </row>
    <row r="134" spans="1:5" s="75" customFormat="1" ht="15.75" customHeight="1">
      <c r="A134" s="85" t="s">
        <v>722</v>
      </c>
      <c r="B134" s="30" t="s">
        <v>192</v>
      </c>
      <c r="C134" s="69" t="s">
        <v>723</v>
      </c>
      <c r="D134" s="156">
        <f>345-39.3-2.7791</f>
        <v>302.92089999999996</v>
      </c>
      <c r="E134" s="88"/>
    </row>
    <row r="135" spans="1:5" s="75" customFormat="1" ht="18" customHeight="1">
      <c r="A135" s="25" t="s">
        <v>404</v>
      </c>
      <c r="B135" s="30" t="s">
        <v>192</v>
      </c>
      <c r="C135" s="69" t="s">
        <v>518</v>
      </c>
      <c r="D135" s="156">
        <f>5099.946+5646.60411-30.30303-284</f>
        <v>10432.247080000001</v>
      </c>
      <c r="E135" s="88"/>
    </row>
    <row r="136" spans="1:5" s="75" customFormat="1" ht="18" customHeight="1">
      <c r="A136" s="85" t="s">
        <v>320</v>
      </c>
      <c r="B136" s="30" t="s">
        <v>192</v>
      </c>
      <c r="C136" s="69" t="s">
        <v>517</v>
      </c>
      <c r="D136" s="156">
        <f>9330.054+901.8-520</f>
        <v>9711.854</v>
      </c>
      <c r="E136" s="88"/>
    </row>
    <row r="137" spans="1:5" s="75" customFormat="1" ht="45.75" customHeight="1" hidden="1">
      <c r="A137" s="85" t="s">
        <v>539</v>
      </c>
      <c r="B137" s="30" t="s">
        <v>192</v>
      </c>
      <c r="C137" s="69" t="s">
        <v>540</v>
      </c>
      <c r="D137" s="156"/>
      <c r="E137" s="88"/>
    </row>
    <row r="138" spans="1:5" s="75" customFormat="1" ht="45.75" customHeight="1" hidden="1">
      <c r="A138" s="85" t="s">
        <v>543</v>
      </c>
      <c r="B138" s="30" t="s">
        <v>192</v>
      </c>
      <c r="C138" s="69" t="s">
        <v>544</v>
      </c>
      <c r="D138" s="156"/>
      <c r="E138" s="88"/>
    </row>
    <row r="139" spans="1:5" s="75" customFormat="1" ht="30.75" customHeight="1">
      <c r="A139" s="85" t="s">
        <v>792</v>
      </c>
      <c r="B139" s="30" t="s">
        <v>192</v>
      </c>
      <c r="C139" s="69" t="s">
        <v>763</v>
      </c>
      <c r="D139" s="156">
        <v>3000</v>
      </c>
      <c r="E139" s="88"/>
    </row>
    <row r="140" spans="1:5" s="75" customFormat="1" ht="42.75" customHeight="1">
      <c r="A140" s="85" t="s">
        <v>793</v>
      </c>
      <c r="B140" s="30" t="s">
        <v>192</v>
      </c>
      <c r="C140" s="69" t="s">
        <v>788</v>
      </c>
      <c r="D140" s="156">
        <v>30.30303</v>
      </c>
      <c r="E140" s="88"/>
    </row>
    <row r="141" spans="1:5" s="75" customFormat="1" ht="45.75" customHeight="1">
      <c r="A141" s="142" t="s">
        <v>672</v>
      </c>
      <c r="B141" s="157" t="s">
        <v>432</v>
      </c>
      <c r="C141" s="157" t="s">
        <v>557</v>
      </c>
      <c r="D141" s="167">
        <f>SUM(D142:D143)</f>
        <v>957.2</v>
      </c>
      <c r="E141" s="88"/>
    </row>
    <row r="142" spans="1:5" s="75" customFormat="1" ht="17.25" customHeight="1">
      <c r="A142" s="25" t="s">
        <v>227</v>
      </c>
      <c r="B142" s="30" t="s">
        <v>435</v>
      </c>
      <c r="C142" s="69" t="s">
        <v>558</v>
      </c>
      <c r="D142" s="156">
        <f>480+360+106.2+0.5</f>
        <v>946.7</v>
      </c>
      <c r="E142" s="354"/>
    </row>
    <row r="143" spans="1:5" s="75" customFormat="1" ht="16.5" customHeight="1">
      <c r="A143" s="25" t="s">
        <v>710</v>
      </c>
      <c r="B143" s="30" t="s">
        <v>192</v>
      </c>
      <c r="C143" s="69" t="s">
        <v>709</v>
      </c>
      <c r="D143" s="156">
        <f>20-9.5</f>
        <v>10.5</v>
      </c>
      <c r="E143" s="354"/>
    </row>
    <row r="144" spans="1:5" s="75" customFormat="1" ht="45.75" customHeight="1">
      <c r="A144" s="142" t="s">
        <v>577</v>
      </c>
      <c r="B144" s="157" t="s">
        <v>432</v>
      </c>
      <c r="C144" s="157" t="s">
        <v>560</v>
      </c>
      <c r="D144" s="167">
        <f>SUM(D145:D151)</f>
        <v>22141.29955</v>
      </c>
      <c r="E144" s="88"/>
    </row>
    <row r="145" spans="1:5" s="75" customFormat="1" ht="33" customHeight="1" hidden="1">
      <c r="A145" s="25" t="s">
        <v>564</v>
      </c>
      <c r="B145" s="30" t="s">
        <v>192</v>
      </c>
      <c r="C145" s="69" t="s">
        <v>556</v>
      </c>
      <c r="D145" s="156">
        <v>0</v>
      </c>
      <c r="E145" s="88"/>
    </row>
    <row r="146" spans="1:5" s="75" customFormat="1" ht="15" customHeight="1">
      <c r="A146" s="38" t="s">
        <v>251</v>
      </c>
      <c r="B146" s="30" t="s">
        <v>192</v>
      </c>
      <c r="C146" s="69" t="s">
        <v>555</v>
      </c>
      <c r="D146" s="156">
        <f>1300-80-20</f>
        <v>1200</v>
      </c>
      <c r="E146" s="88"/>
    </row>
    <row r="147" spans="1:5" s="75" customFormat="1" ht="57.75" customHeight="1">
      <c r="A147" s="38" t="s">
        <v>566</v>
      </c>
      <c r="B147" s="30" t="s">
        <v>436</v>
      </c>
      <c r="C147" s="69" t="s">
        <v>552</v>
      </c>
      <c r="D147" s="156">
        <v>11501.934</v>
      </c>
      <c r="E147" s="88"/>
    </row>
    <row r="148" spans="1:5" s="75" customFormat="1" ht="31.5" customHeight="1">
      <c r="A148" s="38" t="s">
        <v>331</v>
      </c>
      <c r="B148" s="30" t="s">
        <v>436</v>
      </c>
      <c r="C148" s="69" t="s">
        <v>553</v>
      </c>
      <c r="D148" s="156">
        <v>8375.417</v>
      </c>
      <c r="E148" s="88"/>
    </row>
    <row r="149" spans="1:5" s="75" customFormat="1" ht="29.25" customHeight="1">
      <c r="A149" s="85" t="s">
        <v>701</v>
      </c>
      <c r="B149" s="30" t="s">
        <v>436</v>
      </c>
      <c r="C149" s="69" t="s">
        <v>554</v>
      </c>
      <c r="D149" s="156">
        <f>849.75-318.3-48.3907</f>
        <v>483.05930000000006</v>
      </c>
      <c r="E149" s="88"/>
    </row>
    <row r="150" spans="1:5" s="75" customFormat="1" ht="42.75" customHeight="1">
      <c r="A150" s="85" t="s">
        <v>739</v>
      </c>
      <c r="B150" s="30" t="s">
        <v>436</v>
      </c>
      <c r="C150" s="69" t="s">
        <v>777</v>
      </c>
      <c r="D150" s="156">
        <f>116.13-33.142</f>
        <v>82.988</v>
      </c>
      <c r="E150" s="88"/>
    </row>
    <row r="151" spans="1:5" s="75" customFormat="1" ht="84.75" customHeight="1">
      <c r="A151" s="85" t="s">
        <v>841</v>
      </c>
      <c r="B151" s="30" t="s">
        <v>436</v>
      </c>
      <c r="C151" s="69" t="s">
        <v>845</v>
      </c>
      <c r="D151" s="156">
        <v>497.90125</v>
      </c>
      <c r="E151" s="88"/>
    </row>
    <row r="152" spans="1:5" s="75" customFormat="1" ht="33.75" customHeight="1">
      <c r="A152" s="163" t="s">
        <v>592</v>
      </c>
      <c r="B152" s="157" t="s">
        <v>432</v>
      </c>
      <c r="C152" s="143" t="s">
        <v>593</v>
      </c>
      <c r="D152" s="167">
        <f>D153</f>
        <v>15</v>
      </c>
      <c r="E152" s="88"/>
    </row>
    <row r="153" spans="1:5" s="75" customFormat="1" ht="28.5" customHeight="1">
      <c r="A153" s="38" t="s">
        <v>594</v>
      </c>
      <c r="B153" s="30" t="s">
        <v>192</v>
      </c>
      <c r="C153" s="69" t="s">
        <v>595</v>
      </c>
      <c r="D153" s="156">
        <f>D154</f>
        <v>15</v>
      </c>
      <c r="E153" s="88"/>
    </row>
    <row r="154" spans="1:5" s="75" customFormat="1" ht="16.5" customHeight="1">
      <c r="A154" s="38" t="s">
        <v>650</v>
      </c>
      <c r="B154" s="30" t="s">
        <v>192</v>
      </c>
      <c r="C154" s="69" t="s">
        <v>597</v>
      </c>
      <c r="D154" s="156">
        <v>15</v>
      </c>
      <c r="E154" s="88"/>
    </row>
    <row r="155" spans="1:5" s="75" customFormat="1" ht="44.25" customHeight="1">
      <c r="A155" s="142" t="s">
        <v>603</v>
      </c>
      <c r="B155" s="157" t="s">
        <v>432</v>
      </c>
      <c r="C155" s="157" t="s">
        <v>604</v>
      </c>
      <c r="D155" s="167">
        <f>D156+D157</f>
        <v>968.69832</v>
      </c>
      <c r="E155" s="88"/>
    </row>
    <row r="156" spans="1:5" s="75" customFormat="1" ht="31.5" customHeight="1">
      <c r="A156" s="38" t="s">
        <v>673</v>
      </c>
      <c r="B156" s="30" t="s">
        <v>192</v>
      </c>
      <c r="C156" s="69" t="s">
        <v>606</v>
      </c>
      <c r="D156" s="156">
        <f>216.52843+742.48289</f>
        <v>959.01132</v>
      </c>
      <c r="E156" s="88"/>
    </row>
    <row r="157" spans="1:5" s="75" customFormat="1" ht="33" customHeight="1">
      <c r="A157" s="38" t="s">
        <v>674</v>
      </c>
      <c r="B157" s="30" t="s">
        <v>192</v>
      </c>
      <c r="C157" s="69" t="s">
        <v>787</v>
      </c>
      <c r="D157" s="156">
        <f>20-10.313</f>
        <v>9.687</v>
      </c>
      <c r="E157" s="88"/>
    </row>
    <row r="158" spans="1:5" s="350" customFormat="1" ht="18" customHeight="1">
      <c r="A158" s="163" t="s">
        <v>107</v>
      </c>
      <c r="B158" s="164"/>
      <c r="C158" s="165"/>
      <c r="D158" s="167">
        <f>D126+D92+D90+D71+D66+D63+D59+D12+D130+D132+D141+D144+D152+D155</f>
        <v>658255.7961</v>
      </c>
      <c r="E158" s="355">
        <f>D158-602196.62042</f>
        <v>56059.175679999986</v>
      </c>
    </row>
    <row r="159" spans="1:5" ht="18" customHeight="1">
      <c r="A159" s="356" t="s">
        <v>379</v>
      </c>
      <c r="B159" s="356"/>
      <c r="C159" s="356"/>
      <c r="D159" s="356"/>
      <c r="E159" s="48"/>
    </row>
    <row r="160" spans="1:5" s="66" customFormat="1" ht="30" customHeight="1">
      <c r="A160" s="72" t="s">
        <v>165</v>
      </c>
      <c r="B160" s="70"/>
      <c r="C160" s="71" t="s">
        <v>16</v>
      </c>
      <c r="D160" s="176"/>
      <c r="E160" s="48"/>
    </row>
    <row r="161" spans="1:5" s="66" customFormat="1" ht="13.5">
      <c r="A161" s="72" t="s">
        <v>108</v>
      </c>
      <c r="B161" s="70"/>
      <c r="C161" s="71" t="s">
        <v>17</v>
      </c>
      <c r="D161" s="176"/>
      <c r="E161" s="48"/>
    </row>
    <row r="162" spans="1:5" ht="13.5">
      <c r="A162" s="38" t="s">
        <v>437</v>
      </c>
      <c r="B162" s="70"/>
      <c r="C162" s="71" t="s">
        <v>18</v>
      </c>
      <c r="D162" s="176">
        <f>1735.88+87</f>
        <v>1822.88</v>
      </c>
      <c r="E162" s="48"/>
    </row>
    <row r="163" spans="1:5" ht="18" customHeight="1">
      <c r="A163" s="38" t="s">
        <v>125</v>
      </c>
      <c r="B163" s="70"/>
      <c r="C163" s="71" t="s">
        <v>19</v>
      </c>
      <c r="D163" s="176">
        <f>1623.5+251+48+7-15</f>
        <v>1914.5</v>
      </c>
      <c r="E163" s="48"/>
    </row>
    <row r="164" spans="1:5" ht="27" customHeight="1">
      <c r="A164" s="38" t="s">
        <v>169</v>
      </c>
      <c r="B164" s="70"/>
      <c r="C164" s="71" t="s">
        <v>20</v>
      </c>
      <c r="D164" s="211">
        <f>2095.3+17721.71+6186.98+62.6+3803.86+3342.803+3213.58-1.64595-150+145.3-87-40+110-30-405.7</f>
        <v>35967.787050000006</v>
      </c>
      <c r="E164" s="48"/>
    </row>
    <row r="165" spans="1:5" ht="16.5" customHeight="1">
      <c r="A165" s="38" t="s">
        <v>126</v>
      </c>
      <c r="B165" s="70"/>
      <c r="C165" s="71" t="s">
        <v>21</v>
      </c>
      <c r="D165" s="176">
        <v>1274.2</v>
      </c>
      <c r="E165" s="48"/>
    </row>
    <row r="166" spans="1:5" ht="15" customHeight="1">
      <c r="A166" s="38" t="s">
        <v>127</v>
      </c>
      <c r="B166" s="70"/>
      <c r="C166" s="71" t="s">
        <v>26</v>
      </c>
      <c r="D166" s="176">
        <f>2+1.45201+2+50+1.64595-38.7</f>
        <v>18.397959999999998</v>
      </c>
      <c r="E166" s="48"/>
    </row>
    <row r="167" spans="1:5" ht="16.5" customHeight="1">
      <c r="A167" s="38" t="s">
        <v>128</v>
      </c>
      <c r="B167" s="70"/>
      <c r="C167" s="71" t="s">
        <v>27</v>
      </c>
      <c r="D167" s="176">
        <f>280+12</f>
        <v>292</v>
      </c>
      <c r="E167" s="48"/>
    </row>
    <row r="168" spans="1:5" ht="30.75" customHeight="1" hidden="1">
      <c r="A168" s="38" t="s">
        <v>398</v>
      </c>
      <c r="B168" s="70"/>
      <c r="C168" s="71" t="s">
        <v>28</v>
      </c>
      <c r="D168" s="176">
        <v>0</v>
      </c>
      <c r="E168" s="48"/>
    </row>
    <row r="169" spans="1:5" ht="33" customHeight="1" hidden="1">
      <c r="A169" s="91" t="s">
        <v>49</v>
      </c>
      <c r="B169" s="92"/>
      <c r="C169" s="93" t="s">
        <v>29</v>
      </c>
      <c r="D169" s="176"/>
      <c r="E169" s="48"/>
    </row>
    <row r="170" spans="1:5" ht="17.25" customHeight="1" hidden="1">
      <c r="A170" s="85" t="s">
        <v>404</v>
      </c>
      <c r="B170" s="98"/>
      <c r="C170" s="99" t="s">
        <v>30</v>
      </c>
      <c r="D170" s="176">
        <v>0</v>
      </c>
      <c r="E170" s="89"/>
    </row>
    <row r="171" spans="1:5" ht="31.5" customHeight="1" hidden="1">
      <c r="A171" s="38" t="s">
        <v>129</v>
      </c>
      <c r="B171" s="70"/>
      <c r="C171" s="71" t="s">
        <v>31</v>
      </c>
      <c r="D171" s="176"/>
      <c r="E171" s="48"/>
    </row>
    <row r="172" spans="1:5" ht="15.75" customHeight="1">
      <c r="A172" s="38" t="s">
        <v>602</v>
      </c>
      <c r="B172" s="70"/>
      <c r="C172" s="71" t="s">
        <v>32</v>
      </c>
      <c r="D172" s="176">
        <f>978.1-290+484.5-120</f>
        <v>1052.6</v>
      </c>
      <c r="E172" s="89"/>
    </row>
    <row r="173" spans="1:5" ht="15" customHeight="1">
      <c r="A173" s="38" t="s">
        <v>417</v>
      </c>
      <c r="B173" s="70"/>
      <c r="C173" s="71" t="s">
        <v>33</v>
      </c>
      <c r="D173" s="176">
        <f>90-75</f>
        <v>15</v>
      </c>
      <c r="E173" s="48"/>
    </row>
    <row r="174" spans="1:5" ht="15.75" customHeight="1" hidden="1">
      <c r="A174" s="38" t="s">
        <v>418</v>
      </c>
      <c r="B174" s="70"/>
      <c r="C174" s="71" t="s">
        <v>34</v>
      </c>
      <c r="D174" s="176">
        <f>100-100</f>
        <v>0</v>
      </c>
      <c r="E174" s="48"/>
    </row>
    <row r="175" spans="1:5" ht="15.75" customHeight="1">
      <c r="A175" s="38" t="s">
        <v>505</v>
      </c>
      <c r="B175" s="70"/>
      <c r="C175" s="71" t="s">
        <v>92</v>
      </c>
      <c r="D175" s="176">
        <v>741.7</v>
      </c>
      <c r="E175" s="48"/>
    </row>
    <row r="176" spans="1:5" ht="15.75" customHeight="1" hidden="1">
      <c r="A176" s="38" t="s">
        <v>221</v>
      </c>
      <c r="B176" s="70"/>
      <c r="C176" s="71" t="s">
        <v>99</v>
      </c>
      <c r="D176" s="176"/>
      <c r="E176" s="48"/>
    </row>
    <row r="177" spans="1:5" ht="15.75" customHeight="1">
      <c r="A177" s="38" t="s">
        <v>514</v>
      </c>
      <c r="B177" s="70"/>
      <c r="C177" s="71" t="s">
        <v>100</v>
      </c>
      <c r="D177" s="176">
        <f>619.1+19.34227+21.84928+400+71-471+130+270+100-75</f>
        <v>1085.29155</v>
      </c>
      <c r="E177" s="48"/>
    </row>
    <row r="178" spans="1:5" ht="30" customHeight="1" hidden="1">
      <c r="A178" s="38" t="s">
        <v>331</v>
      </c>
      <c r="B178" s="70"/>
      <c r="C178" s="71" t="s">
        <v>101</v>
      </c>
      <c r="D178" s="176"/>
      <c r="E178" s="48"/>
    </row>
    <row r="179" spans="1:5" ht="17.25" customHeight="1" hidden="1">
      <c r="A179" s="38" t="s">
        <v>479</v>
      </c>
      <c r="B179" s="70"/>
      <c r="C179" s="71" t="s">
        <v>102</v>
      </c>
      <c r="D179" s="176"/>
      <c r="E179" s="48"/>
    </row>
    <row r="180" spans="1:5" ht="79.5" customHeight="1" hidden="1">
      <c r="A180" s="38" t="s">
        <v>538</v>
      </c>
      <c r="B180" s="70"/>
      <c r="C180" s="71" t="s">
        <v>537</v>
      </c>
      <c r="D180" s="176"/>
      <c r="E180" s="48"/>
    </row>
    <row r="181" spans="1:5" ht="17.25" customHeight="1">
      <c r="A181" s="38" t="s">
        <v>532</v>
      </c>
      <c r="B181" s="70"/>
      <c r="C181" s="71" t="s">
        <v>533</v>
      </c>
      <c r="D181" s="176">
        <f>3111.15-389.02925</f>
        <v>2722.12075</v>
      </c>
      <c r="E181" s="48"/>
    </row>
    <row r="182" spans="1:5" ht="17.25" customHeight="1">
      <c r="A182" s="38" t="s">
        <v>541</v>
      </c>
      <c r="B182" s="70"/>
      <c r="C182" s="71" t="s">
        <v>542</v>
      </c>
      <c r="D182" s="176">
        <f>1275.2+38.7+120</f>
        <v>1433.9</v>
      </c>
      <c r="E182" s="48"/>
    </row>
    <row r="183" spans="1:5" ht="63.75" customHeight="1" hidden="1">
      <c r="A183" s="38" t="s">
        <v>355</v>
      </c>
      <c r="B183" s="70"/>
      <c r="C183" s="71" t="s">
        <v>521</v>
      </c>
      <c r="D183" s="176"/>
      <c r="E183" s="48"/>
    </row>
    <row r="184" spans="1:5" ht="15.75" customHeight="1" hidden="1">
      <c r="A184" s="38" t="s">
        <v>575</v>
      </c>
      <c r="B184" s="70"/>
      <c r="C184" s="71" t="s">
        <v>576</v>
      </c>
      <c r="D184" s="176">
        <v>0</v>
      </c>
      <c r="E184" s="48"/>
    </row>
    <row r="185" spans="1:5" ht="15.75" customHeight="1" hidden="1">
      <c r="A185" s="38" t="s">
        <v>675</v>
      </c>
      <c r="B185" s="70"/>
      <c r="C185" s="71" t="s">
        <v>611</v>
      </c>
      <c r="D185" s="176">
        <v>0</v>
      </c>
      <c r="E185" s="48"/>
    </row>
    <row r="186" spans="1:5" ht="15.75" customHeight="1">
      <c r="A186" s="38" t="s">
        <v>587</v>
      </c>
      <c r="B186" s="70"/>
      <c r="C186" s="71" t="s">
        <v>588</v>
      </c>
      <c r="D186" s="176">
        <f>100+150-48-13.698+450-13.55491-27.10982-33.61446-13.11601-13.11601-13.55491-26.67092-13.55491-13.11601-13.55491-80.45164-13.55491-53.78072-13.11601-78.602-13.55491+75-187.37621</f>
        <v>91.90273000000016</v>
      </c>
      <c r="E186" s="48"/>
    </row>
    <row r="187" spans="1:5" ht="30" customHeight="1">
      <c r="A187" s="38" t="s">
        <v>799</v>
      </c>
      <c r="B187" s="70"/>
      <c r="C187" s="71" t="s">
        <v>800</v>
      </c>
      <c r="D187" s="176">
        <f>48+5.568+8.13+13.55491+27.10982+33.61446+13.11601+13.11601+13.55491+26.67092+13.55491+13.11601+13.55491+80.45164+13.55491+53.78072+13.55491+13.11601+187.37621</f>
        <v>604.49527</v>
      </c>
      <c r="E187" s="155"/>
    </row>
    <row r="188" spans="1:5" ht="42.75" customHeight="1">
      <c r="A188" s="38" t="s">
        <v>830</v>
      </c>
      <c r="B188" s="70"/>
      <c r="C188" s="71" t="s">
        <v>831</v>
      </c>
      <c r="D188" s="176">
        <v>78.602</v>
      </c>
      <c r="E188" s="48"/>
    </row>
    <row r="189" spans="1:5" ht="15.75" customHeight="1">
      <c r="A189" s="38" t="s">
        <v>600</v>
      </c>
      <c r="B189" s="70"/>
      <c r="C189" s="71" t="s">
        <v>601</v>
      </c>
      <c r="D189" s="176">
        <f>60.7+20</f>
        <v>80.7</v>
      </c>
      <c r="E189" s="48"/>
    </row>
    <row r="190" spans="1:5" ht="54.75" customHeight="1">
      <c r="A190" s="38" t="s">
        <v>607</v>
      </c>
      <c r="B190" s="70"/>
      <c r="C190" s="71" t="s">
        <v>608</v>
      </c>
      <c r="D190" s="176">
        <f>100+175</f>
        <v>275</v>
      </c>
      <c r="E190" s="48"/>
    </row>
    <row r="191" spans="1:5" ht="57" customHeight="1">
      <c r="A191" s="38" t="s">
        <v>109</v>
      </c>
      <c r="B191" s="70"/>
      <c r="C191" s="78">
        <v>9999959300</v>
      </c>
      <c r="D191" s="176">
        <v>1798.09</v>
      </c>
      <c r="E191" s="48"/>
    </row>
    <row r="192" spans="1:5" ht="33" customHeight="1">
      <c r="A192" s="38" t="s">
        <v>832</v>
      </c>
      <c r="B192" s="70"/>
      <c r="C192" s="78" t="s">
        <v>833</v>
      </c>
      <c r="D192" s="176">
        <v>187.287</v>
      </c>
      <c r="E192" s="48"/>
    </row>
    <row r="193" spans="1:5" ht="27.75" customHeight="1">
      <c r="A193" s="38" t="s">
        <v>110</v>
      </c>
      <c r="B193" s="70"/>
      <c r="C193" s="71" t="s">
        <v>23</v>
      </c>
      <c r="D193" s="176">
        <v>1167.127</v>
      </c>
      <c r="E193" s="48"/>
    </row>
    <row r="194" spans="1:5" ht="13.5">
      <c r="A194" s="38" t="s">
        <v>111</v>
      </c>
      <c r="B194" s="70"/>
      <c r="C194" s="71" t="s">
        <v>24</v>
      </c>
      <c r="D194" s="176">
        <v>746.896</v>
      </c>
      <c r="E194" s="48"/>
    </row>
    <row r="195" spans="1:5" ht="30" customHeight="1">
      <c r="A195" s="38" t="s">
        <v>776</v>
      </c>
      <c r="B195" s="70"/>
      <c r="C195" s="71" t="s">
        <v>48</v>
      </c>
      <c r="D195" s="176">
        <v>273.188</v>
      </c>
      <c r="E195" s="48"/>
    </row>
    <row r="196" spans="1:5" ht="17.25" customHeight="1">
      <c r="A196" s="38" t="s">
        <v>112</v>
      </c>
      <c r="B196" s="70"/>
      <c r="C196" s="71" t="s">
        <v>22</v>
      </c>
      <c r="D196" s="176">
        <v>774.981</v>
      </c>
      <c r="E196" s="48"/>
    </row>
    <row r="197" spans="1:5" ht="27" customHeight="1">
      <c r="A197" s="38" t="s">
        <v>717</v>
      </c>
      <c r="B197" s="70"/>
      <c r="C197" s="99" t="s">
        <v>740</v>
      </c>
      <c r="D197" s="176">
        <v>1819.318</v>
      </c>
      <c r="E197" s="48"/>
    </row>
    <row r="198" spans="1:5" ht="41.25" customHeight="1">
      <c r="A198" s="38" t="s">
        <v>718</v>
      </c>
      <c r="B198" s="70"/>
      <c r="C198" s="99" t="s">
        <v>741</v>
      </c>
      <c r="D198" s="176">
        <f>18092.018-2216.317</f>
        <v>15875.701000000001</v>
      </c>
      <c r="E198" s="48"/>
    </row>
    <row r="199" spans="1:5" ht="29.25" customHeight="1">
      <c r="A199" s="38" t="s">
        <v>719</v>
      </c>
      <c r="B199" s="70"/>
      <c r="C199" s="99" t="s">
        <v>742</v>
      </c>
      <c r="D199" s="176">
        <v>500.835</v>
      </c>
      <c r="E199" s="48"/>
    </row>
    <row r="200" spans="1:5" ht="41.25">
      <c r="A200" s="38" t="s">
        <v>113</v>
      </c>
      <c r="B200" s="70"/>
      <c r="C200" s="71" t="s">
        <v>35</v>
      </c>
      <c r="D200" s="176">
        <v>1.69524</v>
      </c>
      <c r="E200" s="48"/>
    </row>
    <row r="201" spans="1:5" ht="30.75" customHeight="1">
      <c r="A201" s="38" t="s">
        <v>782</v>
      </c>
      <c r="B201" s="70"/>
      <c r="C201" s="71" t="s">
        <v>484</v>
      </c>
      <c r="D201" s="176">
        <v>17.047</v>
      </c>
      <c r="E201" s="48"/>
    </row>
    <row r="202" spans="1:5" ht="27" hidden="1">
      <c r="A202" s="38" t="s">
        <v>114</v>
      </c>
      <c r="B202" s="70"/>
      <c r="C202" s="71">
        <v>9999951180</v>
      </c>
      <c r="D202" s="176"/>
      <c r="E202" s="89"/>
    </row>
    <row r="203" spans="1:5" ht="42.75" customHeight="1">
      <c r="A203" s="38" t="s">
        <v>676</v>
      </c>
      <c r="B203" s="70"/>
      <c r="C203" s="71" t="s">
        <v>599</v>
      </c>
      <c r="D203" s="176">
        <v>3.223</v>
      </c>
      <c r="E203" s="89"/>
    </row>
    <row r="204" spans="1:5" ht="42.75" customHeight="1">
      <c r="A204" s="85" t="s">
        <v>590</v>
      </c>
      <c r="B204" s="98"/>
      <c r="C204" s="99" t="s">
        <v>591</v>
      </c>
      <c r="D204" s="176">
        <f>22243.702+365.45389-137.55021</f>
        <v>22471.60568</v>
      </c>
      <c r="E204" s="89"/>
    </row>
    <row r="205" spans="1:5" ht="27.75" customHeight="1">
      <c r="A205" s="85" t="s">
        <v>791</v>
      </c>
      <c r="B205" s="98"/>
      <c r="C205" s="99" t="s">
        <v>797</v>
      </c>
      <c r="D205" s="176">
        <v>3106.391</v>
      </c>
      <c r="E205" s="89"/>
    </row>
    <row r="206" spans="1:5" ht="29.25" customHeight="1">
      <c r="A206" s="85" t="s">
        <v>796</v>
      </c>
      <c r="B206" s="98"/>
      <c r="C206" s="99" t="s">
        <v>798</v>
      </c>
      <c r="D206" s="176">
        <v>918</v>
      </c>
      <c r="E206" s="89"/>
    </row>
    <row r="207" spans="1:5" ht="54.75" customHeight="1">
      <c r="A207" s="85" t="s">
        <v>815</v>
      </c>
      <c r="B207" s="98"/>
      <c r="C207" s="99" t="s">
        <v>816</v>
      </c>
      <c r="D207" s="176">
        <v>646</v>
      </c>
      <c r="E207" s="89"/>
    </row>
    <row r="208" spans="1:5" ht="16.5" customHeight="1">
      <c r="A208" s="163" t="s">
        <v>131</v>
      </c>
      <c r="B208" s="164"/>
      <c r="C208" s="165"/>
      <c r="D208" s="166">
        <f>SUM(D162:D207)</f>
        <v>99778.46223</v>
      </c>
      <c r="E208" s="357">
        <f>D208-100172.16223</f>
        <v>-393.6999999999971</v>
      </c>
    </row>
    <row r="209" spans="1:5" s="32" customFormat="1" ht="19.5" customHeight="1">
      <c r="A209" s="163" t="s">
        <v>115</v>
      </c>
      <c r="B209" s="164"/>
      <c r="C209" s="165"/>
      <c r="D209" s="166">
        <f>D208+D158</f>
        <v>758034.2583300001</v>
      </c>
      <c r="E209" s="358">
        <f>E158+E208</f>
        <v>55665.47567999999</v>
      </c>
    </row>
    <row r="210" spans="3:4" ht="15">
      <c r="C210" s="14" t="s">
        <v>693</v>
      </c>
      <c r="D210" s="360">
        <v>702068.78265</v>
      </c>
    </row>
    <row r="211" spans="3:4" ht="12.75">
      <c r="C211" s="361"/>
      <c r="D211" s="105"/>
    </row>
    <row r="212" spans="3:4" ht="12.75">
      <c r="C212" s="361"/>
      <c r="D212" s="123">
        <f>D209-D210</f>
        <v>55965.47568000015</v>
      </c>
    </row>
    <row r="213" spans="3:4" ht="12.75">
      <c r="C213" s="362"/>
      <c r="D213" s="174"/>
    </row>
    <row r="215" ht="12.75">
      <c r="C215" s="66"/>
    </row>
  </sheetData>
  <sheetProtection/>
  <mergeCells count="7">
    <mergeCell ref="A159:D159"/>
    <mergeCell ref="A6:D6"/>
    <mergeCell ref="A11:D11"/>
    <mergeCell ref="A1:D1"/>
    <mergeCell ref="A2:D2"/>
    <mergeCell ref="A3:D3"/>
    <mergeCell ref="A4:D4"/>
  </mergeCells>
  <printOptions/>
  <pageMargins left="0.7480314960629921" right="0.7480314960629921" top="0.984251968503937" bottom="0.7874015748031497" header="0.5118110236220472" footer="0.5118110236220472"/>
  <pageSetup fitToHeight="0" fitToWidth="1" horizontalDpi="600" verticalDpi="600" orientation="portrait" paperSize="9" scale="77" r:id="rId1"/>
  <rowBreaks count="3" manualBreakCount="3">
    <brk id="35" max="3" man="1"/>
    <brk id="87" max="3" man="1"/>
    <brk id="14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view="pageBreakPreview" zoomScaleSheetLayoutView="100" zoomScalePageLayoutView="0" workbookViewId="0" topLeftCell="A2">
      <selection activeCell="F5" sqref="F5"/>
    </sheetView>
  </sheetViews>
  <sheetFormatPr defaultColWidth="9.00390625" defaultRowHeight="12.75"/>
  <cols>
    <col min="1" max="5" width="8.875" style="1" customWidth="1"/>
    <col min="6" max="6" width="13.875" style="1" customWidth="1"/>
    <col min="7" max="7" width="17.125" style="1" customWidth="1"/>
    <col min="8" max="8" width="9.125" style="1" hidden="1" customWidth="1"/>
    <col min="9" max="9" width="15.00390625" style="1" customWidth="1"/>
    <col min="10" max="16384" width="8.875" style="1" customWidth="1"/>
  </cols>
  <sheetData>
    <row r="1" spans="2:9" ht="13.5">
      <c r="B1" s="363"/>
      <c r="C1" s="363"/>
      <c r="D1" s="363"/>
      <c r="E1" s="75"/>
      <c r="F1" s="364" t="s">
        <v>839</v>
      </c>
      <c r="G1" s="364"/>
      <c r="H1" s="364"/>
      <c r="I1" s="265"/>
    </row>
    <row r="2" spans="1:9" ht="13.5">
      <c r="A2" s="363"/>
      <c r="B2" s="363"/>
      <c r="C2" s="363"/>
      <c r="D2" s="363"/>
      <c r="E2" s="364" t="s">
        <v>8</v>
      </c>
      <c r="F2" s="364"/>
      <c r="G2" s="364"/>
      <c r="H2" s="364"/>
      <c r="I2" s="265"/>
    </row>
    <row r="3" spans="1:9" ht="13.5">
      <c r="A3" s="363"/>
      <c r="B3" s="363"/>
      <c r="C3" s="363"/>
      <c r="D3" s="363"/>
      <c r="E3" s="364" t="s">
        <v>9</v>
      </c>
      <c r="F3" s="364"/>
      <c r="G3" s="364"/>
      <c r="H3" s="364"/>
      <c r="I3" s="265"/>
    </row>
    <row r="4" spans="2:9" ht="13.5">
      <c r="B4" s="363"/>
      <c r="C4" s="363"/>
      <c r="D4" s="363"/>
      <c r="E4" s="75"/>
      <c r="F4" s="364" t="s">
        <v>850</v>
      </c>
      <c r="G4" s="364"/>
      <c r="H4" s="364"/>
      <c r="I4" s="265"/>
    </row>
    <row r="5" ht="17.25" customHeight="1"/>
    <row r="6" spans="1:7" ht="52.5" customHeight="1">
      <c r="A6" s="365" t="s">
        <v>695</v>
      </c>
      <c r="B6" s="365"/>
      <c r="C6" s="365"/>
      <c r="D6" s="365"/>
      <c r="E6" s="365"/>
      <c r="F6" s="365"/>
      <c r="G6" s="365"/>
    </row>
    <row r="7" spans="1:7" ht="13.5" hidden="1">
      <c r="A7" s="75"/>
      <c r="B7" s="75"/>
      <c r="C7" s="75"/>
      <c r="D7" s="75"/>
      <c r="E7" s="75"/>
      <c r="F7" s="75"/>
      <c r="G7" s="75"/>
    </row>
    <row r="8" spans="1:9" ht="16.5" customHeight="1">
      <c r="A8" s="75"/>
      <c r="B8" s="75"/>
      <c r="C8" s="75"/>
      <c r="D8" s="75"/>
      <c r="E8" s="75"/>
      <c r="F8" s="75"/>
      <c r="G8" s="179"/>
      <c r="H8" s="179" t="s">
        <v>145</v>
      </c>
      <c r="I8" s="179" t="s">
        <v>145</v>
      </c>
    </row>
    <row r="9" spans="1:9" ht="0.75" customHeight="1">
      <c r="A9" s="245" t="s">
        <v>143</v>
      </c>
      <c r="B9" s="245"/>
      <c r="C9" s="245"/>
      <c r="D9" s="245"/>
      <c r="E9" s="245"/>
      <c r="F9" s="245"/>
      <c r="G9" s="258" t="s">
        <v>550</v>
      </c>
      <c r="H9" s="338"/>
      <c r="I9" s="366" t="s">
        <v>847</v>
      </c>
    </row>
    <row r="10" spans="1:9" ht="57" customHeight="1">
      <c r="A10" s="245"/>
      <c r="B10" s="245"/>
      <c r="C10" s="245"/>
      <c r="D10" s="245"/>
      <c r="E10" s="245"/>
      <c r="F10" s="245"/>
      <c r="G10" s="258"/>
      <c r="H10" s="338"/>
      <c r="I10" s="367"/>
    </row>
    <row r="11" spans="1:9" ht="29.25" customHeight="1">
      <c r="A11" s="368" t="s">
        <v>144</v>
      </c>
      <c r="B11" s="368"/>
      <c r="C11" s="368"/>
      <c r="D11" s="368"/>
      <c r="E11" s="368"/>
      <c r="F11" s="368"/>
      <c r="G11" s="167">
        <f>G12+G13</f>
        <v>-1632.8959600000017</v>
      </c>
      <c r="H11" s="338"/>
      <c r="I11" s="369"/>
    </row>
    <row r="12" spans="1:9" ht="15.75" customHeight="1">
      <c r="A12" s="370" t="s">
        <v>147</v>
      </c>
      <c r="B12" s="370"/>
      <c r="C12" s="370"/>
      <c r="D12" s="370"/>
      <c r="E12" s="370"/>
      <c r="F12" s="370"/>
      <c r="G12" s="156">
        <v>15660</v>
      </c>
      <c r="H12" s="338"/>
      <c r="I12" s="369"/>
    </row>
    <row r="13" spans="1:9" ht="19.5" customHeight="1">
      <c r="A13" s="370" t="s">
        <v>148</v>
      </c>
      <c r="B13" s="370"/>
      <c r="C13" s="370"/>
      <c r="D13" s="370"/>
      <c r="E13" s="370"/>
      <c r="F13" s="370"/>
      <c r="G13" s="156">
        <f>-11000+(-6292.89596)</f>
        <v>-17292.89596</v>
      </c>
      <c r="H13" s="338"/>
      <c r="I13" s="371" t="s">
        <v>848</v>
      </c>
    </row>
    <row r="14" spans="1:9" ht="39" customHeight="1">
      <c r="A14" s="372" t="s">
        <v>149</v>
      </c>
      <c r="B14" s="372"/>
      <c r="C14" s="372"/>
      <c r="D14" s="372"/>
      <c r="E14" s="372"/>
      <c r="F14" s="372"/>
      <c r="G14" s="167">
        <f>G15+G16</f>
        <v>5032.89596</v>
      </c>
      <c r="H14" s="338"/>
      <c r="I14" s="129"/>
    </row>
    <row r="15" spans="1:9" ht="19.5" customHeight="1">
      <c r="A15" s="370" t="s">
        <v>147</v>
      </c>
      <c r="B15" s="370"/>
      <c r="C15" s="370"/>
      <c r="D15" s="370"/>
      <c r="E15" s="370"/>
      <c r="F15" s="370"/>
      <c r="G15" s="156">
        <v>6292.89596</v>
      </c>
      <c r="H15" s="338"/>
      <c r="I15" s="129"/>
    </row>
    <row r="16" spans="1:9" ht="17.25" customHeight="1">
      <c r="A16" s="370" t="s">
        <v>148</v>
      </c>
      <c r="B16" s="370"/>
      <c r="C16" s="370"/>
      <c r="D16" s="370"/>
      <c r="E16" s="370"/>
      <c r="F16" s="370"/>
      <c r="G16" s="156">
        <v>-1260</v>
      </c>
      <c r="H16" s="338"/>
      <c r="I16" s="371" t="s">
        <v>849</v>
      </c>
    </row>
    <row r="17" spans="1:9" s="32" customFormat="1" ht="19.5" customHeight="1">
      <c r="A17" s="372" t="s">
        <v>150</v>
      </c>
      <c r="B17" s="372"/>
      <c r="C17" s="372"/>
      <c r="D17" s="372"/>
      <c r="E17" s="372"/>
      <c r="F17" s="372"/>
      <c r="G17" s="167">
        <f>G18+G19</f>
        <v>3400</v>
      </c>
      <c r="H17" s="373"/>
      <c r="I17" s="374"/>
    </row>
    <row r="18" spans="1:9" ht="18.75" customHeight="1">
      <c r="A18" s="370" t="s">
        <v>151</v>
      </c>
      <c r="B18" s="370"/>
      <c r="C18" s="370"/>
      <c r="D18" s="370"/>
      <c r="E18" s="370"/>
      <c r="F18" s="370"/>
      <c r="G18" s="156">
        <f>G12+G15</f>
        <v>21952.89596</v>
      </c>
      <c r="H18" s="338"/>
      <c r="I18" s="369"/>
    </row>
    <row r="19" spans="1:10" ht="20.25" customHeight="1">
      <c r="A19" s="370" t="s">
        <v>148</v>
      </c>
      <c r="B19" s="370"/>
      <c r="C19" s="370"/>
      <c r="D19" s="370"/>
      <c r="E19" s="370"/>
      <c r="F19" s="370"/>
      <c r="G19" s="156">
        <f>G13+G16</f>
        <v>-18552.89596</v>
      </c>
      <c r="H19" s="338"/>
      <c r="I19" s="369"/>
      <c r="J19" s="32"/>
    </row>
  </sheetData>
  <sheetProtection/>
  <mergeCells count="21">
    <mergeCell ref="I9:I10"/>
    <mergeCell ref="F1:I1"/>
    <mergeCell ref="E2:I2"/>
    <mergeCell ref="E3:I3"/>
    <mergeCell ref="F4:I4"/>
    <mergeCell ref="A11:F11"/>
    <mergeCell ref="A12:F12"/>
    <mergeCell ref="A3:D3"/>
    <mergeCell ref="B4:D4"/>
    <mergeCell ref="G9:G10"/>
    <mergeCell ref="A9:F10"/>
    <mergeCell ref="B1:D1"/>
    <mergeCell ref="A2:D2"/>
    <mergeCell ref="A6:G6"/>
    <mergeCell ref="A19:F19"/>
    <mergeCell ref="A13:F13"/>
    <mergeCell ref="A14:F14"/>
    <mergeCell ref="A15:F15"/>
    <mergeCell ref="A16:F16"/>
    <mergeCell ref="A17:F17"/>
    <mergeCell ref="A18:F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39.00390625" style="1" customWidth="1"/>
    <col min="2" max="2" width="30.25390625" style="1" customWidth="1"/>
    <col min="3" max="3" width="27.50390625" style="1" customWidth="1"/>
    <col min="4" max="4" width="27.125" style="1" customWidth="1"/>
    <col min="5" max="16384" width="8.875" style="1" customWidth="1"/>
  </cols>
  <sheetData>
    <row r="1" spans="1:4" ht="17.25" customHeight="1">
      <c r="A1" s="375"/>
      <c r="B1" s="375"/>
      <c r="C1" s="375"/>
      <c r="D1" s="240" t="s">
        <v>840</v>
      </c>
    </row>
    <row r="2" spans="1:4" ht="15">
      <c r="A2" s="375"/>
      <c r="B2" s="375"/>
      <c r="C2" s="375"/>
      <c r="D2" s="240" t="s">
        <v>8</v>
      </c>
    </row>
    <row r="3" spans="1:4" ht="15">
      <c r="A3" s="375"/>
      <c r="B3" s="375"/>
      <c r="C3" s="375"/>
      <c r="D3" s="240" t="s">
        <v>9</v>
      </c>
    </row>
    <row r="4" spans="1:5" ht="18.75" customHeight="1">
      <c r="A4" s="266" t="s">
        <v>850</v>
      </c>
      <c r="B4" s="266"/>
      <c r="C4" s="266"/>
      <c r="D4" s="266"/>
      <c r="E4" s="13"/>
    </row>
    <row r="5" ht="22.5" customHeight="1"/>
    <row r="6" spans="1:4" ht="115.5" customHeight="1">
      <c r="A6" s="278" t="s">
        <v>841</v>
      </c>
      <c r="B6" s="278"/>
      <c r="C6" s="278"/>
      <c r="D6" s="278"/>
    </row>
    <row r="7" spans="1:4" ht="14.25" customHeight="1">
      <c r="A7" s="242"/>
      <c r="B7" s="242"/>
      <c r="C7" s="242"/>
      <c r="D7" s="242"/>
    </row>
    <row r="8" spans="1:4" ht="20.25" customHeight="1">
      <c r="A8" s="242"/>
      <c r="B8" s="242"/>
      <c r="C8" s="242"/>
      <c r="D8" s="376" t="s">
        <v>696</v>
      </c>
    </row>
    <row r="9" spans="1:4" ht="18.75" customHeight="1">
      <c r="A9" s="279" t="s">
        <v>4</v>
      </c>
      <c r="B9" s="304" t="s">
        <v>842</v>
      </c>
      <c r="C9" s="304" t="s">
        <v>843</v>
      </c>
      <c r="D9" s="279" t="s">
        <v>844</v>
      </c>
    </row>
    <row r="10" spans="1:4" ht="99.75" customHeight="1">
      <c r="A10" s="280"/>
      <c r="B10" s="377"/>
      <c r="C10" s="377"/>
      <c r="D10" s="280"/>
    </row>
    <row r="11" spans="1:4" ht="32.25" customHeight="1">
      <c r="A11" s="60" t="s">
        <v>5</v>
      </c>
      <c r="B11" s="119">
        <v>8.5</v>
      </c>
      <c r="C11" s="119">
        <v>0</v>
      </c>
      <c r="D11" s="187">
        <f>B11+C11</f>
        <v>8.5</v>
      </c>
    </row>
    <row r="12" spans="1:4" ht="25.5" customHeight="1">
      <c r="A12" s="60" t="s">
        <v>256</v>
      </c>
      <c r="B12" s="192">
        <v>8</v>
      </c>
      <c r="C12" s="192">
        <v>481.40125</v>
      </c>
      <c r="D12" s="234">
        <f>B12+C12</f>
        <v>489.40125</v>
      </c>
    </row>
    <row r="13" spans="1:4" ht="18.75" customHeight="1" hidden="1">
      <c r="A13" s="291" t="s">
        <v>6</v>
      </c>
      <c r="B13" s="119"/>
      <c r="C13" s="119"/>
      <c r="D13" s="119"/>
    </row>
    <row r="14" spans="1:4" ht="21.75" customHeight="1">
      <c r="A14" s="290" t="s">
        <v>7</v>
      </c>
      <c r="B14" s="187">
        <f>B11+B12</f>
        <v>16.5</v>
      </c>
      <c r="C14" s="187">
        <f>C11+C12</f>
        <v>481.40125</v>
      </c>
      <c r="D14" s="187">
        <f>D12+D11</f>
        <v>497.90125</v>
      </c>
    </row>
  </sheetData>
  <sheetProtection/>
  <mergeCells count="6">
    <mergeCell ref="A4:D4"/>
    <mergeCell ref="A6:D6"/>
    <mergeCell ref="A9:A10"/>
    <mergeCell ref="D9:D10"/>
    <mergeCell ref="B9:B10"/>
    <mergeCell ref="C9:C10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Гвоздик </cp:lastModifiedBy>
  <cp:lastPrinted>2020-12-28T03:05:10Z</cp:lastPrinted>
  <dcterms:created xsi:type="dcterms:W3CDTF">2008-10-27T01:25:53Z</dcterms:created>
  <dcterms:modified xsi:type="dcterms:W3CDTF">2020-12-28T08:02:46Z</dcterms:modified>
  <cp:category/>
  <cp:version/>
  <cp:contentType/>
  <cp:contentStatus/>
</cp:coreProperties>
</file>