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410" windowWidth="8385" windowHeight="5085" tabRatio="848" activeTab="5"/>
  </bookViews>
  <sheets>
    <sheet name="1" sheetId="1" r:id="rId1"/>
    <sheet name="1.1" sheetId="2" r:id="rId2"/>
    <sheet name="6" sheetId="3" r:id="rId3"/>
    <sheet name="7" sheetId="4" r:id="rId4"/>
    <sheet name="8" sheetId="5" r:id="rId5"/>
    <sheet name="9" sheetId="6" r:id="rId6"/>
    <sheet name="10" sheetId="7" r:id="rId7"/>
    <sheet name="11" sheetId="8" r:id="rId8"/>
    <sheet name="12" sheetId="9" r:id="rId9"/>
    <sheet name="12.1" sheetId="10" r:id="rId10"/>
  </sheets>
  <definedNames>
    <definedName name="_xlnm.Print_Titles" localSheetId="2">'6'!$8:$9</definedName>
    <definedName name="_xlnm.Print_Area" localSheetId="0">'1'!$A$1:$C$21</definedName>
    <definedName name="_xlnm.Print_Area" localSheetId="1">'1.1'!$A$1:$D$21</definedName>
    <definedName name="_xlnm.Print_Area" localSheetId="6">'10'!$A$1:$D$16</definedName>
    <definedName name="_xlnm.Print_Area" localSheetId="7">'11'!$A$1:$D$16</definedName>
    <definedName name="_xlnm.Print_Area" localSheetId="8">'12'!$A$1:$I$19</definedName>
    <definedName name="_xlnm.Print_Area" localSheetId="9">'12.1'!$A$1:$I$19</definedName>
    <definedName name="_xlnm.Print_Area" localSheetId="2">'6'!$A$1:$F$100</definedName>
    <definedName name="_xlnm.Print_Area" localSheetId="3">'7'!$A$1:$H$636</definedName>
    <definedName name="_xlnm.Print_Area" localSheetId="4">'8'!$A$1:$I$661</definedName>
    <definedName name="_xlnm.Print_Area" localSheetId="5">'9'!$A$1:$D$226</definedName>
  </definedNames>
  <calcPr fullCalcOnLoad="1"/>
</workbook>
</file>

<file path=xl/sharedStrings.xml><?xml version="1.0" encoding="utf-8"?>
<sst xmlns="http://schemas.openxmlformats.org/spreadsheetml/2006/main" count="7639" uniqueCount="949">
  <si>
    <t>01 05 0201 05 0000 510</t>
  </si>
  <si>
    <t>Увеличение прочих остатков денежных средств районного бюджета</t>
  </si>
  <si>
    <t>01 05 0201 05 0000 610</t>
  </si>
  <si>
    <t>Уменьшение прочих остатков денежных средств районного бюджета</t>
  </si>
  <si>
    <t>Наименование поселений</t>
  </si>
  <si>
    <t>Кировское городское поселение</t>
  </si>
  <si>
    <t>Горненское городское поселение</t>
  </si>
  <si>
    <t>Крыловское сельское поселение</t>
  </si>
  <si>
    <t>Руновское сельское поселение</t>
  </si>
  <si>
    <t>Хвищанское сельское поселение</t>
  </si>
  <si>
    <t>Всего</t>
  </si>
  <si>
    <t xml:space="preserve">                        к решению Думы Кировского</t>
  </si>
  <si>
    <t xml:space="preserve">                          муниципального района</t>
  </si>
  <si>
    <t>1 11 05013 05 0000 120</t>
  </si>
  <si>
    <t>Другие вопросы в области культуры, кинематографии</t>
  </si>
  <si>
    <t>1 11 05013 10 0000 120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</si>
  <si>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</si>
  <si>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7952200</t>
  </si>
  <si>
    <t>Муниципальная программа "Создание многофункционального центра предоставления государственных и муниципальных услуг Кировского муниципального района на 2014-2015 годы"</t>
  </si>
  <si>
    <t>9900000000</t>
  </si>
  <si>
    <t>9990000000</t>
  </si>
  <si>
    <t>9990010010</t>
  </si>
  <si>
    <t>9990010020</t>
  </si>
  <si>
    <t>9990010030</t>
  </si>
  <si>
    <t>9990010040</t>
  </si>
  <si>
    <t>9990093100</t>
  </si>
  <si>
    <t>Осуществление переданных органам государственной власти субъектов РФ в соответствии с п.1 ст.4 ФЗ от 15.11.1997 г. № 143-ФЗ "Об актах гражданского состояния" полномочий РФ по государственной регистрации актов гражданского состояния</t>
  </si>
  <si>
    <t>9990010050</t>
  </si>
  <si>
    <t>9990010060</t>
  </si>
  <si>
    <t>9990010070</t>
  </si>
  <si>
    <t>9990010080</t>
  </si>
  <si>
    <t>9990010090</t>
  </si>
  <si>
    <t>9990010100</t>
  </si>
  <si>
    <t>9990010101</t>
  </si>
  <si>
    <t>9990010102</t>
  </si>
  <si>
    <t>9990010103</t>
  </si>
  <si>
    <t>9990093120</t>
  </si>
  <si>
    <t>0800000000</t>
  </si>
  <si>
    <t>0100000000</t>
  </si>
  <si>
    <t>0180000000</t>
  </si>
  <si>
    <t>Подпрограмма № 8 «Молодежь Кировского района"</t>
  </si>
  <si>
    <t>0180020040</t>
  </si>
  <si>
    <t>0180020041</t>
  </si>
  <si>
    <t>Подпрограмма № 9 "Предупреждение развития наркомании в районе"</t>
  </si>
  <si>
    <t>0190000000</t>
  </si>
  <si>
    <t>0300000000</t>
  </si>
  <si>
    <t>0300030360</t>
  </si>
  <si>
    <t>0300030362</t>
  </si>
  <si>
    <t>0700000000</t>
  </si>
  <si>
    <t>9990093040</t>
  </si>
  <si>
    <t>Возмещение затрат или недополученных доходов от предоставления транспортных услуг населению в границах Кировского  муниципального района</t>
  </si>
  <si>
    <t>0120000000</t>
  </si>
  <si>
    <t>0120020041</t>
  </si>
  <si>
    <t>0120020040</t>
  </si>
  <si>
    <t>0120020042</t>
  </si>
  <si>
    <t>0120093070</t>
  </si>
  <si>
    <t>0110000000</t>
  </si>
  <si>
    <t>0110020040</t>
  </si>
  <si>
    <t>0110020041</t>
  </si>
  <si>
    <t>0110020042</t>
  </si>
  <si>
    <t>0130000000</t>
  </si>
  <si>
    <t>0130020040</t>
  </si>
  <si>
    <t>0130020041</t>
  </si>
  <si>
    <t>0130020042</t>
  </si>
  <si>
    <t>0140000000</t>
  </si>
  <si>
    <t>0140020040</t>
  </si>
  <si>
    <t>0140020041</t>
  </si>
  <si>
    <t>0140020042</t>
  </si>
  <si>
    <t>0140020043</t>
  </si>
  <si>
    <t>0140020044</t>
  </si>
  <si>
    <t>0110093060</t>
  </si>
  <si>
    <t>0150000000</t>
  </si>
  <si>
    <t>0150020040</t>
  </si>
  <si>
    <t>0160000000</t>
  </si>
  <si>
    <t>0160093080</t>
  </si>
  <si>
    <t>0170000000</t>
  </si>
  <si>
    <t>0170020040</t>
  </si>
  <si>
    <t>Расходы на обеспечение деятельности (оказание услуг, выполнение работ) централизованных бухгалтерий</t>
  </si>
  <si>
    <t>0200000000</t>
  </si>
  <si>
    <t>0200020260</t>
  </si>
  <si>
    <t>0200020261</t>
  </si>
  <si>
    <t>0200020262</t>
  </si>
  <si>
    <t>0300030361</t>
  </si>
  <si>
    <t>0600000000</t>
  </si>
  <si>
    <t>0610000000</t>
  </si>
  <si>
    <t>0610020140</t>
  </si>
  <si>
    <t>0610020141</t>
  </si>
  <si>
    <t>0620020140</t>
  </si>
  <si>
    <t>0630020140</t>
  </si>
  <si>
    <t>0640020140</t>
  </si>
  <si>
    <t>Подпрограмма   № 8 "Молодежь Кировского района"</t>
  </si>
  <si>
    <t>0180020042</t>
  </si>
  <si>
    <t>0200020263</t>
  </si>
  <si>
    <t>9990010104</t>
  </si>
  <si>
    <t>0500000000</t>
  </si>
  <si>
    <t>0500050560</t>
  </si>
  <si>
    <t>Подпрограмма   № 2 "Развитие дошкольных образовательных учреждений"</t>
  </si>
  <si>
    <t>0120093090</t>
  </si>
  <si>
    <t>0400000000</t>
  </si>
  <si>
    <t>0400040460</t>
  </si>
  <si>
    <t>9990010105</t>
  </si>
  <si>
    <t>9990010106</t>
  </si>
  <si>
    <t>9990010107</t>
  </si>
  <si>
    <t>9990010108</t>
  </si>
  <si>
    <t>0610020142</t>
  </si>
  <si>
    <t>Иные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(организация досуга и обеспечения услугами культуры)</t>
  </si>
  <si>
    <t>0800020140</t>
  </si>
  <si>
    <t>060000000</t>
  </si>
  <si>
    <t>Всего программные мероприятия</t>
  </si>
  <si>
    <t>Непрограммные мероприятия</t>
  </si>
  <si>
    <t>Осуществление переданных органам местного самоуправления в соответствии с пунктом 1 статьи 4 Федерального закона "Об актах гражданского состояния" полномочий Российской Федерации по государственной регистрации актов гражданского состояния</t>
  </si>
  <si>
    <t>Обеспечение деятельности комиссий по делам несовершеннолетних и защите их прав</t>
  </si>
  <si>
    <t>Создание административных комиссий</t>
  </si>
  <si>
    <t>Государственноее управление охраной труда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</si>
  <si>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</si>
  <si>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Осуществление первичного воинского учета на территориях, где отсутствуют военные комиссариаты</t>
  </si>
  <si>
    <t>Всего программные и непрограммные мероприятия</t>
  </si>
  <si>
    <t>Расходы на исполнение госполномочий по реализации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</si>
  <si>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</si>
  <si>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</si>
  <si>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Субсидии из местного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за счет средств краевого бюджета</t>
  </si>
  <si>
    <t>Субсидии из местного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за счет средств районного бюджета</t>
  </si>
  <si>
    <t>Мероприятия в сфере образования (МКУ ЦОМОУ)</t>
  </si>
  <si>
    <t>Мероприятия в сфере образования (МКУ "ЦОМОУ")</t>
  </si>
  <si>
    <t>иные межбюджетные трансферты (переданные полномочия поселений по культуре МБУ "КДЦ")</t>
  </si>
  <si>
    <t>мероприятия по администрации  Кировского муниципального района</t>
  </si>
  <si>
    <t>Председатель Думы муниципального образования</t>
  </si>
  <si>
    <t>Председатель КСК</t>
  </si>
  <si>
    <t>Исполнительные листы</t>
  </si>
  <si>
    <t>Оценка недвижимости</t>
  </si>
  <si>
    <t>Иные межбюджетные трансферты (переданные полномочия поселений по дорогам)</t>
  </si>
  <si>
    <t xml:space="preserve">Программные направления деятельности органов местного самоуправления </t>
  </si>
  <si>
    <t>Всего  непрограммные мероприятия</t>
  </si>
  <si>
    <t>620</t>
  </si>
  <si>
    <t>Субсидии из местного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</si>
  <si>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Субсидии бюджетным учреждениям (МБУ ДОД "ДЮЦ")</t>
  </si>
  <si>
    <t>Субсидии бюджетным учреждениям (МБУ ВПЦ "Патриот")</t>
  </si>
  <si>
    <t>022933040</t>
  </si>
  <si>
    <t>Муниципальная программа "Развитие малого и среднего предпринимательства в Кировском муниципальном районе на 2014-2017 годы"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</si>
  <si>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</si>
  <si>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Субсидии бюджетным учреждениям образования</t>
  </si>
  <si>
    <t>за счет средств местного бюджета</t>
  </si>
  <si>
    <t>подразделам, целевым статьям и видам расходов в соответствии с классификацией расходов</t>
  </si>
  <si>
    <t>Перечень внутренних заимствований</t>
  </si>
  <si>
    <t>1.Кредиты, полученные Кировским муниципальным районом от кредитных организаций:</t>
  </si>
  <si>
    <t>(тыс. руб.)</t>
  </si>
  <si>
    <t>Муниципальная программа "Создание многофункционального центра предоставления государственных и муниципальныхь услуг Кировского муниципального района на 2015-2016 годы"</t>
  </si>
  <si>
    <t>-привлечение кредитов</t>
  </si>
  <si>
    <t>-погашение основной суммы долга</t>
  </si>
  <si>
    <t>2.Бюджетные кредиты, привлеченные в районный бюджет от других бюджетов бюджетной системы Российской Федерации:</t>
  </si>
  <si>
    <t>ИТОГО муниципальных внутренних заимствований:</t>
  </si>
  <si>
    <t xml:space="preserve">Привлечение заимствования </t>
  </si>
  <si>
    <t>Код бюджетной классификации Российской Федерации</t>
  </si>
  <si>
    <t>Учреждение: Контрольно-счетная комиссия Кировского муниципального района</t>
  </si>
  <si>
    <t>Итого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</si>
  <si>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</si>
  <si>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</si>
  <si>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Раз-дел</t>
  </si>
  <si>
    <t>Под-раз-дел</t>
  </si>
  <si>
    <t>Вид рас-хо-дов</t>
  </si>
  <si>
    <t>ОБЩЕГОСУДАРСТВЕННЫЕ ВОПРОСЫ</t>
  </si>
  <si>
    <t>01</t>
  </si>
  <si>
    <t>00</t>
  </si>
  <si>
    <t>02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</si>
  <si>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</si>
  <si>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</si>
  <si>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</si>
  <si>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</si>
  <si>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</si>
  <si>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</si>
  <si>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200</t>
  </si>
  <si>
    <t>300</t>
  </si>
  <si>
    <t>04</t>
  </si>
  <si>
    <t>110</t>
  </si>
  <si>
    <t>06</t>
  </si>
  <si>
    <t>Непрограммные направления деятельности органов местного самоуправления ( КСК)</t>
  </si>
  <si>
    <t>Руководство и управление в сфере установленных функций органов местного самоуправления (КСК)</t>
  </si>
  <si>
    <t>Председатель контрольно-счетной комиссии</t>
  </si>
  <si>
    <t>Резервные фонды</t>
  </si>
  <si>
    <t>11</t>
  </si>
  <si>
    <t>Резервный фонд Администрации Кировского муниципального района</t>
  </si>
  <si>
    <t>13</t>
  </si>
  <si>
    <t>Субвенции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</si>
  <si>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</si>
  <si>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на реализацию отдельных государственных полномочий по созданию административных комиссий</t>
  </si>
  <si>
    <t xml:space="preserve">Общее образование </t>
  </si>
  <si>
    <t>1 11 05035 05 0000 120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</si>
  <si>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</si>
  <si>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1 11 09045 05 0000 120</t>
  </si>
  <si>
    <t>Дотации бюджетам муниципальных районов на выравнивание бюджетной обеспеченности</t>
  </si>
  <si>
    <t>(тыс.руб.)</t>
  </si>
  <si>
    <t xml:space="preserve">Субсидии бюджетным учреждениям </t>
  </si>
  <si>
    <t>951</t>
  </si>
  <si>
    <t>Приложение № 1</t>
  </si>
  <si>
    <t>Расходы на обеспечение деятельности  (оказание услуг, выполнение работ) муниципальных учреждений ( прочие учреждения)</t>
  </si>
  <si>
    <t>Председатель Думы Кировского муниципального района</t>
  </si>
  <si>
    <t>Субвенции на выплату ежемесячного денежного вознаграждения за классное руководство за счет краевого бюджета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</si>
  <si>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</si>
  <si>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</si>
  <si>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</si>
  <si>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</si>
  <si>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</si>
  <si>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</si>
  <si>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</si>
  <si>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</si>
  <si>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</si>
  <si>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</si>
  <si>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Иные бюджетные ассигнования</t>
  </si>
  <si>
    <t>800</t>
  </si>
  <si>
    <t>Резервные средства</t>
  </si>
  <si>
    <t>870</t>
  </si>
  <si>
    <t>Исполнение судебных актов</t>
  </si>
  <si>
    <t>830</t>
  </si>
  <si>
    <t>Межбюджетные трансферты</t>
  </si>
  <si>
    <t>500</t>
  </si>
  <si>
    <t>Расходы на выплаты персоналу казенных учреждений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</si>
  <si>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</si>
  <si>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</si>
  <si>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</si>
  <si>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Социальные выплаты гражданам, кроме публичных нормативных социальных выплат</t>
  </si>
  <si>
    <t>320</t>
  </si>
  <si>
    <t>Обслуживание государственного (муниципального) долга</t>
  </si>
  <si>
    <t>700</t>
  </si>
  <si>
    <t>Дотации</t>
  </si>
  <si>
    <t>510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</si>
  <si>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</si>
  <si>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</si>
  <si>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</si>
  <si>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Субсидии бюджетным учреждениям-МБУ  ДОД  "КДШИ"</t>
  </si>
  <si>
    <t>Субсидии бюджетным учреждениям-МБУ  ДОД  "ГДШИ"</t>
  </si>
  <si>
    <t>7952100</t>
  </si>
  <si>
    <t>7952110</t>
  </si>
  <si>
    <t>Подпрограмма № 1 "Развитие и поддержка клубов"</t>
  </si>
  <si>
    <t>Мероприятия по развитию и поддержке клубов</t>
  </si>
  <si>
    <t>7952111</t>
  </si>
  <si>
    <t>7952112</t>
  </si>
  <si>
    <t>Мероприятия по развитию и поддержке библиотек</t>
  </si>
  <si>
    <t>7952121</t>
  </si>
  <si>
    <t>Подпрограмма № 3 "Развитие и поддержка  музеев"</t>
  </si>
  <si>
    <t>7952130</t>
  </si>
  <si>
    <t>Мероприятия по развитию и поддержке музеев</t>
  </si>
  <si>
    <t>7952131</t>
  </si>
  <si>
    <t>7952132</t>
  </si>
  <si>
    <t>СОЦИАЛЬНАЯ ПОЛИТИКА</t>
  </si>
  <si>
    <t>10</t>
  </si>
  <si>
    <t>1 11 05013 13 0000 120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</si>
  <si>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</si>
  <si>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ФИЗИЧЕСКАЯ КУЛЬТУРА И СПОРТ</t>
  </si>
  <si>
    <t xml:space="preserve">Мероприятия по развитию физической культуры и спорта </t>
  </si>
  <si>
    <t>ОБСЛУЖИВАНИЕ ГОСУДАРСТВЕННОГО И МУНИЦИПАЛЬНОГО ДОЛГА</t>
  </si>
  <si>
    <t>Процентные платежи помуниципальному долгу</t>
  </si>
  <si>
    <t>Обслуживание 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</si>
  <si>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</si>
  <si>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</si>
  <si>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</si>
  <si>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 из районного фонда финансовой поддержки</t>
  </si>
  <si>
    <t>Горненское сельское поселение</t>
  </si>
  <si>
    <t>Горноключевское городское поселение</t>
  </si>
  <si>
    <t>Сельское хозяйство и рыболовство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</si>
  <si>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</si>
  <si>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</si>
  <si>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Всего расходов</t>
  </si>
  <si>
    <t>за счет средств краевого  бюджета</t>
  </si>
  <si>
    <t>01 03 01 00 05 0000 710</t>
  </si>
  <si>
    <t>01 03 01 00 05 0000 810</t>
  </si>
  <si>
    <t>Субсидии бюджетным учреждениям (МБУ ДОД «КДШИ»)</t>
  </si>
  <si>
    <t>Субсидии бюджетным учреждениям  (МБУ ДОД «ГДШИ")</t>
  </si>
  <si>
    <t>Субвенции бюджетам муниципальных районов на выполнение передаваемых полномочий субъектов Российской Федерации</t>
  </si>
  <si>
    <t>1 00 00000 00 0000 000</t>
  </si>
  <si>
    <t>НАЛОГОВЫЕ И НЕНАЛОГОВЫЕ ДОХОДЫ</t>
  </si>
  <si>
    <t>1 01 00000 00 0000 000</t>
  </si>
  <si>
    <t>Мероприятия по развитию и поддержке образовательных учреждений</t>
  </si>
  <si>
    <t>Противопожарная безопасность образовательных учреждений</t>
  </si>
  <si>
    <t>Мероприятия по переподготовке и повышению квалификации</t>
  </si>
  <si>
    <t>Расходы на обеспечение деятельности (оказание услуг, выполнение работ) муниципальных  учреждений - прочие учреждения</t>
  </si>
  <si>
    <t>Подпрограмма  № 2 "Развитие дошкольного образования в Кировском муниципальном районе"</t>
  </si>
  <si>
    <t>Подпрограмма  № 3 "Безопасность образовательных учреждений"</t>
  </si>
  <si>
    <t>Санитарно-эпидемиологическая безопасность образовательных учреждений</t>
  </si>
  <si>
    <t>Подпрограмма № 1 "Развитие и поддержка муниципальных образовательных учреждений" образования"</t>
  </si>
  <si>
    <t>Подпрограмма  № 7 "Другие вопросы в области образования"</t>
  </si>
  <si>
    <t>НАЛОГИ НА ПРИБЫЛЬ, ДОХОДЫ</t>
  </si>
  <si>
    <t>Налог на доходы физических лиц</t>
  </si>
  <si>
    <t>1 05 00000 00 0000 000</t>
  </si>
  <si>
    <t>Субсидии бюджетам бюджетной системы Российской Федерации (межбюджетные субсидии)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</si>
  <si>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</si>
  <si>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</si>
  <si>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</si>
  <si>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</si>
  <si>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</si>
  <si>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</si>
  <si>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</si>
  <si>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</si>
  <si>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</si>
  <si>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 xml:space="preserve">1 13 00000 00 0000 000 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</si>
  <si>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</si>
  <si>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</si>
  <si>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</si>
  <si>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</si>
  <si>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</si>
  <si>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</si>
  <si>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2 02 00000 00 0000 000</t>
  </si>
  <si>
    <t>9900004</t>
  </si>
  <si>
    <t>Муниципальная программа "Доступная среда для инвалидов в Кировском муниципальном районе на 2016-2019 годы"</t>
  </si>
  <si>
    <t>Дотации от других бюджетов бюджетной системы Российской Федерации</t>
  </si>
  <si>
    <t>610</t>
  </si>
  <si>
    <t>краевой  бюджет</t>
  </si>
  <si>
    <t>Подпрограмма  № 4 "Развитие внешкольного образования"</t>
  </si>
  <si>
    <t>Подпрограмма № 5 "Переподготовка и повышение квалификации"</t>
  </si>
  <si>
    <t>Руководство и управление в сфере установленных функций  органов местного самоуправления  (ФУ)</t>
  </si>
  <si>
    <t>Ве-домст-во</t>
  </si>
  <si>
    <t>Мероприятия по развитию физкультуры и спорта</t>
  </si>
  <si>
    <t>Субсидии организациям, образующим инфракструктуру поддержки субьектов малого и среднего предпринимательства на возмещение затрат, связанных с проведением мероприятий по повышению эффективности и конкурентноспособности субъектов малого и среднего предпринимательства</t>
  </si>
  <si>
    <t>Подпрограмма  № 1 «Развитие и поддержка муниципальных образовательных учреждений»</t>
  </si>
  <si>
    <t>Подпрограмма № 2 «Развитие дошкольного образования в Кировском муниципальном районе»</t>
  </si>
  <si>
    <t>Мероприятия по развитию и поддержке дошкольных образовательных учреждений</t>
  </si>
  <si>
    <t>Подпрограмма № 3 «Безопасность образовательных учреждений»</t>
  </si>
  <si>
    <t>Подпрограмма № 4 «Развитие внешкольного образования»</t>
  </si>
  <si>
    <t>Подпрограмма № 5 «Переподготовка и повышение кадров»</t>
  </si>
  <si>
    <t>Подпрограмма № 7 «Другие вопросы в области образования»</t>
  </si>
  <si>
    <t>Иные межбюджетные трансферты</t>
  </si>
  <si>
    <t>ВСЕГО ДОХОДОВ:</t>
  </si>
  <si>
    <t>Наименование налога    (сбора)</t>
  </si>
  <si>
    <t>01 02 00 00 00 0000 000</t>
  </si>
  <si>
    <t>Кредиты   кредитных организаций в валюте Российской Федерации</t>
  </si>
  <si>
    <t>01 02 00 00 05 0000 710</t>
  </si>
  <si>
    <t>Получение кредитов от кредитных организаций районным бюджетом в валюте Российской Федерации</t>
  </si>
  <si>
    <t>01 02 00 00 05 0000 810</t>
  </si>
  <si>
    <t>Погашение районным бюджетом кредитов от кредитных организаций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</si>
  <si>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</si>
  <si>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</si>
  <si>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Дотации на выравнивание бюджетной обеспеченности поселений из бюджета муниципального района</t>
  </si>
  <si>
    <t>Субвенции бюджетам муниципальных образований Приморского края 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</si>
  <si>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 xml:space="preserve">Субвенции бюджетам муниципальных районов Приморского края на осуществление отдельных полномочий по расчету и предоставлению дотаций на выравнивание бюджетной обеспеченности бюджетам поселений , входящих в их состав </t>
  </si>
  <si>
    <t>Ед.изм.</t>
  </si>
  <si>
    <t>Получение бюджетных кредитов от других бюджетов бюджетной системы Российской Федерации районным бюджетом в валюте Российской Федерации</t>
  </si>
  <si>
    <t>Погашение районным бюджетом бюджетных кредитов от других бюджетов бюджетной системы Российской Федерации в валюте Российской Федерации</t>
  </si>
  <si>
    <t>ИТОГО ИСТОЧНИКОВ</t>
  </si>
  <si>
    <t>0000000000</t>
  </si>
  <si>
    <t>9999959300</t>
  </si>
  <si>
    <t>9999000070</t>
  </si>
  <si>
    <t>7950122000</t>
  </si>
  <si>
    <t>Межбюджетные трансферты,передаваемые бюджетам муниципальных районов на комплектование книжных фондов библиотек муниципального образования</t>
  </si>
  <si>
    <t>Администрация Кировского муниципального района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</si>
  <si>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</si>
  <si>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111 05025 05 0000 120</t>
  </si>
  <si>
    <t>1 11 07015 05 0000 120</t>
  </si>
  <si>
    <t>1 17 05000 00 0000 180</t>
  </si>
  <si>
    <t>ПРОЧИЕ НЕНАЛОГОВЫЕ ДОХОДЫ</t>
  </si>
  <si>
    <t>Мероприятия по предупреждению развития наркомании в районе</t>
  </si>
  <si>
    <t>1 17 05050 05 0000 180</t>
  </si>
  <si>
    <t>730</t>
  </si>
  <si>
    <t>Прочие неналоговые доходы бюджетов муниципальных районов</t>
  </si>
  <si>
    <t>9999000040</t>
  </si>
  <si>
    <t>Субвенции бюджетам муниципальных районов Приморского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</si>
  <si>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    и органов местного самоуправления</t>
  </si>
  <si>
    <t>Субсидии бюджетным учреждениям  (МБУ "КДЦ")</t>
  </si>
  <si>
    <t>Субсидии бюджетным учреждениям (МБУ "КДЦ")</t>
  </si>
  <si>
    <t>Иные межбюджетные трансферты на комплектование книжных фондов библиотек муниципальных образований</t>
  </si>
  <si>
    <t>Создание многофункционального центра</t>
  </si>
  <si>
    <t>Дотации бюджетам муниципальных районов на поддержку мер по обеспечению сбалансированности бюджетов</t>
  </si>
  <si>
    <t>тыс. руб.</t>
  </si>
  <si>
    <t>Массовый спорт</t>
  </si>
  <si>
    <t>Прочие межбюджетные трансферты общего характера</t>
  </si>
  <si>
    <t>Наименование</t>
  </si>
  <si>
    <t>Ведомство</t>
  </si>
  <si>
    <t>Целевая статья</t>
  </si>
  <si>
    <t>Вид расх</t>
  </si>
  <si>
    <t>в том числе:</t>
  </si>
  <si>
    <t>местный бюджет</t>
  </si>
  <si>
    <t>Учреждение: Администрация Кировского муниципального района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</si>
  <si>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</si>
  <si>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</si>
  <si>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Процентные платежи по долговым обязательствам</t>
  </si>
  <si>
    <t>Другие общегосударственные вопросы</t>
  </si>
  <si>
    <t xml:space="preserve">Непрограммные направления деятельности органов местного самоуправления </t>
  </si>
  <si>
    <t>01 05 00 00 00 0000 000</t>
  </si>
  <si>
    <t>Изменение остатков средств на счетах по учету средств</t>
  </si>
  <si>
    <t>Другие вопросы в области национальной экономики</t>
  </si>
  <si>
    <t>Коммунальное хозяйство</t>
  </si>
  <si>
    <t>Поддержка коммунального хозяйства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</si>
  <si>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</si>
  <si>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Мобилизационная и вневойсковая подготовка</t>
  </si>
  <si>
    <t>Другие вопросы в области жилищно-коммунального хозяйства</t>
  </si>
  <si>
    <t>Образование</t>
  </si>
  <si>
    <t>Другие вопросы в области образования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</si>
  <si>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</si>
  <si>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Межбюджетные трансферты, передаваемые бюджетам муниципальных районов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</si>
  <si>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(тыс. руб. )</t>
  </si>
  <si>
    <t>НАЦИОНАЛЬНАЯ ОБОРОНА</t>
  </si>
  <si>
    <t>Субвенции на осуществление первичного воинского учета на территориях, где отсутствуют военные комиссариаты</t>
  </si>
  <si>
    <t>530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</si>
  <si>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</si>
  <si>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</si>
  <si>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</si>
  <si>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черезвычайных ситуаций и стихийных бедствий</t>
  </si>
  <si>
    <t>НАЦИОНАЛЬНАЯ ЭКОНОМИКА</t>
  </si>
  <si>
    <t>08</t>
  </si>
  <si>
    <t>Дорожное хозяйство (дорожные фонды)</t>
  </si>
  <si>
    <t>Содержание автомобильных дорог на территории Кировского района</t>
  </si>
  <si>
    <t>12</t>
  </si>
  <si>
    <t>Подпрограмма  № 5 "Переподготовка и повышение квалификации"</t>
  </si>
  <si>
    <t>Субсидии организациям, образующим инфраструктуру поддержки субъектов малого и среднего предпринимательства, на возмещение затрат, связанных с проведением мероприятий по повышению эффективности и конкурентоспособности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</si>
  <si>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</si>
  <si>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</si>
  <si>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ЖИЛИЩНО-КОММУНАЛЬНОЕ ХОЗЯЙСТВО</t>
  </si>
  <si>
    <t>05</t>
  </si>
  <si>
    <t>Руководство и управление в сфере установленных функций органов государственной власти Приморского края</t>
  </si>
  <si>
    <t>ОБРАЗОВАНИЕ</t>
  </si>
  <si>
    <t>07</t>
  </si>
  <si>
    <t xml:space="preserve">Горненское сельское поселение </t>
  </si>
  <si>
    <t>Благоустройство</t>
  </si>
  <si>
    <t>Захоронение</t>
  </si>
  <si>
    <t>Прочие мероприятия по благоустройству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</si>
  <si>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</si>
  <si>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Учреждение: Дума Кировского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</si>
  <si>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</si>
  <si>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Субвенции бюджетам субъектов Российской Федерации и муниципальных образований</t>
  </si>
  <si>
    <t>Дошкольное образование</t>
  </si>
  <si>
    <t>Мероприятия в сфере образования</t>
  </si>
  <si>
    <t>Охрана семьи и детства</t>
  </si>
  <si>
    <t>1 01 02000 01 0000 110</t>
  </si>
  <si>
    <t>1 12 01000 01 0000 120</t>
  </si>
  <si>
    <t>к решению Думы Кировского</t>
  </si>
  <si>
    <t>муниципального района</t>
  </si>
  <si>
    <t>РАСПРЕДЕЛЕНИЕ</t>
  </si>
  <si>
    <t>0000000</t>
  </si>
  <si>
    <t>000</t>
  </si>
  <si>
    <t>001</t>
  </si>
  <si>
    <t>006</t>
  </si>
  <si>
    <t>003</t>
  </si>
  <si>
    <t>002</t>
  </si>
  <si>
    <t>Глава муниципального образования</t>
  </si>
  <si>
    <t>Обслуживание государственного внутреннего и муниципального долга</t>
  </si>
  <si>
    <t>Транспорт</t>
  </si>
  <si>
    <t>Другие виды транспорта</t>
  </si>
  <si>
    <t>Субсидии на проведение отдельных мероприятий по другим видам транспорта</t>
  </si>
  <si>
    <t>Субвенции на создание и обеспечение деятельности комиссий по делам несовершеннолетних и защите их прав</t>
  </si>
  <si>
    <t>1 05 02000 02 0000 110</t>
  </si>
  <si>
    <t>1 05 03000 01 0000 110</t>
  </si>
  <si>
    <t>ДОХОДЫ ОТ ИСПОЛЬЗОВАНИЯ ИМУЩЕСТВА НАХОДЯЩЕГОСЯ В ГОСУДАРСТВЕННОЙ И МУНИЦИПАЛЬНОЙ СОБСТВЕННОСТИ</t>
  </si>
  <si>
    <t>Субсидии автономным учреждениям</t>
  </si>
  <si>
    <t>Субсидии из местного бюджета на содержание многофункциональных центров предоставления государственных и муниципальных услуг</t>
  </si>
  <si>
    <t>Доходы от сдачи в аренду 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автономных учреждений)</t>
  </si>
  <si>
    <t>Муниципальное казенное учреждение «Центр обслуживания муниципальных образовательных учреждений" Кировского муниципального района Приморского края</t>
  </si>
  <si>
    <t>Учреждение: Муниципальное казенное учреждение «Центр  обслуживания муниципальных образовательных учреждений» Кировского муниципального района Приморского края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</si>
  <si>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автономных учреждений, а так же имущества муниципальных унитарных предприятий, в том числе казенных)</t>
  </si>
  <si>
    <t>1 13 02995 05 0000 130</t>
  </si>
  <si>
    <t>Прочие доходы от компенсации затрат бюджетов муниципальных районов</t>
  </si>
  <si>
    <t>1 14 02050 05 0000 410</t>
  </si>
  <si>
    <t>Мунипальная программа "Развитие МФЦ предоставления государственных и муниципальных услуг населению Кировского муниципального района Приморского края на 2016-2018 годы"</t>
  </si>
  <si>
    <t>Муниципальная программа "Развитие МФЦ предоставления государственных и муниципальных услуг населению Кировского муниципального района на 2016-2018 годы"</t>
  </si>
  <si>
    <t>Муниципальная программа "Доступная среда для инвалидов в  Кировском муниципальном районе на 2016-2019 годы"</t>
  </si>
  <si>
    <t>Муниципальная программа " Доступная среда для инвалидов в Кировском муниципальном районе на 2016-2019 годы"</t>
  </si>
  <si>
    <t>Муниципальная программа " Доступная среда для инвалидов в Кировском Муниципальном районе на 2016-2019 годы"</t>
  </si>
  <si>
    <t>Субсидии бюджетным организациям</t>
  </si>
  <si>
    <t>Субвенции бюджетам муниципальных районов Приморского края  на реализацию  дошкольного, общего  и дополнительного образования в   муниципальных общеобразовательных учреждениях по основным общеобразовательным программам</t>
  </si>
  <si>
    <t xml:space="preserve">Субвенции бюджетам муниципальных районов Приморского края   на обеспечение государственных гарантий реализации прав  на получение общедоступного  и бесплатного дошкольного образования в муниципальных дошкольных образовательных  организациях  </t>
  </si>
  <si>
    <t>0595144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</si>
  <si>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</si>
  <si>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Субвенции бюджетам муниципальных районов Приморского края  на осуществление отдельных государственных  полномочий по государственному управлению  охраной труда </t>
  </si>
  <si>
    <t>Субвенции бюджетам муниципальных районов Приморского края на реализацию отдельных государственных полномочий по созданию административных  комиссий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</si>
  <si>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части реализации основных средств по указанному имуществу</t>
  </si>
  <si>
    <t>Общее образование</t>
  </si>
  <si>
    <t>Культура</t>
  </si>
  <si>
    <t xml:space="preserve">                                                                                        муниципального района</t>
  </si>
  <si>
    <t>1 03 02000 01 0000 110</t>
  </si>
  <si>
    <t>Акцизы по подакцизным товарам (продукции), производимым на территории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</si>
  <si>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</si>
  <si>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</si>
  <si>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</si>
  <si>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</si>
  <si>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1 08 03010 01 0000 110</t>
  </si>
  <si>
    <t>540</t>
  </si>
  <si>
    <t>Иные межбюджетные трансферты бюджетам бюджетной системы</t>
  </si>
  <si>
    <t>2 02 15001 05 0000 151</t>
  </si>
  <si>
    <t>811</t>
  </si>
  <si>
    <t>2 02 20000 00 0000 151</t>
  </si>
  <si>
    <t>Приложение № 2</t>
  </si>
  <si>
    <t>9990051200</t>
  </si>
  <si>
    <t>Подпрограмма № 6 «Организация отдыха  детей»</t>
  </si>
  <si>
    <t>Подпрограмма № 8 "Молодежь Кировского района"</t>
  </si>
  <si>
    <t>0800092070</t>
  </si>
  <si>
    <t>3  02 40014 05 0000 151</t>
  </si>
  <si>
    <t>4  02 40014 05 0000 151</t>
  </si>
  <si>
    <t>5  02 40014 05 0000 151</t>
  </si>
  <si>
    <t>Муниципальная программа "Развитие малого и среднего предпринимательства в Кировском муниципальном районе на 2018-2022 годы"</t>
  </si>
  <si>
    <t>0900000000</t>
  </si>
  <si>
    <t>0900090960</t>
  </si>
  <si>
    <t>1000000000</t>
  </si>
  <si>
    <t>1000020140</t>
  </si>
  <si>
    <t>Муниципальная программа "Развитие образования в Кировском муниципальном районе на 2018-2022 годы"</t>
  </si>
  <si>
    <t>Муниципальная программа "Развитие образования в Кировском муниципальном районе на 2018-2022  годы"</t>
  </si>
  <si>
    <t xml:space="preserve"> Муниципальная программа "Профилактика безнадзорности, беспризорности и правонарушений несовершеннолетних на 2018-2022 годы"</t>
  </si>
  <si>
    <t>Муниципальная программа "Профилактика терроризма и экстремизма в Кировском муниципальном районе на 2018-2022 годы"</t>
  </si>
  <si>
    <t>Подпрограмма № 1 "Развитие и поддержка муниципальных образовательных учреждений"</t>
  </si>
  <si>
    <t>Муниципальная программа "Сохранение и развитие культуры в Кировском муниципальном районе на 2018-2022  годы"</t>
  </si>
  <si>
    <t>Муниципальная программа "Развитие физической культуры и спорта в Кировском муниципальном районе на 2018-2022 годы"</t>
  </si>
  <si>
    <t>Подпрограмма № 9 «Предупреждение развития наркомании в районе»</t>
  </si>
  <si>
    <t>Муниципальная программа «Развитие малого и среднего предпринимательства в Кировском муниципальном районе на 2018-2022 годы»</t>
  </si>
  <si>
    <t>Доплата к  пенсии  муниципальным служащим</t>
  </si>
  <si>
    <t>Муниципальная программа «Развитие образования в Кировском муниципальном районе на 2018-2022 гг.»</t>
  </si>
  <si>
    <t>Муниципальная программа "Профилактика безнадзорности, беспризорности и правонарушений несовершеннолетних на 2018-2022 годы"</t>
  </si>
  <si>
    <t>Муниципальная программа "Профилактика экстремизма и терроризма на территории Кировского района на 2018-2022 годы"</t>
  </si>
  <si>
    <t>Муниципальная программа "Сохранение и развитие культуры в Кировском муниципальном районе на 2018-2022 годы"</t>
  </si>
  <si>
    <t>Муниципальная программа "Патриотическое воспитание граждан в Кировском муниципальном районе на 2018-2022 годы"</t>
  </si>
  <si>
    <t>Муниципальная программа "Профилактика экстремизма и терроризма на территории Кировского муниципального района на 2018-2022 годы"</t>
  </si>
  <si>
    <t>Межбюджетные трансферты, передаваемые бюджетам муниципальных районов 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</si>
  <si>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Мероприятия в области коммунального хозяйства </t>
  </si>
  <si>
    <t>Муниципальная программа "Развитие транспортной инфраструктуры и осуществление дорожной деятельности в отношении автомобильных дорог местного значения в границах Кировского муниципального района на 2018-2022 гг."</t>
  </si>
  <si>
    <t>1000010160</t>
  </si>
  <si>
    <t>1000010162</t>
  </si>
  <si>
    <t>1000010161</t>
  </si>
  <si>
    <t>Муниципальная программа «Развитие транспортной инфраструктуры и осуществление дорожной деятельности в отношении автомобильных дорог местного значения в границах Кировского муниципального района на 2018-2022 гг.»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</si>
  <si>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 же средства от  продажи права на заключение договоров аренды указанных земельных участков</t>
  </si>
  <si>
    <t>9990093110</t>
  </si>
  <si>
    <t>0180020000</t>
  </si>
  <si>
    <t>0700020270</t>
  </si>
  <si>
    <t>07000L0270</t>
  </si>
  <si>
    <t>Подпрограмма № 10 «Другие вопросы в области культуры на осуществление части полномочий в соответствии с  заключенными соглашениями (организация досуга и обеспечение услугами культуры)»</t>
  </si>
  <si>
    <t>иные межбюджетные трансферты (переданные полномочия поселений по культуре МКУ "ЦОМОУ")</t>
  </si>
  <si>
    <t>0640020141</t>
  </si>
  <si>
    <t>Обеспечение проведения выборов и референдумов</t>
  </si>
  <si>
    <t>Непрограммные направления деятельности муниципальных органов</t>
  </si>
  <si>
    <t>Проведение выборов в представительные органы муниципального образования</t>
  </si>
  <si>
    <t>9990010109</t>
  </si>
  <si>
    <t>Мероприятия гос.программы РФ "Доступная среда "на 2011-2020 годы (МБУ "КДЦ")</t>
  </si>
  <si>
    <t>Мероприятия гос.программы РФ "Доступная среда "на 2011-2020 годы (МБУ "КДЦ"</t>
  </si>
  <si>
    <t>За счет средств местного бюджета</t>
  </si>
  <si>
    <t>1 14 06013 13 0000 430</t>
  </si>
  <si>
    <t>9990091030</t>
  </si>
  <si>
    <t>Иные межбюджетные трансферты бюджетам бюджетной системы (по Указу Президента Российской Федерации от 7 мая 2012 года N 597 "О мероприятиях по реализации государственной социальной политики" в части мероприятий, направленных на повышение средней заработной платы работников муниципальных учреждений культуры)</t>
  </si>
  <si>
    <t>Иные межбюджетные трансферты бюджетам городских поселений Кировского муниципального района  из местного бюджета на ремонт автомобильных дорог общего пользования местного значения в границах населенных пунктов</t>
  </si>
  <si>
    <t>1000010163</t>
  </si>
  <si>
    <t>Плата за пользование имуществом</t>
  </si>
  <si>
    <t>9990010110</t>
  </si>
  <si>
    <t>Иные межбюджетные трансферты бюджетам сельских поселений Кировского муниципального района  из местного бюджета на содержание и ремонт автомобильных дорог общего пользования местного значения в границах населенных пунктов</t>
  </si>
  <si>
    <t>1000010164</t>
  </si>
  <si>
    <t>Сумма на 2021 год</t>
  </si>
  <si>
    <t>Общий объем на 2021 г.</t>
  </si>
  <si>
    <t>Сумма 
на 2021 год</t>
  </si>
  <si>
    <t xml:space="preserve">ДОТАЦИИ
на выравнивание уровня бюджетной обеспеченности из районного фонда
финансовой поддержки поселений Кировского муниципального района
в 2021 году 
</t>
  </si>
  <si>
    <t>Объем средств на 2021 год</t>
  </si>
  <si>
    <t>Приложение № 1.1</t>
  </si>
  <si>
    <t>Приложение  № 3</t>
  </si>
  <si>
    <t>1200093110</t>
  </si>
  <si>
    <t>1200012261</t>
  </si>
  <si>
    <t>1200012262</t>
  </si>
  <si>
    <t>1200012263</t>
  </si>
  <si>
    <t>1200051180</t>
  </si>
  <si>
    <t>1100000000</t>
  </si>
  <si>
    <t>1100011160</t>
  </si>
  <si>
    <t>Муниципальная программа "Энергосбережение и повышение энергетической эффективности в муниципальных учреждениях Кировского муниципального района" на 2019-2021 годы"</t>
  </si>
  <si>
    <t>1200000000</t>
  </si>
  <si>
    <t>0700020271</t>
  </si>
  <si>
    <t>0700020272</t>
  </si>
  <si>
    <t>мероприятия по МКУ ЦОМОУ</t>
  </si>
  <si>
    <t>Субвенции на осуществление первичного воинского учета на территориях, где отсутствуют военные комиссариаты (межбюджетные трансферты)</t>
  </si>
  <si>
    <t>Процентные платежи по муниципальному долгу</t>
  </si>
  <si>
    <t>Субвенции бюджетам муниципальных районов Приморского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 (межбюджетные трансферты)</t>
  </si>
  <si>
    <t>Финансовое обеспечение выполнения муниципального задания клубными учреждениями МБУ КДЦ Кировского муниципального района</t>
  </si>
  <si>
    <t>Финансовое обеспечение выполнения муниципального задания межпоселенческой центральной библиотекой МБУ КДЦ Кировского муниципального района</t>
  </si>
  <si>
    <t>Финансовое обеспечение выполнения муниципального задания районным музеем им. В.М. Малаева  и культурно-этнографическим музеем-комплексом "Крестьянская усадьба. Начало ХХ века." с. Подгорное МБУ КДЦ Кировского муниципального района</t>
  </si>
  <si>
    <t>Финансовое обеспечение (бухгалтерский учет) МБУ КДЦ Кировского муниципального района</t>
  </si>
  <si>
    <t>Финансовое обеспечение клубных учреждений сельских поселений (Крыловское сельское поселение, Руновское сельское поселение (оказание услуг, выполнение работ)</t>
  </si>
  <si>
    <t>Субсидии бюджетным учреждениям (КДЦ)</t>
  </si>
  <si>
    <t>Финансовое обеспечение (бухгалтерский учет) МБУ КДЦ Кировского муниципального района. Субсидии бюджетным учреждениям</t>
  </si>
  <si>
    <t>Финансовое обеспечение (бухгалтерский учет)</t>
  </si>
  <si>
    <t>Меропрятия по ликвидации МАУ "МФЦ"</t>
  </si>
  <si>
    <t>9990010120</t>
  </si>
  <si>
    <t>Общий объем на 2021 г</t>
  </si>
  <si>
    <t>Муниципальная программа "Совершенствование межбюджетных отношений и управление муниципальным долгом в Кировском муниципальном районе на 2019-2021 годы"</t>
  </si>
  <si>
    <t>1 14 06025 05 0000 430</t>
  </si>
  <si>
    <t>2 02 35930 05 0000 150</t>
  </si>
  <si>
    <t>2 02 30000 00 0000 150</t>
  </si>
  <si>
    <t>2 02 15002 05 0000 150</t>
  </si>
  <si>
    <t>2 02 35120 05 0000 150</t>
  </si>
  <si>
    <t>2 02 30024 05 0000 150</t>
  </si>
  <si>
    <t>Специальные расходы</t>
  </si>
  <si>
    <t>880</t>
  </si>
  <si>
    <t>Резервный фонд администрации Кировского муниципального района</t>
  </si>
  <si>
    <t>9990010140</t>
  </si>
  <si>
    <t>Руководство и управление в сфере установленных функций органов местного самоуправления  (УМСАиПЭ)</t>
  </si>
  <si>
    <t>Обеспечение детей 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</si>
  <si>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99900М0820</t>
  </si>
  <si>
    <t>1300000000</t>
  </si>
  <si>
    <t>Основное мероприятие "Совершенствование системы противодействия коррупции в Кировском районе"</t>
  </si>
  <si>
    <t>1300013000</t>
  </si>
  <si>
    <t xml:space="preserve">Мероприятия по противодействию коррупции </t>
  </si>
  <si>
    <t>1300013360</t>
  </si>
  <si>
    <t xml:space="preserve">Субвенции бюджетам муниципальных районов Приморского края  на реализацию 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 </t>
  </si>
  <si>
    <t>9990093130</t>
  </si>
  <si>
    <t xml:space="preserve">Содержание дорожной техники </t>
  </si>
  <si>
    <t>9990010150</t>
  </si>
  <si>
    <t>Мероприятия в области коммунального хозяйства (содержание интерната)</t>
  </si>
  <si>
    <t>Муниципальная программа "Организация обеспечения  твердым топливом населения, проживающего на территории сельских поселений Кировского муниципального района" на 2019 – 2021 годы</t>
  </si>
  <si>
    <t>1400000000</t>
  </si>
  <si>
    <t>Возмещение затрат или недополученных доходов от обеспечения граждан твердым топливом в границах Кировского  муниципального района</t>
  </si>
  <si>
    <t>1400192620</t>
  </si>
  <si>
    <t>Содержание жилых помещений, приобретаемых в рамках выполнения полномочий по обеспечению детей сирот и детей, оставшихся без попечения родителей, лиц из числа детей -сирот и детей, оставшихся без попечения родителей, жилыми помещениями</t>
  </si>
  <si>
    <t>9990010160</t>
  </si>
  <si>
    <t xml:space="preserve">Непрограммные направления деятельности </t>
  </si>
  <si>
    <t>Погашение кредиторской задолженности прошлых лет (САДЫ)</t>
  </si>
  <si>
    <t>9990010130</t>
  </si>
  <si>
    <t>Мероприятия по созданию в общеобразовательных организациях, расположенных в сельской местности, условий для занятий физической культурой и спортом</t>
  </si>
  <si>
    <t>0110020000</t>
  </si>
  <si>
    <t>011E250970</t>
  </si>
  <si>
    <t>Субвенции  на обеспечение   бесплатным питанием детей, обучающихся муниципальных общеобразовательных учреждениях</t>
  </si>
  <si>
    <t>0110093150</t>
  </si>
  <si>
    <t>Дополнительное образование</t>
  </si>
  <si>
    <t xml:space="preserve">Погашение кредиторской задолженности прошлых лет </t>
  </si>
  <si>
    <t>Мероприятия по обеспечению развития и укрепления материально-технической базы домов культуры в населенных пунктах с числом жителей до 50 тыс. человек</t>
  </si>
  <si>
    <t xml:space="preserve">Субсидии бюджетам муниципальных образований на обеспечение развития и укрепления материально-технической базы домов культуры в населенных пунктах с числом жителей до 50 тыс. человек </t>
  </si>
  <si>
    <t>06100R4670</t>
  </si>
  <si>
    <t>06100S4670</t>
  </si>
  <si>
    <t>Мероприятия по комплектованию книжных фондов и обеспечению информационно- техническим оборудованием библиотек</t>
  </si>
  <si>
    <t>0620000000</t>
  </si>
  <si>
    <t>0620092540</t>
  </si>
  <si>
    <t>0620020141</t>
  </si>
  <si>
    <t>Доплата к пенсиям, дополнительное пенсионное обеспечение</t>
  </si>
  <si>
    <t>Социальное обеспечение населения</t>
  </si>
  <si>
    <t>Субвенции бюджетам муниципальных образований Приморского края на меры социальной поддержки педагогическим работникам краевых государственных и муниципальных образовательных организаций Приморского края</t>
  </si>
  <si>
    <t>Капитальные вложения в объекты государственной (муниципальной собственности)</t>
  </si>
  <si>
    <t>400</t>
  </si>
  <si>
    <t>Бюджетные инвестиции</t>
  </si>
  <si>
    <t>410</t>
  </si>
  <si>
    <t>Мероприятия по развитию спортивной инфраструктуры, находящейся в муниципальной собственности</t>
  </si>
  <si>
    <t>040P592190</t>
  </si>
  <si>
    <t xml:space="preserve">Предоставление субсидий бюджетным, автономным учреждениям и иным некоммерческим организациям </t>
  </si>
  <si>
    <t>040P592191</t>
  </si>
  <si>
    <t xml:space="preserve">Мероприятия по приобретению музыкальных инструментов и художественного инвентаря для учреждений дополнительного образования детей в сфере культуры </t>
  </si>
  <si>
    <r>
      <t xml:space="preserve">Расходы на  приобретение музыкальных инструментов и художественного инвентаря для учреждений дополнительного образования детей в сфере культуры за счет средств </t>
    </r>
    <r>
      <rPr>
        <b/>
        <sz val="12"/>
        <rFont val="Times New Roman"/>
        <family val="1"/>
      </rPr>
      <t>местного бюджета</t>
    </r>
    <r>
      <rPr>
        <sz val="12"/>
        <rFont val="Times New Roman"/>
        <family val="1"/>
      </rPr>
      <t>, в целях софинансирования которых из бюджета Приморского края предоставляются субсидии</t>
    </r>
  </si>
  <si>
    <r>
      <t xml:space="preserve">Иные закупки товаров, работ и услуг для обеспечения государственных (муниципальных) нужд </t>
    </r>
    <r>
      <rPr>
        <b/>
        <sz val="12"/>
        <rFont val="Times New Roman"/>
        <family val="1"/>
      </rPr>
      <t>(отдел образования администрации КМР)</t>
    </r>
  </si>
  <si>
    <r>
      <t xml:space="preserve">Иные закупки товаров, работ и услуг для обеспечения государственных (муниципальных) нужд </t>
    </r>
    <r>
      <rPr>
        <b/>
        <sz val="12"/>
        <rFont val="Times New Roman"/>
        <family val="1"/>
      </rPr>
      <t>(МКУ "ЦОМОУ")</t>
    </r>
  </si>
  <si>
    <r>
      <t xml:space="preserve">Расходы на обеспечение развития и укрепления материально-технической базы домов культуры в населенных пунктах с числом жителей до 50 тыс. человек за счет средств </t>
    </r>
    <r>
      <rPr>
        <b/>
        <i/>
        <sz val="12"/>
        <rFont val="Times New Roman"/>
        <family val="1"/>
      </rPr>
      <t>местного бюджета</t>
    </r>
    <r>
      <rPr>
        <i/>
        <sz val="12"/>
        <rFont val="Times New Roman"/>
        <family val="1"/>
      </rPr>
      <t>, в целях софинансирования которых из бюджета Приморского края предоставляются субсидии</t>
    </r>
  </si>
  <si>
    <r>
      <t xml:space="preserve">Субсидии бюджетам муниципальных образований на комплектование книжных фондов и обеспечение информационно- техническим оборудованием библиотек </t>
    </r>
    <r>
      <rPr>
        <b/>
        <i/>
        <sz val="12"/>
        <rFont val="Times New Roman"/>
        <family val="1"/>
      </rPr>
      <t>(краевой бюджет)</t>
    </r>
  </si>
  <si>
    <r>
      <t xml:space="preserve">Расходы на комплектование книжных фондов и обеспечение информационно- техническим оборудованием библиотек за счет средств </t>
    </r>
    <r>
      <rPr>
        <b/>
        <i/>
        <sz val="12"/>
        <rFont val="Times New Roman"/>
        <family val="1"/>
      </rPr>
      <t>местного бюджета</t>
    </r>
    <r>
      <rPr>
        <i/>
        <sz val="12"/>
        <rFont val="Times New Roman"/>
        <family val="1"/>
      </rPr>
      <t>, в целях софинансирования которых из бюджета Приморского края предоставляются субсидии</t>
    </r>
  </si>
  <si>
    <r>
      <t xml:space="preserve">Субсидии бюджетам муниципальных образований Приморского края на развитие спортивной инфраструктуры, находящейся в муниципальной собственности </t>
    </r>
    <r>
      <rPr>
        <b/>
        <i/>
        <sz val="12"/>
        <rFont val="Times New Roman"/>
        <family val="1"/>
      </rPr>
      <t>(краевой бюджет)</t>
    </r>
  </si>
  <si>
    <r>
      <t xml:space="preserve">Иные закупки товаров, работ и услуг для обеспечения государственных (муниципальных) нужд </t>
    </r>
    <r>
      <rPr>
        <b/>
        <sz val="12"/>
        <rFont val="Times New Roman"/>
        <family val="1"/>
      </rPr>
      <t>(администрация КМР)</t>
    </r>
  </si>
  <si>
    <r>
      <t xml:space="preserve">Расходы на развитие спортивной инфраструктуры, находящейся в муниципальной собственности за счет средств </t>
    </r>
    <r>
      <rPr>
        <b/>
        <i/>
        <sz val="12"/>
        <rFont val="Times New Roman"/>
        <family val="1"/>
      </rPr>
      <t>местного бюджета</t>
    </r>
    <r>
      <rPr>
        <i/>
        <sz val="12"/>
        <rFont val="Times New Roman"/>
        <family val="1"/>
      </rPr>
      <t>, в целях софинансирования которых из бюджета Приморского края предоставляются субсидии</t>
    </r>
  </si>
  <si>
    <t xml:space="preserve"> Мероприятия по противодействию коррупции </t>
  </si>
  <si>
    <r>
      <t xml:space="preserve">Расходы на обеспечение развития и укрепления материально-технической базы домов культуры в населенных пунктах с числом жителей до 50 тыс. человек за счет средств </t>
    </r>
    <r>
      <rPr>
        <b/>
        <i/>
        <sz val="11"/>
        <rFont val="Times New Roman"/>
        <family val="1"/>
      </rPr>
      <t>местного бюджета</t>
    </r>
    <r>
      <rPr>
        <i/>
        <sz val="11"/>
        <rFont val="Times New Roman"/>
        <family val="1"/>
      </rPr>
      <t>, в целях софинансирования которых из бюджета Приморского края предоставляются субсидии</t>
    </r>
  </si>
  <si>
    <r>
      <t xml:space="preserve">Субсидии бюджетам муниципальных образований на комплектование книжных фондов и обеспечение информационно- техническим оборудованием библиотек </t>
    </r>
    <r>
      <rPr>
        <b/>
        <i/>
        <sz val="11"/>
        <rFont val="Times New Roman"/>
        <family val="1"/>
      </rPr>
      <t>(краевой бюджет)</t>
    </r>
  </si>
  <si>
    <r>
      <t xml:space="preserve">Расходы на комплектование книжных фондов и обеспечение информационно- техническим оборудованием библиотек за счет средств </t>
    </r>
    <r>
      <rPr>
        <b/>
        <i/>
        <sz val="11"/>
        <rFont val="Times New Roman"/>
        <family val="1"/>
      </rPr>
      <t>местного бюджета</t>
    </r>
    <r>
      <rPr>
        <i/>
        <sz val="11"/>
        <rFont val="Times New Roman"/>
        <family val="1"/>
      </rPr>
      <t>, в целях софинансирования которых из бюджета Приморского края предоставляются субсидии</t>
    </r>
  </si>
  <si>
    <t>Обеспечение детей сирот и детей, оставшихся без попечения родителей, лиц из числа детей -сирот и детей, оставшихся без попечения родителей, жилыми помещениями</t>
  </si>
  <si>
    <r>
      <t xml:space="preserve">Субсидии бюджетам муниципальных образований Приморского края на развитие спортивной инфраструктуры, находящейся в муниципальной собственности </t>
    </r>
    <r>
      <rPr>
        <b/>
        <i/>
        <sz val="11"/>
        <rFont val="Times New Roman"/>
        <family val="1"/>
      </rPr>
      <t>(краевой бюджет)</t>
    </r>
  </si>
  <si>
    <r>
      <t xml:space="preserve">Расходы на развитие спортивной инфраструктуры, находящейся в муниципальной собственности за счет средств </t>
    </r>
    <r>
      <rPr>
        <b/>
        <i/>
        <sz val="11"/>
        <rFont val="Times New Roman"/>
        <family val="1"/>
      </rPr>
      <t>местного бюджета</t>
    </r>
    <r>
      <rPr>
        <i/>
        <sz val="11"/>
        <rFont val="Times New Roman"/>
        <family val="1"/>
      </rPr>
      <t>, в целях софинансирования которых из бюджета Приморского края предоставляются субсидии</t>
    </r>
  </si>
  <si>
    <t>Учреждение: финансовое  управление администрации Кировского муниципального района</t>
  </si>
  <si>
    <r>
      <t>Субсидии бюджетам муниципальных образований на  приобретение музыкальных инструментов и художественного инвентаря для учреждений дополнительного образования детей в сфере культуры (</t>
    </r>
    <r>
      <rPr>
        <b/>
        <sz val="12"/>
        <rFont val="Times New Roman"/>
        <family val="1"/>
      </rPr>
      <t>краевой бюджет)</t>
    </r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</si>
  <si>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занятий физической культурой и спортом (краевой бюджет)</t>
  </si>
  <si>
    <t xml:space="preserve">Субвенции  на обеспечение   бесплатным питанием детей, обучающихся муниципальных общеобразовательных учреждениях </t>
  </si>
  <si>
    <t>952</t>
  </si>
  <si>
    <t>953</t>
  </si>
  <si>
    <t>954</t>
  </si>
  <si>
    <t>Субсидии бюджетам муниципальных образований Приморского края на развитие спортивной инфраструктуры, находящейся в муниципальной собственности (краевой бюджет) (администрация КМР)</t>
  </si>
  <si>
    <t>0610060000</t>
  </si>
  <si>
    <t>Расходы на обеспечение развития и укрепления материально-технической базы домов культуры в населенных пунктах с числом жителей до 50 тыс. человек за счет средств местного бюджета, в целях софинансирования которых из бюджета Приморского края предоставляются субсидии</t>
  </si>
  <si>
    <t>Субсидии бюджетам муниципальных образований на комплектование книжных фондов и обеспечение информационно- техническим оборудованием библиотек (краевой бюджет)</t>
  </si>
  <si>
    <t>Расходы на комплектование книжных фондов и обеспечение информационно- техническим оборудованием библиотек за счет средств местного бюджета, в целях софинансирования которых из бюджета Приморского края предоставляются субсидии</t>
  </si>
  <si>
    <t>Муниципальная программа "Энергосбережение и повышение энергетической эффективности в муниципальных учреждениях Кировского муниципального района на 2019-2021 годы"</t>
  </si>
  <si>
    <t>Возмещение затрат или недополученных доходов от обеспечения граждан твердым топливом в границах Кировского  муниципального района (краевой бюджет)</t>
  </si>
  <si>
    <t>Возмещение затрат или недополученных доходов от обеспечения граждан твердым топливом в границах Кировского  муниципального района (местный бюджет)</t>
  </si>
  <si>
    <t>Погашение кредиторской задолженности бюджетных учреждений</t>
  </si>
  <si>
    <t xml:space="preserve"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 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</si>
  <si>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сельских  поселений а так же средства от продажи права на заключение договоров аренды указанных участков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</si>
  <si>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</si>
  <si>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</si>
  <si>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2 02 15000 00 0000 150</t>
  </si>
  <si>
    <t>2 02 29999 05 0000 150</t>
  </si>
  <si>
    <t>Субсидии                                                                                                             
из краевого бюджета бюджетам муниципальных образований Приморского края на развитие спортивной инфраструктуры, находящейся в муниципальной собственности</t>
  </si>
  <si>
    <t>Субвенции  бюджетам муниципальных районов Приморского края на осуществление отдельных государственных полномочий по обеспечению   бесплатным питанием детей, обучающихся в муниципальных образовательных организациях Приморского края</t>
  </si>
  <si>
    <t>202 30024 05 0000 150</t>
  </si>
  <si>
    <t xml:space="preserve">Субвенции бюджетам муниципальных районов Приморского края  на осуществление отдельных государственных  полномочий по обеспечению мер социальной поддержки педагогическим работникам муниципальных образовательных организаций </t>
  </si>
  <si>
    <t>2 02 30029 05 0000 150</t>
  </si>
  <si>
    <t>2 02 40000 00 0000 150</t>
  </si>
  <si>
    <t>2  02 40014 05 0000 150</t>
  </si>
  <si>
    <t>Сумма на 2022 год</t>
  </si>
  <si>
    <t>Налог, взимаемый в связи с применением упрощенной системы налогообложения</t>
  </si>
  <si>
    <r>
      <rPr>
        <i/>
        <sz val="11"/>
        <rFont val="Times New Roman"/>
        <family val="1"/>
      </rPr>
      <t>Субсидии</t>
    </r>
    <r>
      <rPr>
        <sz val="11"/>
        <rFont val="Times New Roman"/>
        <family val="1"/>
      </rPr>
      <t xml:space="preserve"> бюджетам муниципальных образований на  приобретение музыкальных инструментов и художественного инвентаря для учреждений дополнительного образования детей в сфере культуры (краевой бюджет)</t>
    </r>
  </si>
  <si>
    <r>
      <t xml:space="preserve">Расходы на  приобретение музыкальных инструментов и художественного инвентаря для учреждений дополнительного образования детей в сфере культуры за счет средств </t>
    </r>
    <r>
      <rPr>
        <b/>
        <i/>
        <sz val="11"/>
        <rFont val="Times New Roman"/>
        <family val="1"/>
      </rPr>
      <t>местного бюджета,</t>
    </r>
    <r>
      <rPr>
        <sz val="11"/>
        <rFont val="Times New Roman"/>
        <family val="1"/>
      </rPr>
      <t xml:space="preserve"> в целях софинансирования которых из бюджета Приморского края предоставляются субсидии</t>
    </r>
  </si>
  <si>
    <t>2 02 25467 05 0000 150</t>
  </si>
  <si>
    <t>Объем средств на 2022 год</t>
  </si>
  <si>
    <t>Субсидии бюджетам муниципальных образований на  приобретение музыкальных инструментов и художественного инвентаря для учреждений дополнительного образования детей в сфере культуры (краевой бюджет)</t>
  </si>
  <si>
    <t>Расходы на  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местного бюджета, в целях софинансирования которых из бюджета Приморского края предоставляются субсидии</t>
  </si>
  <si>
    <t>Прочие межбюджетные трансферты общего характера (дотация на сбалансированность)</t>
  </si>
  <si>
    <t xml:space="preserve">За счет средств краевого бюджета </t>
  </si>
  <si>
    <t>Разница</t>
  </si>
  <si>
    <t>Субсидии бюджетам муниципальных образований Приморского края на капитальный ремонт оздоровительных лагерей, находящихся в собственности муниципальных образований</t>
  </si>
  <si>
    <t>Субсидии бюджетам муниципальных образований Приморского края на комплектование книжных фондов и обеспечение информационно - техническим оборудованием библиотек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</si>
  <si>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</si>
  <si>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</si>
  <si>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</si>
  <si>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1100011161</t>
  </si>
  <si>
    <t>Мероприятия по строительству, реконструкции и приобретению зданий муниципальных общеобразовательных организаций (строительство школы в с. Уссурка)</t>
  </si>
  <si>
    <t>Субсидии бюджетам муниципальных образований Приморского края на строительство, реконструкцию и приобретение зданий муниципальных общеобразовательных организаций (краевой бюджет)</t>
  </si>
  <si>
    <t>Расходы на строительство, реконструкцию и приобретение зданий муниципальных общеобразовательных организаций за счет средств местного бюджета, в целях софинансирования которых из бюджета Приморского края предоставляются субсидии</t>
  </si>
  <si>
    <t xml:space="preserve">Мероприятия по капитальному ремонту оздоровительных лагерей, находящихся в собственности муниципальных образований </t>
  </si>
  <si>
    <t>Субсидии бюджетам муниципальных образований на  капитальный ремонт оздоровительных лагерей, находящихся в собственности муниципальных образований (краевой бюджет)</t>
  </si>
  <si>
    <t>Расходы на  капитальный ремонт оздоровительных лагерей, находящихся в собственности муниципальных образований за счет средств местного бюджета, в целях софинансирования которых из бюджета Приморского края предоставляются субсидии</t>
  </si>
  <si>
    <t xml:space="preserve">Реализация государственных полномочий органов опеки и попечительства в отношении несовершеннолетних </t>
  </si>
  <si>
    <t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</si>
  <si>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Реализация государственного полномочия по назначению и предоставлению выплаты единовременного пособия при передаче ребенка на воспитание в семью</t>
  </si>
  <si>
    <t>Субвенции бюджетам муниципальных районов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</si>
  <si>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1000010165</t>
  </si>
  <si>
    <t>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</t>
  </si>
  <si>
    <t>Субсидии бюджетам муниципальных образований Приморского края на строительство, реконструкцию и приобретение зданий муниципальных общеобразовательных организаций</t>
  </si>
  <si>
    <t>Мероприятия по строительству, реконструкции и приобретению зданий муниципальных общеобразовательных организаций</t>
  </si>
  <si>
    <r>
      <t>Субсидии бюджетам муниципальных образований на  капитальный ремонт оздоровительных лагерей, находящихся в собственности муниципальных образований (</t>
    </r>
    <r>
      <rPr>
        <b/>
        <sz val="12"/>
        <rFont val="Times New Roman"/>
        <family val="1"/>
      </rPr>
      <t>краевой бюджет)</t>
    </r>
  </si>
  <si>
    <r>
      <t xml:space="preserve">Расходы на  капитальный ремонт оздоровительных лагерей, находящихся в собственности муниципальных образований за счет средств </t>
    </r>
    <r>
      <rPr>
        <b/>
        <sz val="12"/>
        <rFont val="Times New Roman"/>
        <family val="1"/>
      </rPr>
      <t>местного бюджета</t>
    </r>
    <r>
      <rPr>
        <sz val="12"/>
        <rFont val="Times New Roman"/>
        <family val="1"/>
      </rPr>
      <t>, в целях софинансирования которых из бюджета Приморского края предоставляются субсидии</t>
    </r>
  </si>
  <si>
    <r>
      <t>Субсидии бюджетам муниципальных образований на  капитальный ремонт оздоровительных лагерей, находящихся в собственности муниципальных образований (</t>
    </r>
    <r>
      <rPr>
        <b/>
        <sz val="11"/>
        <rFont val="Times New Roman"/>
        <family val="1"/>
      </rPr>
      <t>краевой бюджет)</t>
    </r>
  </si>
  <si>
    <r>
      <t xml:space="preserve">Расходы на  капитальный ремонт оздоровительных лагерей, находящихся в собственности муниципальных образований за счет средств </t>
    </r>
    <r>
      <rPr>
        <b/>
        <sz val="11"/>
        <rFont val="Times New Roman"/>
        <family val="1"/>
      </rPr>
      <t>местного бюджета</t>
    </r>
    <r>
      <rPr>
        <sz val="11"/>
        <rFont val="Times New Roman"/>
        <family val="1"/>
      </rPr>
      <t>, в целях софинансирования которых из бюджета Приморского края предоставляются субсидии</t>
    </r>
  </si>
  <si>
    <t xml:space="preserve">Субвенции бюджетам муниципальных районов Приморского края на реализацию государственных полномочий органов опеки и попечительства в отношении несовершеннолетних </t>
  </si>
  <si>
    <t>0110092040</t>
  </si>
  <si>
    <t>0110020044</t>
  </si>
  <si>
    <t>011Е593140</t>
  </si>
  <si>
    <t>0190020041</t>
  </si>
  <si>
    <t>0140092030</t>
  </si>
  <si>
    <t>0300030363</t>
  </si>
  <si>
    <t>Иные межбюджетные трансферты общего характера (в целях компенсации расходов в связи с увеличением ставки налога на имущество организаций в отношении объектов социально-культурной сферы)</t>
  </si>
  <si>
    <t>9990093160</t>
  </si>
  <si>
    <t>9990093050</t>
  </si>
  <si>
    <t>9990052600</t>
  </si>
  <si>
    <t>Расходы на подготовку документации для выхода на аукцион на право проведения проектно-изыскательских работ по строительству здания муниципальной общеобразовательной организации (с. Уссурка)</t>
  </si>
  <si>
    <r>
      <t xml:space="preserve">Субсидии бюджетам муниципальных образований Приморского края на строительство, реконструкцию и приобретение зданий муниципальных общеобразовательных организаций </t>
    </r>
    <r>
      <rPr>
        <b/>
        <sz val="12"/>
        <rFont val="Times New Roman"/>
        <family val="1"/>
      </rPr>
      <t>(краевой бюджет)</t>
    </r>
  </si>
  <si>
    <r>
      <t xml:space="preserve">Расходы на строительство, реконструкцию и приобретение зданий муниципальных общеобразовательных организаций за счет средств </t>
    </r>
    <r>
      <rPr>
        <b/>
        <sz val="12"/>
        <rFont val="Times New Roman"/>
        <family val="1"/>
      </rPr>
      <t>местного бюджета</t>
    </r>
    <r>
      <rPr>
        <sz val="12"/>
        <rFont val="Times New Roman"/>
        <family val="1"/>
      </rPr>
      <t>, в целях софинансирования которых из бюджета Приморского края предоставляются субсидии</t>
    </r>
  </si>
  <si>
    <t>Мероприятия по предупреждению терроризма (администрация)</t>
  </si>
  <si>
    <t>Молодежная политика</t>
  </si>
  <si>
    <r>
      <t xml:space="preserve">Субсидии бюджетам муниципальных образований Приморского края на строительство, реконструкцию и приобретение зданий муниципальных общеобразовательных организаций </t>
    </r>
    <r>
      <rPr>
        <b/>
        <sz val="11"/>
        <rFont val="Times New Roman"/>
        <family val="1"/>
      </rPr>
      <t>(краевой бюджет)</t>
    </r>
  </si>
  <si>
    <r>
      <t xml:space="preserve">Расходы на строительство, реконструкцию и приобретение зданий муниципальных общеобразовательных организаций за счет средств </t>
    </r>
    <r>
      <rPr>
        <b/>
        <sz val="11"/>
        <rFont val="Times New Roman"/>
        <family val="1"/>
      </rPr>
      <t>местного бюджета</t>
    </r>
    <r>
      <rPr>
        <sz val="11"/>
        <rFont val="Times New Roman"/>
        <family val="1"/>
      </rPr>
      <t>, в целях софинансирования которых из бюджета Приморского края предоставляются субсидии</t>
    </r>
  </si>
  <si>
    <t>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воспитания в семью</t>
  </si>
  <si>
    <t>202 35260 05 0000 150</t>
  </si>
  <si>
    <t>Субсидии юридическим лицам (кроме некоммерческих организаций), индивидуальным предпринимателям</t>
  </si>
  <si>
    <r>
      <t xml:space="preserve">Субсидии юридическим лицам (кроме некоммерческих организаций), индивидуальным предпринимателям </t>
    </r>
    <r>
      <rPr>
        <b/>
        <sz val="12"/>
        <rFont val="Times New Roman"/>
        <family val="1"/>
      </rPr>
      <t>(краевой бюджет)</t>
    </r>
  </si>
  <si>
    <r>
      <t xml:space="preserve">Субсидии юридическим лицам (кроме некоммерческих организаций), индивидуальным предпринимателям </t>
    </r>
    <r>
      <rPr>
        <b/>
        <sz val="12"/>
        <rFont val="Times New Roman"/>
        <family val="1"/>
      </rPr>
      <t>(местный бюджет)</t>
    </r>
  </si>
  <si>
    <r>
      <t xml:space="preserve">Субсидии юридическим лицам (кроме некоммерческих организаций), индивидуальным предпринимателям </t>
    </r>
    <r>
      <rPr>
        <b/>
        <sz val="11"/>
        <rFont val="Times New Roman"/>
        <family val="1"/>
      </rPr>
      <t>(краевой бюджет)</t>
    </r>
  </si>
  <si>
    <r>
      <t xml:space="preserve">Субсидии юридическим лицам (кроме некоммерческих организаций), индивидуальным предпринимателям </t>
    </r>
    <r>
      <rPr>
        <b/>
        <sz val="11"/>
        <rFont val="Times New Roman"/>
        <family val="1"/>
      </rPr>
      <t>(местный бюджет)</t>
    </r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</si>
  <si>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</si>
  <si>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Субсидии бюджетам муниципальных образований Приморского края на обеспечение граждан твердым топливом</t>
  </si>
  <si>
    <t>1000092390</t>
  </si>
  <si>
    <t>Мероприятия по организации физкультурно-спортивной работы по месту жительства</t>
  </si>
  <si>
    <t xml:space="preserve">Мероприятия по развитию спортивной инфрастурктуры (краевой бюджет) </t>
  </si>
  <si>
    <t xml:space="preserve">Мероприятия по развитию спортивной инфрастурктуры  (местный бюджет) </t>
  </si>
  <si>
    <t>040Р592220</t>
  </si>
  <si>
    <t>041Р592220</t>
  </si>
  <si>
    <t>Капитальный ремонт и ремонт автомобильных дорог общего пользования населенных пунктов</t>
  </si>
  <si>
    <r>
      <t xml:space="preserve">Субсидии бюджетам муниципальных образований Приморского края на организацию физкультурно-спортивной работы по месту жительства </t>
    </r>
    <r>
      <rPr>
        <b/>
        <i/>
        <sz val="11"/>
        <rFont val="Times New Roman"/>
        <family val="1"/>
      </rPr>
      <t>(краевой бюджет)</t>
    </r>
  </si>
  <si>
    <r>
      <t xml:space="preserve">Расходы на организацию физкультурно-спортивной работы по месту жительства за счет средств </t>
    </r>
    <r>
      <rPr>
        <b/>
        <i/>
        <sz val="11"/>
        <rFont val="Times New Roman"/>
        <family val="1"/>
      </rPr>
      <t>местного бюджета</t>
    </r>
    <r>
      <rPr>
        <i/>
        <sz val="11"/>
        <rFont val="Times New Roman"/>
        <family val="1"/>
      </rPr>
      <t>, в целях софинансирования которых из бюджета Приморского края предоставляются субсидии</t>
    </r>
  </si>
  <si>
    <r>
      <t xml:space="preserve">Субсидии бюджетам муниципальных образований Приморского края на организацию физкультурно-спортивной работы по месту жительства </t>
    </r>
    <r>
      <rPr>
        <b/>
        <i/>
        <sz val="12"/>
        <rFont val="Times New Roman"/>
        <family val="1"/>
      </rPr>
      <t>(краевой бюджет)</t>
    </r>
  </si>
  <si>
    <r>
      <t xml:space="preserve">Расходы на организацию физкультурно-спортивной работы по месту жительства за счет средств </t>
    </r>
    <r>
      <rPr>
        <b/>
        <i/>
        <sz val="12"/>
        <rFont val="Times New Roman"/>
        <family val="1"/>
      </rPr>
      <t>местного бюджета</t>
    </r>
    <r>
      <rPr>
        <i/>
        <sz val="12"/>
        <rFont val="Times New Roman"/>
        <family val="1"/>
      </rPr>
      <t>, в целях софинансирования которых из бюджета Приморского края предоставляются субсидии</t>
    </r>
  </si>
  <si>
    <t>0640092480</t>
  </si>
  <si>
    <t>0640192480</t>
  </si>
  <si>
    <t>Реализация государственных полномочий по организации мероприятий при осуществлении деятельности по обращению с животными без владельцев</t>
  </si>
  <si>
    <t>1200012264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</si>
  <si>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</si>
  <si>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Субвенции бюджетам муниципальных   районов на осуществление полномочий Российской Федерации по государственной регистрации актов гражданского состояния</t>
  </si>
  <si>
    <t>Субвенции бюджетам муниципальных образований Приморского края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</si>
  <si>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бюджетам муниципальных образований Приморского края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</si>
  <si>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Составление (изменение) списков кандидатов  в присяжные заседатели федеральных судов общей юрисдикции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</si>
  <si>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</si>
  <si>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Субвенции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</si>
  <si>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0110Б92040</t>
  </si>
  <si>
    <t>0140Б92030</t>
  </si>
  <si>
    <t>1400Б92620</t>
  </si>
  <si>
    <t>1000Б92390</t>
  </si>
  <si>
    <t>2  02 49999 05 0000 150</t>
  </si>
  <si>
    <t xml:space="preserve">Иные межбюджетные трансферты                                                                                                                бюджетам муниципальных образований Приморского края на оказание содействия в подготовке проведения общероссийского  голосования, а также в информировании граждан Российской Федерации о такой подготовке </t>
  </si>
  <si>
    <t xml:space="preserve">Содействие в подготовке проведения общероссийского  голосования, а также в информировании граждан Российской Федерации о такой подготовке </t>
  </si>
  <si>
    <t>Капитальный ремонт и ремонт автомобильных дорог общего пользования населенных пунктов за счет дорожного фонда Приморского края</t>
  </si>
  <si>
    <t>Расходы на капитальный ремонт и ремонт автомобильных дорог общего пользования населенных пунктов за счет дорожного фонда Кировского муниципального района в целях софинансирования субсидии из краевого бюджета</t>
  </si>
  <si>
    <t xml:space="preserve">Субсидии бюджетным учреждениям (краевой бюджет) </t>
  </si>
  <si>
    <t xml:space="preserve">Субсидии бюджетным учреждениям (местный бюджет) </t>
  </si>
  <si>
    <t>Содействие в подготовке проведения общероссийского  голосования (местный бюджет)</t>
  </si>
  <si>
    <t>999W994020</t>
  </si>
  <si>
    <t>999W910170</t>
  </si>
  <si>
    <t>Мероприятия, направленные на предупреждение распространения новой коронавирусной инфекции</t>
  </si>
  <si>
    <t>9990010141</t>
  </si>
  <si>
    <t>0400040470</t>
  </si>
  <si>
    <t>0400040461</t>
  </si>
  <si>
    <t>0400040462</t>
  </si>
  <si>
    <t>0400040463</t>
  </si>
  <si>
    <t>Расходы на подготовку сметной документации, прохождение экспертизы и иные расходы по спортивным объектам</t>
  </si>
  <si>
    <t>Мероприятия по приобретению и поставке спортивного инвентаря, спортивного оборудования и иного имущества для развития лыжного спорта</t>
  </si>
  <si>
    <t>040P592180</t>
  </si>
  <si>
    <r>
      <t>Субсидии бюджетам муниципальных образований Приморского края на приобретение и поставку спортивного инвентаря, спортивного оборудования и иного имущества для развития лыжного спорта</t>
    </r>
    <r>
      <rPr>
        <b/>
        <i/>
        <sz val="12"/>
        <rFont val="Times New Roman"/>
        <family val="1"/>
      </rPr>
      <t>(краевой бюджет)</t>
    </r>
  </si>
  <si>
    <t>Расходы на приобретение и поставку спортивного инвентаря, спортивного оборудования и иного имущества для развития лыжного спорта за счет средств местного бюджета, в целях софинансирования которых из бюджета Приморского края предоставляются субсидии</t>
  </si>
  <si>
    <t>040P592181</t>
  </si>
  <si>
    <t>Субсидии бюджетам муниципальных образований Приморского края на приобретение и поставку спортивного инвентаря, спортивного оборудования и иного имущества для развития лыжного спорта(краевой бюджет)</t>
  </si>
  <si>
    <r>
      <t>Субсидии бюджетам муниципальных образований Приморского края на приобретение и поставку спортивного инвентаря, спортивного оборудования и иного имущества для развития лыжного спорта</t>
    </r>
    <r>
      <rPr>
        <b/>
        <i/>
        <sz val="11"/>
        <rFont val="Times New Roman"/>
        <family val="1"/>
      </rPr>
      <t>(краевой бюджет)</t>
    </r>
  </si>
  <si>
    <t xml:space="preserve">Содействие в подготовке проведения общероссийского  голосования, а также в информировании граждан Российской Федерации о такой подготовке (иные межбюджетные трансферты за счет бюджета Приморского края) </t>
  </si>
  <si>
    <t xml:space="preserve">Содействие в подготовке проведения общероссийского  голосования, а также в информировании граждан Российской Федерации о такой подготовке (местный бюджет) </t>
  </si>
  <si>
    <t>Расходы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</si>
  <si>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999W958530</t>
  </si>
  <si>
    <t xml:space="preserve">Содействие в подготовке проведения общероссийского  голосования, а также в информировании граждан Российской Федерации о такой подготовке  (иные межбюджетные трансферты за счет бюджета Приморского края) </t>
  </si>
  <si>
    <t xml:space="preserve">Прочие субсидии бюджетам муниципальных районов
</t>
  </si>
  <si>
    <t>Субсидии бюджетам муниципальных образований Приморского края  на приобретение музыкальных инструментов и художественного инвентаря для учреждений дополнительного образования детей в сфере культуры</t>
  </si>
  <si>
    <t xml:space="preserve">Субсидии бюджетам муниципальных образований Приморского края на приобретение и поставку спортивного инвентаря, спортивного оборудования и иного имущества для развития лыжного спорта 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</si>
  <si>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</si>
  <si>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 xml:space="preserve">Субсидии бюджетам муниципальных образований Приморского края на организацию физкультурно-спортивной работы по месту жительства </t>
  </si>
  <si>
    <t>2 02 15853 05 0000 150</t>
  </si>
  <si>
    <t>Дотации  бюджетам муниципальных районов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</si>
  <si>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Расходы на приобретение светового, звукового и мультимедийного (светодиодного экрана с комплектующими) оборудования  за счет средств местного бюджета, в целях софинансирования которых из бюджета Приморского края предоставляются субсидии</t>
  </si>
  <si>
    <t>2  02 45303 05 0000 150</t>
  </si>
  <si>
    <t>2 02 35304 05 0000 150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</si>
  <si>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</si>
  <si>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</si>
  <si>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</si>
  <si>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Мероприятия, направленные на ликвидацию чрезвычайной ситуации в связи с появлением очагов африканской чумы свиней на территории Кировского муниципального района</t>
  </si>
  <si>
    <t>9990010142</t>
  </si>
  <si>
    <t>Субвенции на государственную регистрацию актов гражданского состояния за счет средств резервного фонда Правительства Российской Федерации</t>
  </si>
  <si>
    <t>999995930F</t>
  </si>
  <si>
    <t>Субвенции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</si>
  <si>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01100R3041</t>
  </si>
  <si>
    <t>0110053030</t>
  </si>
  <si>
    <t xml:space="preserve">Объемы доходов районного бюджета на  2021 год 
</t>
  </si>
  <si>
    <t>1 05 01000 01 0000 110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</si>
  <si>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</si>
  <si>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Сумма на 2022 г.</t>
  </si>
  <si>
    <t>Сумма на 2023г.</t>
  </si>
  <si>
    <t>Распределение бюджетных ассигнований из районного бюджета на 2021 год по муниципальным программам Кировского  муниципального района и непрограммным направлениям деятельности</t>
  </si>
  <si>
    <t>1500000000</t>
  </si>
  <si>
    <t xml:space="preserve">Обеспечение детей 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</si>
  <si>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Социальная поддержка детей, оставшихся без попечения родителей, и лиц, принявших на воспитание в семью детей, оставшихся без попечения родителей</t>
  </si>
  <si>
    <t>Назначение и предоставление выплаты единовременного пособия при передаче ребенка на воспитание в семью</t>
  </si>
  <si>
    <t>1501093050</t>
  </si>
  <si>
    <t>1502052600</t>
  </si>
  <si>
    <t>15030М0820</t>
  </si>
  <si>
    <t>Мероприятия по переподготовке и повышению кадров</t>
  </si>
  <si>
    <t>Расходы на капитальный ремонт зданий муниципальных общеобразовательных учреждений, в целях софинансирования которых из бюджета Приморского края предоставляются субсидии</t>
  </si>
  <si>
    <t>0110Б92340</t>
  </si>
  <si>
    <t>06100Б0000</t>
  </si>
  <si>
    <t>955</t>
  </si>
  <si>
    <t>956</t>
  </si>
  <si>
    <t>957</t>
  </si>
  <si>
    <t>958</t>
  </si>
  <si>
    <t>963</t>
  </si>
  <si>
    <t>971</t>
  </si>
  <si>
    <t>974</t>
  </si>
  <si>
    <t>978</t>
  </si>
  <si>
    <t>979</t>
  </si>
  <si>
    <t>980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</si>
  <si>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</si>
  <si>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</si>
  <si>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</si>
  <si>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</si>
  <si>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</si>
  <si>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</si>
  <si>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</si>
  <si>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</si>
  <si>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</si>
  <si>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</si>
  <si>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</si>
  <si>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</si>
  <si>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</si>
  <si>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</si>
  <si>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</si>
  <si>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</si>
  <si>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</si>
  <si>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</si>
  <si>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</si>
  <si>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1004</t>
  </si>
  <si>
    <t>1007</t>
  </si>
  <si>
    <t>1008</t>
  </si>
  <si>
    <t>1015</t>
  </si>
  <si>
    <t>1020</t>
  </si>
  <si>
    <t>1025</t>
  </si>
  <si>
    <t>Муниципальная программа «Комплексное развитие сельских территорий в Кировском муниципальном районе на 2021-2027 годы»</t>
  </si>
  <si>
    <t>Муниципальная программа "Противодействия коррупции в администрации Кировского муниципального района на 2021-2022 годы"</t>
  </si>
  <si>
    <t xml:space="preserve">Источники внутреннего финансирования дефицита районного бюджета на 2021 год </t>
  </si>
  <si>
    <t>Сумма на 2021 г.</t>
  </si>
  <si>
    <t>Источники внутреннего финансирования дефицита                                                      районного бюджета на 2022-2023 годы</t>
  </si>
  <si>
    <t xml:space="preserve">Муниципальная программа «Комплексное развитие сельских территорий" в Кировском муниципальном районе на 2021-2027 годы </t>
  </si>
  <si>
    <t xml:space="preserve">бюджетных ассигнований из районного бюджета на 2021 год в ведомственной структуре расходов районного бюджета </t>
  </si>
  <si>
    <t>Сумма на 2023 год</t>
  </si>
  <si>
    <t xml:space="preserve">Иные межбюджетные трансферты 
на обеспечение сбалансированности бюджетов городских и сельских поселений Кировского муниципального района из районного бюджета в 2021-2023гг </t>
  </si>
  <si>
    <t xml:space="preserve">бюджетных ассигнований из районного бюджета на 2021  год  по разделам, </t>
  </si>
  <si>
    <t xml:space="preserve">Муниципальная программа "Комплексное развитие сельских территорий" в Кировском муниципальном районе на 2021-2027 годы </t>
  </si>
  <si>
    <t xml:space="preserve">ПРОГРАММА
муниципальных внутренних заимствований                                                                                              Кировского муниципального района
на 2021 год 
</t>
  </si>
  <si>
    <t xml:space="preserve">ПРОГРАММА
муниципальных внутренних заимствований                                                                                              Кировского муниципального района
на 2022-2023 годы 
</t>
  </si>
  <si>
    <t>Объем средств на 2023 год</t>
  </si>
  <si>
    <t>Сумма на 
2021 год (первое чтение)</t>
  </si>
  <si>
    <t xml:space="preserve">Субсидии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 </t>
  </si>
  <si>
    <t>2 02 35469 05 0000 150</t>
  </si>
  <si>
    <t>Субвенции на проведение Всероссийской переписи населения</t>
  </si>
  <si>
    <t>Единая субвенция местным бюджетам из краевого бюджета</t>
  </si>
  <si>
    <t>Субвенции на проведение Всероссийской переписи</t>
  </si>
  <si>
    <t>9999993000</t>
  </si>
  <si>
    <t>9999954690</t>
  </si>
  <si>
    <t>Предоставление субсидий бюджетным, автономным учреждениям и иным некоммерческим организациям (ВЫПОЛНЕНИЕ НАКАЗОВ ИЗБИРАТЕЛЕЙ)</t>
  </si>
  <si>
    <t>Непрограммные направления деятельности органов местного самоуправления (дошкольное образование)</t>
  </si>
  <si>
    <t>Непрограммные направления деятельности органов местного самоуправления (общее  образование)</t>
  </si>
  <si>
    <t>Выполнение наказов избирателей(дошкольное образование)</t>
  </si>
  <si>
    <t>0110030041</t>
  </si>
  <si>
    <t>Мероприятия по развитию и поддержке образовательных учреждений (наказы избирателей)</t>
  </si>
  <si>
    <t>0120030041</t>
  </si>
  <si>
    <t>0140030041</t>
  </si>
  <si>
    <t>Мероприятия по развитию и поддержке внешкольного образования МБУ ДОД "ДЮЦ" (наказы избирателей)</t>
  </si>
  <si>
    <t>Субсидии бюджетным учреждениям (НАКАЗЫ ИЗБИРАТЕЛЕЙ)</t>
  </si>
  <si>
    <t>Мероприятия по развитию и поддержке образовательных учреждений (НАКАЗЫ ИЗБИРАТЕЛЕЙ)</t>
  </si>
  <si>
    <t>Мероприятия по развитию и поддержке дошкольных образовательных учреждений (наказы избирателей)</t>
  </si>
  <si>
    <t>Муниципальная программа "Социальная поддержка детей-сирот и детей, оставшихся без попечения родителей, лиц из числа детей-сирот и детей, оставшихся без попечения родителей, и лиц, принявших на воспитание в семью детей, оставшихся без попечения родителей в Кировском муниципальном районе на 2021-2025 годы"</t>
  </si>
  <si>
    <t>Муниципальная программа "ССоциальная поддержка детей-сирот и детей, оставшихся без попечения родителей, лиц из числа детей-сирот и детей, оставшихся без попечения родителей, и лиц, принявших на воспитание в семью детей, оставшихся без попечения родителей в Кировском муниципальном районе на 2021-2025 годы"</t>
  </si>
  <si>
    <t xml:space="preserve">Сумма на 
2021 год </t>
  </si>
  <si>
    <t>Субсидии бюджетам муниципальных образований Приморского края на реализацию проектов инициативного бюджетирования по направлению "Твой проект"</t>
  </si>
  <si>
    <t>Предельный срок погашения долговых обязательств</t>
  </si>
  <si>
    <t>май  2021</t>
  </si>
  <si>
    <t>2 02 36900 05 0000 150</t>
  </si>
  <si>
    <t>Единая субвенция бюджетам муниципальных районов из бюджета субъекта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</si>
  <si>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городских поселений, а так же средства от продажи права на заключение договоров аренды указанных участков</t>
  </si>
  <si>
    <t>1100011162</t>
  </si>
  <si>
    <t>Мероприятия в сфере повышения энергетической эффективности (администрация)</t>
  </si>
  <si>
    <t>Субсидии бюджетным учреждениям (образовательные учреждения)</t>
  </si>
  <si>
    <t>Субсидии бюджетным учреждениям (МБУ КДЦ КМР)</t>
  </si>
  <si>
    <t>Мероприятия в сфере образования (бюджетные образовательные учреждения)</t>
  </si>
  <si>
    <t>Мероприятия по развитию и поддержке учреждений дополнительного образования</t>
  </si>
  <si>
    <t>0140020045</t>
  </si>
  <si>
    <t>июнь 2023</t>
  </si>
  <si>
    <t>Мероприятия по ликвидации учреждений</t>
  </si>
  <si>
    <t>9990010180</t>
  </si>
  <si>
    <t>Мероприятия в сфере повышения энергетической эффективности (ЦОМОУ)</t>
  </si>
  <si>
    <t>1100011163</t>
  </si>
  <si>
    <t>Приложение № 4</t>
  </si>
  <si>
    <t xml:space="preserve">                                                                                             Приложение  № 5</t>
  </si>
  <si>
    <t>0160020041</t>
  </si>
  <si>
    <t>Организация и обеспечение оздоровления и летнего отдыха детей Кировского муниципального района за счет средств местного бюджета</t>
  </si>
  <si>
    <t>Возмещение затрат или недополученных доходов от предоставления транспортных услуг населению в границах Кировского  муниципального района (изготовление бланков по пассажирским перевозкам)</t>
  </si>
  <si>
    <t>декабрь  2025</t>
  </si>
  <si>
    <t>Приложение № 6</t>
  </si>
  <si>
    <t xml:space="preserve">                               Приложение № 7</t>
  </si>
  <si>
    <t xml:space="preserve">                               Приложение № 8</t>
  </si>
  <si>
    <t xml:space="preserve">                               Приложение № 8.1</t>
  </si>
  <si>
    <t>Субсидии бюджетным учреждениям (МБОУ ДО "ДЮСШ "Патриот" п. Кировский)</t>
  </si>
  <si>
    <t>Субсидии бюджетным учреждениям на создание Муниципального опорного цента дополнительного образования детей Кировского муниципального района (МБОУ ДО "ДЮСШ "Патриот" п. Кировский)</t>
  </si>
  <si>
    <t>0140020046</t>
  </si>
  <si>
    <t>0140020047</t>
  </si>
  <si>
    <t>0140020048</t>
  </si>
  <si>
    <t>Расходы на обеспечение деятельности (заработная плата, начисления на выплаты по оплате труда, содерджание учреждений, оказание услуг, выполнение работ) муниципальных учреждений за счет средств местного бюджета (школы)</t>
  </si>
  <si>
    <t xml:space="preserve">Расходы на обеспечение деятельности (заработная плата, начисления на выплаты по оплате труда, содерджание учреждений, оказание услуг, выполнение работ) муниципальных учреждений дошкольного образования за счет средств местного бюджета </t>
  </si>
  <si>
    <t>0140020049</t>
  </si>
  <si>
    <t>0140020050</t>
  </si>
  <si>
    <t>0140020051</t>
  </si>
  <si>
    <t>0140020052</t>
  </si>
  <si>
    <t>0140020053</t>
  </si>
  <si>
    <t>004</t>
  </si>
  <si>
    <t>005</t>
  </si>
  <si>
    <t>007</t>
  </si>
  <si>
    <t>008</t>
  </si>
  <si>
    <t>009</t>
  </si>
  <si>
    <t>010</t>
  </si>
  <si>
    <t xml:space="preserve">от 24.06.2021  г. № 33-НПА </t>
  </si>
  <si>
    <t xml:space="preserve">от 24.06.2021  г. № 33-НПА 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</si>
</sst>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.0_р_._-;\-* #,##0.0_р_._-;_-* &quot;-&quot;?_р_._-;_-@_-"/>
    <numFmt numFmtId="180" formatCode="_-* #,##0_р_._-;\-* #,##0_р_._-;_-* &quot;-&quot;??_р_._-;_-@_-"/>
    <numFmt numFmtId="181" formatCode="#,##0.0"/>
    <numFmt numFmtId="182" formatCode="0.000"/>
    <numFmt numFmtId="183" formatCode="0.00000"/>
    <numFmt numFmtId="184" formatCode="0.0000"/>
    <numFmt numFmtId="185" formatCode="_-* #,##0.00_р_._-;\-* #,##0.00_р_._-;_-* &quot;-&quot;?_р_._-;_-@_-"/>
    <numFmt numFmtId="186" formatCode="0.000000"/>
    <numFmt numFmtId="187" formatCode="_-* #,##0_р_._-;\-* #,##0_р_._-;_-* &quot;-&quot;?_р_._-;_-@_-"/>
    <numFmt numFmtId="188" formatCode="#,##0.000"/>
    <numFmt numFmtId="189" formatCode="#,##0.0000"/>
    <numFmt numFmtId="190" formatCode="#,##0.00000"/>
    <numFmt numFmtId="191" formatCode="#,##0.000000"/>
    <numFmt numFmtId="192" formatCode="0.000%"/>
    <numFmt numFmtId="193" formatCode="#,##0.0000000"/>
    <numFmt numFmtId="194" formatCode="0.0000000"/>
    <numFmt numFmtId="195" formatCode="#,##0.00000000"/>
    <numFmt numFmtId="196" formatCode="0.00000000"/>
  </numFmts>
  <fonts count="8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E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3"/>
      <name val="Times New Roman"/>
      <family val="1"/>
    </font>
    <font>
      <b/>
      <sz val="11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sz val="9"/>
      <name val="Arial Cyr"/>
      <family val="0"/>
    </font>
    <font>
      <sz val="11"/>
      <name val="Times New Roman CE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i/>
      <sz val="10"/>
      <name val="Arial Cyr"/>
      <family val="0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b/>
      <sz val="8"/>
      <name val="Arial Cyr"/>
      <family val="0"/>
    </font>
    <font>
      <sz val="13"/>
      <name val="Arial Cyr"/>
      <family val="0"/>
    </font>
    <font>
      <b/>
      <i/>
      <sz val="11"/>
      <name val="Times New Roman"/>
      <family val="1"/>
    </font>
    <font>
      <u val="single"/>
      <sz val="11"/>
      <name val="Times New Roman"/>
      <family val="1"/>
    </font>
    <font>
      <i/>
      <sz val="11"/>
      <name val="Arial Cyr"/>
      <family val="0"/>
    </font>
    <font>
      <b/>
      <i/>
      <sz val="11"/>
      <name val="Arial Cyr"/>
      <family val="0"/>
    </font>
    <font>
      <i/>
      <u val="single"/>
      <sz val="12"/>
      <name val="Times New Roman"/>
      <family val="1"/>
    </font>
    <font>
      <i/>
      <sz val="12"/>
      <name val="Arial Cyr"/>
      <family val="0"/>
    </font>
    <font>
      <sz val="12"/>
      <name val="Arial"/>
      <family val="2"/>
    </font>
    <font>
      <b/>
      <i/>
      <sz val="12"/>
      <name val="Arial Cyr"/>
      <family val="0"/>
    </font>
    <font>
      <u val="single"/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justify"/>
    </xf>
    <xf numFmtId="0" fontId="5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 shrinkToFit="1"/>
    </xf>
    <xf numFmtId="0" fontId="21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49" fontId="23" fillId="0" borderId="1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/>
    </xf>
    <xf numFmtId="4" fontId="2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0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/>
    </xf>
    <xf numFmtId="0" fontId="11" fillId="0" borderId="10" xfId="0" applyFont="1" applyFill="1" applyBorder="1" applyAlignment="1">
      <alignment vertical="top" wrapText="1"/>
    </xf>
    <xf numFmtId="4" fontId="11" fillId="0" borderId="0" xfId="0" applyNumberFormat="1" applyFont="1" applyFill="1" applyAlignment="1">
      <alignment/>
    </xf>
    <xf numFmtId="0" fontId="23" fillId="0" borderId="10" xfId="0" applyFont="1" applyFill="1" applyBorder="1" applyAlignment="1">
      <alignment vertical="top" wrapText="1"/>
    </xf>
    <xf numFmtId="188" fontId="11" fillId="0" borderId="0" xfId="0" applyNumberFormat="1" applyFont="1" applyFill="1" applyAlignment="1">
      <alignment/>
    </xf>
    <xf numFmtId="188" fontId="21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190" fontId="3" fillId="0" borderId="10" xfId="0" applyNumberFormat="1" applyFont="1" applyFill="1" applyBorder="1" applyAlignment="1">
      <alignment horizontal="center" vertical="center" wrapText="1"/>
    </xf>
    <xf numFmtId="190" fontId="23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top" wrapText="1"/>
    </xf>
    <xf numFmtId="190" fontId="0" fillId="0" borderId="0" xfId="0" applyNumberFormat="1" applyFont="1" applyFill="1" applyAlignment="1">
      <alignment/>
    </xf>
    <xf numFmtId="0" fontId="21" fillId="0" borderId="0" xfId="0" applyFont="1" applyFill="1" applyAlignment="1">
      <alignment horizontal="left"/>
    </xf>
    <xf numFmtId="49" fontId="11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vertical="top" wrapText="1"/>
    </xf>
    <xf numFmtId="49" fontId="34" fillId="0" borderId="10" xfId="0" applyNumberFormat="1" applyFont="1" applyFill="1" applyBorder="1" applyAlignment="1">
      <alignment horizontal="center" vertical="center" wrapText="1" shrinkToFi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 wrapText="1" shrinkToFit="1"/>
    </xf>
    <xf numFmtId="0" fontId="35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/>
    </xf>
    <xf numFmtId="190" fontId="21" fillId="0" borderId="0" xfId="0" applyNumberFormat="1" applyFont="1" applyFill="1" applyAlignment="1">
      <alignment/>
    </xf>
    <xf numFmtId="190" fontId="11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190" fontId="34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183" fontId="11" fillId="0" borderId="0" xfId="0" applyNumberFormat="1" applyFont="1" applyFill="1" applyAlignment="1">
      <alignment/>
    </xf>
    <xf numFmtId="190" fontId="11" fillId="0" borderId="0" xfId="0" applyNumberFormat="1" applyFont="1" applyFill="1" applyAlignment="1">
      <alignment/>
    </xf>
    <xf numFmtId="190" fontId="10" fillId="0" borderId="10" xfId="0" applyNumberFormat="1" applyFont="1" applyFill="1" applyBorder="1" applyAlignment="1">
      <alignment horizontal="center"/>
    </xf>
    <xf numFmtId="190" fontId="10" fillId="0" borderId="10" xfId="0" applyNumberFormat="1" applyFont="1" applyFill="1" applyBorder="1" applyAlignment="1">
      <alignment horizontal="center" vertical="center" wrapText="1"/>
    </xf>
    <xf numFmtId="19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90" fontId="10" fillId="0" borderId="10" xfId="63" applyNumberFormat="1" applyFont="1" applyFill="1" applyBorder="1" applyAlignment="1">
      <alignment horizontal="center" vertical="center" wrapText="1"/>
    </xf>
    <xf numFmtId="190" fontId="11" fillId="0" borderId="10" xfId="63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/>
    </xf>
    <xf numFmtId="190" fontId="6" fillId="0" borderId="0" xfId="0" applyNumberFormat="1" applyFont="1" applyFill="1" applyAlignment="1">
      <alignment horizontal="center" vertical="center" wrapText="1"/>
    </xf>
    <xf numFmtId="190" fontId="11" fillId="0" borderId="10" xfId="0" applyNumberFormat="1" applyFont="1" applyFill="1" applyBorder="1" applyAlignment="1">
      <alignment horizontal="center" vertical="top"/>
    </xf>
    <xf numFmtId="190" fontId="11" fillId="0" borderId="10" xfId="0" applyNumberFormat="1" applyFont="1" applyFill="1" applyBorder="1" applyAlignment="1">
      <alignment horizontal="center" vertical="center" wrapText="1"/>
    </xf>
    <xf numFmtId="190" fontId="27" fillId="0" borderId="10" xfId="63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190" fontId="30" fillId="0" borderId="10" xfId="0" applyNumberFormat="1" applyFont="1" applyFill="1" applyBorder="1" applyAlignment="1">
      <alignment horizontal="center" vertical="center" wrapText="1"/>
    </xf>
    <xf numFmtId="190" fontId="3" fillId="0" borderId="10" xfId="0" applyNumberFormat="1" applyFont="1" applyFill="1" applyBorder="1" applyAlignment="1">
      <alignment horizontal="center" vertical="center"/>
    </xf>
    <xf numFmtId="190" fontId="4" fillId="0" borderId="10" xfId="0" applyNumberFormat="1" applyFont="1" applyFill="1" applyBorder="1" applyAlignment="1">
      <alignment horizontal="center" vertical="center" wrapText="1"/>
    </xf>
    <xf numFmtId="190" fontId="31" fillId="0" borderId="10" xfId="0" applyNumberFormat="1" applyFont="1" applyFill="1" applyBorder="1" applyAlignment="1">
      <alignment horizontal="center" vertical="center" wrapText="1"/>
    </xf>
    <xf numFmtId="190" fontId="27" fillId="0" borderId="10" xfId="0" applyNumberFormat="1" applyFont="1" applyFill="1" applyBorder="1" applyAlignment="1">
      <alignment horizontal="center" vertical="center"/>
    </xf>
    <xf numFmtId="190" fontId="27" fillId="0" borderId="10" xfId="0" applyNumberFormat="1" applyFont="1" applyFill="1" applyBorder="1" applyAlignment="1">
      <alignment horizontal="center" vertical="center" wrapText="1"/>
    </xf>
    <xf numFmtId="190" fontId="10" fillId="0" borderId="10" xfId="0" applyNumberFormat="1" applyFont="1" applyFill="1" applyBorder="1" applyAlignment="1">
      <alignment horizontal="center" vertical="center" wrapText="1"/>
    </xf>
    <xf numFmtId="190" fontId="21" fillId="0" borderId="10" xfId="0" applyNumberFormat="1" applyFont="1" applyFill="1" applyBorder="1" applyAlignment="1">
      <alignment/>
    </xf>
    <xf numFmtId="182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90" fontId="11" fillId="0" borderId="10" xfId="0" applyNumberFormat="1" applyFont="1" applyFill="1" applyBorder="1" applyAlignment="1">
      <alignment horizontal="center" vertical="center"/>
    </xf>
    <xf numFmtId="190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vertical="center" wrapText="1"/>
    </xf>
    <xf numFmtId="182" fontId="2" fillId="0" borderId="0" xfId="0" applyNumberFormat="1" applyFont="1" applyFill="1" applyAlignment="1">
      <alignment horizontal="right" vertical="center"/>
    </xf>
    <xf numFmtId="190" fontId="0" fillId="0" borderId="0" xfId="0" applyNumberFormat="1" applyFont="1" applyFill="1" applyAlignment="1">
      <alignment horizontal="center" vertical="center"/>
    </xf>
    <xf numFmtId="190" fontId="3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top" wrapText="1"/>
    </xf>
    <xf numFmtId="0" fontId="38" fillId="0" borderId="10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190" fontId="23" fillId="0" borderId="10" xfId="0" applyNumberFormat="1" applyFont="1" applyFill="1" applyBorder="1" applyAlignment="1">
      <alignment horizontal="center" vertical="center"/>
    </xf>
    <xf numFmtId="190" fontId="11" fillId="0" borderId="10" xfId="0" applyNumberFormat="1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 horizontal="center" vertical="top" wrapText="1"/>
    </xf>
    <xf numFmtId="190" fontId="2" fillId="0" borderId="10" xfId="0" applyNumberFormat="1" applyFont="1" applyFill="1" applyBorder="1" applyAlignment="1">
      <alignment horizontal="center" vertical="center" wrapText="1"/>
    </xf>
    <xf numFmtId="190" fontId="11" fillId="0" borderId="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left" vertical="top" wrapText="1"/>
    </xf>
    <xf numFmtId="190" fontId="16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190" fontId="7" fillId="0" borderId="0" xfId="0" applyNumberFormat="1" applyFont="1" applyFill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23" fillId="0" borderId="10" xfId="0" applyNumberFormat="1" applyFont="1" applyFill="1" applyBorder="1" applyAlignment="1">
      <alignment horizontal="right"/>
    </xf>
    <xf numFmtId="190" fontId="7" fillId="0" borderId="10" xfId="0" applyNumberFormat="1" applyFont="1" applyFill="1" applyBorder="1" applyAlignment="1">
      <alignment horizontal="right"/>
    </xf>
    <xf numFmtId="188" fontId="7" fillId="0" borderId="0" xfId="0" applyNumberFormat="1" applyFont="1" applyFill="1" applyAlignment="1">
      <alignment/>
    </xf>
    <xf numFmtId="188" fontId="39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183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9" fontId="40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4" fontId="39" fillId="0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188" fontId="41" fillId="0" borderId="0" xfId="0" applyNumberFormat="1" applyFont="1" applyFill="1" applyAlignment="1">
      <alignment/>
    </xf>
    <xf numFmtId="182" fontId="39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194" fontId="7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188" fontId="14" fillId="0" borderId="0" xfId="0" applyNumberFormat="1" applyFont="1" applyFill="1" applyAlignment="1">
      <alignment/>
    </xf>
    <xf numFmtId="49" fontId="23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 shrinkToFi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vertical="center" wrapText="1"/>
    </xf>
    <xf numFmtId="190" fontId="34" fillId="0" borderId="10" xfId="63" applyNumberFormat="1" applyFont="1" applyFill="1" applyBorder="1" applyAlignment="1">
      <alignment horizontal="center" vertical="center" wrapText="1"/>
    </xf>
    <xf numFmtId="190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90" fontId="39" fillId="0" borderId="0" xfId="0" applyNumberFormat="1" applyFont="1" applyFill="1" applyAlignment="1">
      <alignment/>
    </xf>
    <xf numFmtId="190" fontId="11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190" fontId="14" fillId="0" borderId="0" xfId="0" applyNumberFormat="1" applyFont="1" applyFill="1" applyAlignment="1">
      <alignment/>
    </xf>
    <xf numFmtId="188" fontId="21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justify"/>
    </xf>
    <xf numFmtId="182" fontId="0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190" fontId="9" fillId="0" borderId="10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right"/>
    </xf>
    <xf numFmtId="190" fontId="21" fillId="0" borderId="0" xfId="0" applyNumberFormat="1" applyFont="1" applyFill="1" applyAlignment="1">
      <alignment horizontal="center" vertical="center"/>
    </xf>
    <xf numFmtId="190" fontId="21" fillId="0" borderId="0" xfId="0" applyNumberFormat="1" applyFont="1" applyFill="1" applyBorder="1" applyAlignment="1">
      <alignment/>
    </xf>
    <xf numFmtId="190" fontId="10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vertical="center"/>
    </xf>
    <xf numFmtId="190" fontId="11" fillId="0" borderId="0" xfId="63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/>
    </xf>
    <xf numFmtId="190" fontId="79" fillId="0" borderId="10" xfId="0" applyNumberFormat="1" applyFont="1" applyFill="1" applyBorder="1" applyAlignment="1">
      <alignment horizontal="center" vertical="center"/>
    </xf>
    <xf numFmtId="190" fontId="11" fillId="0" borderId="10" xfId="0" applyNumberFormat="1" applyFont="1" applyFill="1" applyBorder="1" applyAlignment="1">
      <alignment horizontal="center" vertical="center"/>
    </xf>
    <xf numFmtId="190" fontId="79" fillId="0" borderId="10" xfId="63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190" fontId="0" fillId="0" borderId="0" xfId="0" applyNumberFormat="1" applyFill="1" applyAlignment="1">
      <alignment/>
    </xf>
    <xf numFmtId="0" fontId="43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90" fontId="29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90" fontId="0" fillId="0" borderId="0" xfId="0" applyNumberFormat="1" applyFont="1" applyFill="1" applyAlignment="1">
      <alignment/>
    </xf>
    <xf numFmtId="190" fontId="34" fillId="0" borderId="10" xfId="0" applyNumberFormat="1" applyFont="1" applyFill="1" applyBorder="1" applyAlignment="1">
      <alignment horizontal="center" vertical="center" wrapText="1"/>
    </xf>
    <xf numFmtId="190" fontId="19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vertical="top" wrapText="1"/>
    </xf>
    <xf numFmtId="0" fontId="1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vertical="top" wrapText="1"/>
    </xf>
    <xf numFmtId="0" fontId="7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right" vertical="justify" wrapText="1"/>
    </xf>
    <xf numFmtId="0" fontId="9" fillId="0" borderId="0" xfId="0" applyFont="1" applyFill="1" applyBorder="1" applyAlignment="1">
      <alignment horizontal="left" vertical="justify" wrapText="1"/>
    </xf>
    <xf numFmtId="0" fontId="15" fillId="0" borderId="0" xfId="0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190" fontId="3" fillId="0" borderId="11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/>
    </xf>
    <xf numFmtId="188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90" fontId="1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3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82" fontId="7" fillId="0" borderId="0" xfId="0" applyNumberFormat="1" applyFont="1" applyFill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wrapText="1"/>
    </xf>
    <xf numFmtId="49" fontId="23" fillId="0" borderId="0" xfId="0" applyNumberFormat="1" applyFont="1" applyFill="1" applyBorder="1" applyAlignment="1">
      <alignment horizontal="center" vertical="center" wrapText="1" shrinkToFit="1"/>
    </xf>
    <xf numFmtId="192" fontId="7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0" fontId="30" fillId="0" borderId="0" xfId="0" applyFont="1" applyFill="1" applyAlignment="1">
      <alignment/>
    </xf>
    <xf numFmtId="182" fontId="21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49" fontId="27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/>
    </xf>
    <xf numFmtId="191" fontId="21" fillId="0" borderId="0" xfId="0" applyNumberFormat="1" applyFont="1" applyFill="1" applyAlignment="1">
      <alignment/>
    </xf>
    <xf numFmtId="190" fontId="2" fillId="0" borderId="0" xfId="0" applyNumberFormat="1" applyFont="1" applyFill="1" applyAlignment="1">
      <alignment horizontal="right"/>
    </xf>
    <xf numFmtId="0" fontId="28" fillId="0" borderId="10" xfId="0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2" fillId="0" borderId="0" xfId="0" applyFont="1" applyFill="1" applyAlignment="1">
      <alignment/>
    </xf>
    <xf numFmtId="190" fontId="24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5" fillId="0" borderId="0" xfId="0" applyFont="1" applyFill="1" applyAlignment="1">
      <alignment/>
    </xf>
    <xf numFmtId="188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190" fontId="10" fillId="0" borderId="0" xfId="0" applyNumberFormat="1" applyFont="1" applyFill="1" applyAlignment="1">
      <alignment/>
    </xf>
    <xf numFmtId="183" fontId="21" fillId="0" borderId="0" xfId="0" applyNumberFormat="1" applyFont="1" applyFill="1" applyAlignment="1">
      <alignment/>
    </xf>
    <xf numFmtId="183" fontId="16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90" fontId="3" fillId="0" borderId="0" xfId="0" applyNumberFormat="1" applyFont="1" applyFill="1" applyAlignment="1">
      <alignment/>
    </xf>
    <xf numFmtId="0" fontId="29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vertical="justify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190" fontId="9" fillId="0" borderId="10" xfId="0" applyNumberFormat="1" applyFont="1" applyFill="1" applyBorder="1" applyAlignment="1">
      <alignment horizontal="center" wrapText="1"/>
    </xf>
    <xf numFmtId="190" fontId="9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188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left" vertical="center" wrapText="1"/>
    </xf>
    <xf numFmtId="190" fontId="15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/>
    </xf>
    <xf numFmtId="0" fontId="17" fillId="0" borderId="10" xfId="0" applyFont="1" applyFill="1" applyBorder="1" applyAlignment="1">
      <alignment horizontal="right" vertical="center"/>
    </xf>
    <xf numFmtId="188" fontId="17" fillId="0" borderId="10" xfId="0" applyNumberFormat="1" applyFont="1" applyFill="1" applyBorder="1" applyAlignment="1">
      <alignment horizontal="right" vertical="center"/>
    </xf>
    <xf numFmtId="188" fontId="17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vertical="justify"/>
    </xf>
    <xf numFmtId="188" fontId="3" fillId="0" borderId="0" xfId="0" applyNumberFormat="1" applyFont="1" applyFill="1" applyAlignment="1">
      <alignment vertical="justify"/>
    </xf>
    <xf numFmtId="182" fontId="3" fillId="0" borderId="1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170" fontId="3" fillId="0" borderId="0" xfId="43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 vertical="justify" wrapText="1"/>
    </xf>
    <xf numFmtId="0" fontId="0" fillId="0" borderId="0" xfId="0" applyFont="1" applyFill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justify" wrapText="1"/>
    </xf>
    <xf numFmtId="0" fontId="0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26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182" fontId="3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wrapText="1"/>
    </xf>
    <xf numFmtId="0" fontId="17" fillId="0" borderId="14" xfId="0" applyFont="1" applyFill="1" applyBorder="1" applyAlignment="1">
      <alignment wrapText="1"/>
    </xf>
    <xf numFmtId="0" fontId="1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23"/>
  <sheetViews>
    <sheetView view="pageBreakPreview" zoomScaleSheetLayoutView="100" zoomScalePageLayoutView="0" workbookViewId="0" topLeftCell="A1">
      <selection activeCell="A7" sqref="A7"/>
    </sheetView>
  </sheetViews>
  <sheetFormatPr defaultColWidth="8.875" defaultRowHeight="12.75"/>
  <cols>
    <col min="1" max="1" width="24.625" style="207" customWidth="1"/>
    <col min="2" max="2" width="43.75390625" style="207" customWidth="1"/>
    <col min="3" max="3" width="19.25390625" style="207" customWidth="1"/>
    <col min="4" max="4" width="11.75390625" style="207" bestFit="1" customWidth="1"/>
    <col min="5" max="16384" width="8.875" style="207" customWidth="1"/>
  </cols>
  <sheetData>
    <row r="1" spans="1:3" ht="15.75">
      <c r="A1" s="218"/>
      <c r="B1" s="219"/>
      <c r="C1" s="1" t="s">
        <v>193</v>
      </c>
    </row>
    <row r="2" spans="1:3" ht="16.5" customHeight="1">
      <c r="A2" s="218"/>
      <c r="B2" s="219"/>
      <c r="C2" s="1" t="s">
        <v>422</v>
      </c>
    </row>
    <row r="3" spans="1:3" ht="16.5" customHeight="1">
      <c r="A3" s="218"/>
      <c r="B3" s="292" t="s">
        <v>423</v>
      </c>
      <c r="C3" s="292"/>
    </row>
    <row r="4" spans="1:3" s="31" customFormat="1" ht="16.5" customHeight="1">
      <c r="A4" s="218"/>
      <c r="B4" s="293" t="s">
        <v>947</v>
      </c>
      <c r="C4" s="293"/>
    </row>
    <row r="5" spans="1:3" ht="16.5" customHeight="1">
      <c r="A5" s="218"/>
      <c r="B5" s="1"/>
      <c r="C5" s="1"/>
    </row>
    <row r="6" spans="1:3" ht="38.25" customHeight="1">
      <c r="A6" s="294" t="s">
        <v>866</v>
      </c>
      <c r="B6" s="294"/>
      <c r="C6" s="294"/>
    </row>
    <row r="7" spans="1:3" ht="15.75" customHeight="1">
      <c r="A7" s="220"/>
      <c r="B7" s="220"/>
      <c r="C7" s="221" t="s">
        <v>360</v>
      </c>
    </row>
    <row r="8" spans="1:3" ht="3.75" customHeight="1" hidden="1">
      <c r="A8" s="222" t="s">
        <v>333</v>
      </c>
      <c r="B8" s="223"/>
      <c r="C8" s="223"/>
    </row>
    <row r="9" spans="1:3" ht="16.5" customHeight="1">
      <c r="A9" s="295" t="s">
        <v>152</v>
      </c>
      <c r="B9" s="295" t="s">
        <v>321</v>
      </c>
      <c r="C9" s="296" t="s">
        <v>867</v>
      </c>
    </row>
    <row r="10" spans="1:3" ht="16.5" customHeight="1">
      <c r="A10" s="295"/>
      <c r="B10" s="295"/>
      <c r="C10" s="296"/>
    </row>
    <row r="11" spans="1:3" ht="22.5" customHeight="1">
      <c r="A11" s="295"/>
      <c r="B11" s="295"/>
      <c r="C11" s="296"/>
    </row>
    <row r="12" spans="1:3" ht="34.5" customHeight="1">
      <c r="A12" s="3" t="s">
        <v>322</v>
      </c>
      <c r="B12" s="224" t="s">
        <v>323</v>
      </c>
      <c r="C12" s="110">
        <f>C13+C14</f>
        <v>5838.579200000001</v>
      </c>
    </row>
    <row r="13" spans="1:3" ht="52.5" customHeight="1">
      <c r="A13" s="20" t="s">
        <v>324</v>
      </c>
      <c r="B13" s="225" t="s">
        <v>325</v>
      </c>
      <c r="C13" s="61">
        <f>(4737.01064+2500-439.05279)</f>
        <v>6797.957850000001</v>
      </c>
    </row>
    <row r="14" spans="1:4" ht="50.25" customHeight="1">
      <c r="A14" s="28" t="s">
        <v>326</v>
      </c>
      <c r="B14" s="226" t="s">
        <v>327</v>
      </c>
      <c r="C14" s="61">
        <v>-959.37865</v>
      </c>
      <c r="D14" s="203"/>
    </row>
    <row r="15" spans="1:3" ht="51" customHeight="1">
      <c r="A15" s="3" t="s">
        <v>328</v>
      </c>
      <c r="B15" s="224" t="s">
        <v>329</v>
      </c>
      <c r="C15" s="110">
        <f>C16+C17</f>
        <v>-3338.5791999999997</v>
      </c>
    </row>
    <row r="16" spans="1:3" ht="63" customHeight="1">
      <c r="A16" s="28" t="s">
        <v>263</v>
      </c>
      <c r="B16" s="227" t="s">
        <v>334</v>
      </c>
      <c r="C16" s="125">
        <v>0</v>
      </c>
    </row>
    <row r="17" spans="1:3" ht="67.5" customHeight="1">
      <c r="A17" s="228" t="s">
        <v>264</v>
      </c>
      <c r="B17" s="229" t="s">
        <v>335</v>
      </c>
      <c r="C17" s="61">
        <f>-(1680+2097.63199-439.05279)</f>
        <v>-3338.5791999999997</v>
      </c>
    </row>
    <row r="18" spans="1:3" ht="36" customHeight="1">
      <c r="A18" s="3" t="s">
        <v>375</v>
      </c>
      <c r="B18" s="224" t="s">
        <v>376</v>
      </c>
      <c r="C18" s="110">
        <f>C19+C20</f>
        <v>29019.05613000004</v>
      </c>
    </row>
    <row r="19" spans="1:3" ht="36" customHeight="1">
      <c r="A19" s="20" t="s">
        <v>0</v>
      </c>
      <c r="B19" s="225" t="s">
        <v>1</v>
      </c>
      <c r="C19" s="230">
        <f>-(530465.55131+7237.01064+413+11036.54-439.05279)</f>
        <v>-548713.04916</v>
      </c>
    </row>
    <row r="20" spans="1:3" ht="39" customHeight="1">
      <c r="A20" s="20" t="s">
        <v>2</v>
      </c>
      <c r="B20" s="225" t="s">
        <v>3</v>
      </c>
      <c r="C20" s="61">
        <f>561984.60744+959.37865+3777.63199+413+11036.54-439.05279</f>
        <v>577732.1052900001</v>
      </c>
    </row>
    <row r="21" spans="1:5" ht="19.5" customHeight="1">
      <c r="A21" s="3"/>
      <c r="B21" s="231" t="s">
        <v>336</v>
      </c>
      <c r="C21" s="210">
        <f>C12+C15+C18</f>
        <v>31519.05613000004</v>
      </c>
      <c r="E21" s="232"/>
    </row>
    <row r="22" spans="1:3" s="233" customFormat="1" ht="21.75" customHeight="1">
      <c r="A22" s="207"/>
      <c r="B22" s="207"/>
      <c r="C22" s="207"/>
    </row>
    <row r="23" spans="1:3" s="19" customFormat="1" ht="12.75">
      <c r="A23" s="207"/>
      <c r="B23" s="207"/>
      <c r="C23" s="207"/>
    </row>
  </sheetData>
  <sheetProtection/>
  <mergeCells count="6">
    <mergeCell ref="B3:C3"/>
    <mergeCell ref="B4:C4"/>
    <mergeCell ref="A6:C6"/>
    <mergeCell ref="A9:A11"/>
    <mergeCell ref="B9:B11"/>
    <mergeCell ref="C9:C1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I23"/>
  <sheetViews>
    <sheetView view="pageBreakPreview" zoomScaleSheetLayoutView="100" zoomScalePageLayoutView="0" workbookViewId="0" topLeftCell="A7">
      <selection activeCell="G18" sqref="G18"/>
    </sheetView>
  </sheetViews>
  <sheetFormatPr defaultColWidth="8.875" defaultRowHeight="12.75"/>
  <cols>
    <col min="1" max="5" width="8.875" style="207" customWidth="1"/>
    <col min="6" max="6" width="3.375" style="207" customWidth="1"/>
    <col min="7" max="7" width="14.625" style="207" customWidth="1"/>
    <col min="8" max="8" width="13.25390625" style="207" customWidth="1"/>
    <col min="9" max="9" width="13.125" style="207" customWidth="1"/>
    <col min="10" max="16384" width="8.875" style="207" customWidth="1"/>
  </cols>
  <sheetData>
    <row r="1" spans="2:9" ht="15">
      <c r="B1" s="333"/>
      <c r="C1" s="333"/>
      <c r="D1" s="333"/>
      <c r="E1" s="37"/>
      <c r="F1" s="341" t="s">
        <v>928</v>
      </c>
      <c r="G1" s="341"/>
      <c r="H1" s="341"/>
      <c r="I1" s="342"/>
    </row>
    <row r="2" spans="1:9" ht="15">
      <c r="A2" s="333"/>
      <c r="B2" s="333"/>
      <c r="C2" s="333"/>
      <c r="D2" s="333"/>
      <c r="E2" s="341" t="s">
        <v>11</v>
      </c>
      <c r="F2" s="341"/>
      <c r="G2" s="341"/>
      <c r="H2" s="341"/>
      <c r="I2" s="342"/>
    </row>
    <row r="3" spans="1:9" ht="15">
      <c r="A3" s="333"/>
      <c r="B3" s="333"/>
      <c r="C3" s="333"/>
      <c r="D3" s="333"/>
      <c r="E3" s="341" t="s">
        <v>12</v>
      </c>
      <c r="F3" s="341"/>
      <c r="G3" s="341"/>
      <c r="H3" s="341"/>
      <c r="I3" s="342"/>
    </row>
    <row r="4" spans="2:9" ht="15">
      <c r="B4" s="333"/>
      <c r="C4" s="333"/>
      <c r="D4" s="333"/>
      <c r="E4" s="37"/>
      <c r="F4" s="341" t="s">
        <v>947</v>
      </c>
      <c r="G4" s="341"/>
      <c r="H4" s="341"/>
      <c r="I4" s="342"/>
    </row>
    <row r="6" spans="1:9" ht="76.5" customHeight="1">
      <c r="A6" s="344" t="s">
        <v>876</v>
      </c>
      <c r="B6" s="344"/>
      <c r="C6" s="344"/>
      <c r="D6" s="344"/>
      <c r="E6" s="344"/>
      <c r="F6" s="344"/>
      <c r="G6" s="344"/>
      <c r="H6" s="344"/>
      <c r="I6" s="342"/>
    </row>
    <row r="7" spans="1:7" ht="15">
      <c r="A7" s="37"/>
      <c r="B7" s="37"/>
      <c r="C7" s="37"/>
      <c r="D7" s="37"/>
      <c r="E7" s="37"/>
      <c r="F7" s="37"/>
      <c r="G7" s="37"/>
    </row>
    <row r="8" spans="1:9" ht="15">
      <c r="A8" s="37"/>
      <c r="B8" s="37"/>
      <c r="C8" s="37"/>
      <c r="D8" s="37"/>
      <c r="E8" s="37"/>
      <c r="F8" s="37"/>
      <c r="G8" s="107"/>
      <c r="H8" s="107"/>
      <c r="I8" s="41" t="s">
        <v>145</v>
      </c>
    </row>
    <row r="9" spans="1:9" ht="12.75">
      <c r="A9" s="316" t="s">
        <v>143</v>
      </c>
      <c r="B9" s="316"/>
      <c r="C9" s="316"/>
      <c r="D9" s="316"/>
      <c r="E9" s="316"/>
      <c r="F9" s="316"/>
      <c r="G9" s="303" t="s">
        <v>680</v>
      </c>
      <c r="H9" s="303" t="s">
        <v>877</v>
      </c>
      <c r="I9" s="339" t="s">
        <v>902</v>
      </c>
    </row>
    <row r="10" spans="1:9" ht="39" customHeight="1">
      <c r="A10" s="316"/>
      <c r="B10" s="316"/>
      <c r="C10" s="316"/>
      <c r="D10" s="316"/>
      <c r="E10" s="316"/>
      <c r="F10" s="316"/>
      <c r="G10" s="303"/>
      <c r="H10" s="303"/>
      <c r="I10" s="340"/>
    </row>
    <row r="11" spans="1:9" ht="44.25" customHeight="1">
      <c r="A11" s="338" t="s">
        <v>144</v>
      </c>
      <c r="B11" s="338"/>
      <c r="C11" s="338"/>
      <c r="D11" s="338"/>
      <c r="E11" s="338"/>
      <c r="F11" s="338"/>
      <c r="G11" s="89">
        <f>G12+G13</f>
        <v>7758.57919</v>
      </c>
      <c r="H11" s="89">
        <f>H12+H13</f>
        <v>3558.5791900000004</v>
      </c>
      <c r="I11" s="195"/>
    </row>
    <row r="12" spans="1:9" ht="18" customHeight="1">
      <c r="A12" s="336" t="s">
        <v>147</v>
      </c>
      <c r="B12" s="336"/>
      <c r="C12" s="336"/>
      <c r="D12" s="336"/>
      <c r="E12" s="336"/>
      <c r="F12" s="336"/>
      <c r="G12" s="81">
        <f>8697.63199+6000-939.0528</f>
        <v>13758.57919</v>
      </c>
      <c r="H12" s="81">
        <f>4497.63198+4000-939.05279</f>
        <v>7558.57919</v>
      </c>
      <c r="I12" s="195"/>
    </row>
    <row r="13" spans="1:9" ht="18" customHeight="1">
      <c r="A13" s="336" t="s">
        <v>148</v>
      </c>
      <c r="B13" s="336"/>
      <c r="C13" s="336"/>
      <c r="D13" s="336"/>
      <c r="E13" s="336"/>
      <c r="F13" s="336"/>
      <c r="G13" s="81">
        <v>-6000</v>
      </c>
      <c r="H13" s="81">
        <v>-4000</v>
      </c>
      <c r="I13" s="196" t="s">
        <v>914</v>
      </c>
    </row>
    <row r="14" spans="1:9" ht="50.25" customHeight="1">
      <c r="A14" s="337" t="s">
        <v>149</v>
      </c>
      <c r="B14" s="337"/>
      <c r="C14" s="337"/>
      <c r="D14" s="337"/>
      <c r="E14" s="337"/>
      <c r="F14" s="337"/>
      <c r="G14" s="89">
        <f>G15+G16</f>
        <v>-5358.5791899999995</v>
      </c>
      <c r="H14" s="89">
        <f>H15+H16</f>
        <v>-1158.5791900000002</v>
      </c>
      <c r="I14" s="66"/>
    </row>
    <row r="15" spans="1:9" ht="18" customHeight="1">
      <c r="A15" s="336" t="s">
        <v>147</v>
      </c>
      <c r="B15" s="336"/>
      <c r="C15" s="336"/>
      <c r="D15" s="336"/>
      <c r="E15" s="336"/>
      <c r="F15" s="336"/>
      <c r="G15" s="81">
        <v>0</v>
      </c>
      <c r="H15" s="81">
        <v>0</v>
      </c>
      <c r="I15" s="66"/>
    </row>
    <row r="16" spans="1:9" ht="21" customHeight="1">
      <c r="A16" s="336" t="s">
        <v>148</v>
      </c>
      <c r="B16" s="336"/>
      <c r="C16" s="336"/>
      <c r="D16" s="336"/>
      <c r="E16" s="336"/>
      <c r="F16" s="336"/>
      <c r="G16" s="81">
        <f>-(6297.63199-939.0528)</f>
        <v>-5358.5791899999995</v>
      </c>
      <c r="H16" s="81">
        <f>-(2097.63198-939.05279)</f>
        <v>-1158.5791900000002</v>
      </c>
      <c r="I16" s="196" t="s">
        <v>924</v>
      </c>
    </row>
    <row r="17" spans="1:9" ht="27" customHeight="1">
      <c r="A17" s="337" t="s">
        <v>150</v>
      </c>
      <c r="B17" s="337"/>
      <c r="C17" s="337"/>
      <c r="D17" s="337"/>
      <c r="E17" s="337"/>
      <c r="F17" s="337"/>
      <c r="G17" s="89">
        <f>G18+G19</f>
        <v>2400</v>
      </c>
      <c r="H17" s="89">
        <f>H18+H19</f>
        <v>2400</v>
      </c>
      <c r="I17" s="197"/>
    </row>
    <row r="18" spans="1:9" ht="18.75" customHeight="1">
      <c r="A18" s="336" t="s">
        <v>151</v>
      </c>
      <c r="B18" s="336"/>
      <c r="C18" s="336"/>
      <c r="D18" s="336"/>
      <c r="E18" s="336"/>
      <c r="F18" s="336"/>
      <c r="G18" s="81">
        <f>G12+G15</f>
        <v>13758.57919</v>
      </c>
      <c r="H18" s="81">
        <f>H12+H15</f>
        <v>7558.57919</v>
      </c>
      <c r="I18" s="195"/>
    </row>
    <row r="19" spans="1:9" ht="17.25" customHeight="1">
      <c r="A19" s="336" t="s">
        <v>148</v>
      </c>
      <c r="B19" s="336"/>
      <c r="C19" s="336"/>
      <c r="D19" s="336"/>
      <c r="E19" s="336"/>
      <c r="F19" s="336"/>
      <c r="G19" s="81">
        <f>G13+G16</f>
        <v>-11358.57919</v>
      </c>
      <c r="H19" s="81">
        <f>H13+H16</f>
        <v>-5158.57919</v>
      </c>
      <c r="I19" s="195"/>
    </row>
    <row r="23" ht="12.75">
      <c r="G23" s="232"/>
    </row>
  </sheetData>
  <sheetProtection/>
  <mergeCells count="22">
    <mergeCell ref="I9:I10"/>
    <mergeCell ref="A9:F10"/>
    <mergeCell ref="G9:G10"/>
    <mergeCell ref="H9:H10"/>
    <mergeCell ref="A13:F13"/>
    <mergeCell ref="A15:F15"/>
    <mergeCell ref="A6:I6"/>
    <mergeCell ref="A2:D2"/>
    <mergeCell ref="B1:D1"/>
    <mergeCell ref="A19:F19"/>
    <mergeCell ref="A18:F18"/>
    <mergeCell ref="A16:F16"/>
    <mergeCell ref="A14:F14"/>
    <mergeCell ref="A11:F11"/>
    <mergeCell ref="A17:F17"/>
    <mergeCell ref="A12:F12"/>
    <mergeCell ref="A3:D3"/>
    <mergeCell ref="B4:D4"/>
    <mergeCell ref="F1:I1"/>
    <mergeCell ref="E2:I2"/>
    <mergeCell ref="E3:I3"/>
    <mergeCell ref="F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21"/>
  <sheetViews>
    <sheetView view="pageBreakPreview" zoomScaleSheetLayoutView="100" workbookViewId="0" topLeftCell="A1">
      <selection activeCell="C22" sqref="C22:D22"/>
    </sheetView>
  </sheetViews>
  <sheetFormatPr defaultColWidth="8.875" defaultRowHeight="12.75"/>
  <cols>
    <col min="1" max="1" width="24.625" style="207" customWidth="1"/>
    <col min="2" max="2" width="43.00390625" style="207" customWidth="1"/>
    <col min="3" max="3" width="18.75390625" style="207" customWidth="1"/>
    <col min="4" max="4" width="19.75390625" style="207" customWidth="1"/>
    <col min="5" max="16384" width="8.875" style="207" customWidth="1"/>
  </cols>
  <sheetData>
    <row r="1" spans="1:4" ht="15.75">
      <c r="A1" s="218"/>
      <c r="B1" s="219"/>
      <c r="C1" s="293" t="s">
        <v>542</v>
      </c>
      <c r="D1" s="293"/>
    </row>
    <row r="2" spans="1:4" ht="15.75">
      <c r="A2" s="218"/>
      <c r="B2" s="293" t="s">
        <v>422</v>
      </c>
      <c r="C2" s="293"/>
      <c r="D2" s="293"/>
    </row>
    <row r="3" spans="1:4" ht="15.75">
      <c r="A3" s="218"/>
      <c r="B3" s="292" t="s">
        <v>423</v>
      </c>
      <c r="C3" s="292"/>
      <c r="D3" s="292"/>
    </row>
    <row r="4" spans="1:4" ht="15.75">
      <c r="A4" s="218"/>
      <c r="B4" s="293" t="s">
        <v>947</v>
      </c>
      <c r="C4" s="293"/>
      <c r="D4" s="293"/>
    </row>
    <row r="5" spans="1:3" ht="15.75">
      <c r="A5" s="218"/>
      <c r="B5" s="1"/>
      <c r="C5" s="1"/>
    </row>
    <row r="6" spans="1:4" ht="39.75" customHeight="1">
      <c r="A6" s="294" t="s">
        <v>868</v>
      </c>
      <c r="B6" s="294"/>
      <c r="C6" s="294"/>
      <c r="D6" s="294"/>
    </row>
    <row r="7" spans="1:3" ht="18.75">
      <c r="A7" s="220"/>
      <c r="B7" s="220"/>
      <c r="C7" s="220"/>
    </row>
    <row r="8" spans="1:4" ht="16.5">
      <c r="A8" s="222"/>
      <c r="B8" s="223"/>
      <c r="C8" s="223"/>
      <c r="D8" s="221" t="s">
        <v>360</v>
      </c>
    </row>
    <row r="9" spans="1:4" ht="12.75">
      <c r="A9" s="295" t="s">
        <v>152</v>
      </c>
      <c r="B9" s="295" t="s">
        <v>321</v>
      </c>
      <c r="C9" s="296" t="s">
        <v>815</v>
      </c>
      <c r="D9" s="296" t="s">
        <v>816</v>
      </c>
    </row>
    <row r="10" spans="1:4" ht="12.75">
      <c r="A10" s="295"/>
      <c r="B10" s="295"/>
      <c r="C10" s="296"/>
      <c r="D10" s="296"/>
    </row>
    <row r="11" spans="1:4" ht="33.75" customHeight="1">
      <c r="A11" s="295"/>
      <c r="B11" s="295"/>
      <c r="C11" s="296"/>
      <c r="D11" s="296"/>
    </row>
    <row r="12" spans="1:4" ht="45" customHeight="1">
      <c r="A12" s="3" t="s">
        <v>322</v>
      </c>
      <c r="B12" s="224" t="s">
        <v>323</v>
      </c>
      <c r="C12" s="110">
        <f>C13+C14</f>
        <v>7758.57919</v>
      </c>
      <c r="D12" s="110">
        <f>D13+D14</f>
        <v>3558.5791900000004</v>
      </c>
    </row>
    <row r="13" spans="1:4" ht="57" customHeight="1">
      <c r="A13" s="20" t="s">
        <v>324</v>
      </c>
      <c r="B13" s="225" t="s">
        <v>325</v>
      </c>
      <c r="C13" s="61">
        <f>6297.63199+2400+6000-939.0528</f>
        <v>13758.57919</v>
      </c>
      <c r="D13" s="61">
        <f>2097.63198+2400+4000-939.05279</f>
        <v>7558.57919</v>
      </c>
    </row>
    <row r="14" spans="1:4" ht="54.75" customHeight="1">
      <c r="A14" s="28" t="s">
        <v>326</v>
      </c>
      <c r="B14" s="226" t="s">
        <v>327</v>
      </c>
      <c r="C14" s="61">
        <v>-6000</v>
      </c>
      <c r="D14" s="61">
        <v>-4000</v>
      </c>
    </row>
    <row r="15" spans="1:4" ht="59.25" customHeight="1">
      <c r="A15" s="3" t="s">
        <v>328</v>
      </c>
      <c r="B15" s="224" t="s">
        <v>329</v>
      </c>
      <c r="C15" s="110">
        <f>C16+C17</f>
        <v>-5358.5791899999995</v>
      </c>
      <c r="D15" s="110">
        <f>D16+D17</f>
        <v>-1158.5791900000002</v>
      </c>
    </row>
    <row r="16" spans="1:4" ht="66" customHeight="1">
      <c r="A16" s="28" t="s">
        <v>263</v>
      </c>
      <c r="B16" s="227" t="s">
        <v>334</v>
      </c>
      <c r="C16" s="125">
        <v>0</v>
      </c>
      <c r="D16" s="125">
        <v>0</v>
      </c>
    </row>
    <row r="17" spans="1:4" ht="78.75">
      <c r="A17" s="228" t="s">
        <v>264</v>
      </c>
      <c r="B17" s="229" t="s">
        <v>335</v>
      </c>
      <c r="C17" s="61">
        <f>-(4200+2097.63199-939.0528)</f>
        <v>-5358.5791899999995</v>
      </c>
      <c r="D17" s="234">
        <f>-(2097.63198-939.05279)</f>
        <v>-1158.5791900000002</v>
      </c>
    </row>
    <row r="18" spans="1:4" ht="33.75" customHeight="1">
      <c r="A18" s="3" t="s">
        <v>375</v>
      </c>
      <c r="B18" s="224" t="s">
        <v>376</v>
      </c>
      <c r="C18" s="110">
        <f>C19+C20</f>
        <v>0</v>
      </c>
      <c r="D18" s="110">
        <f>D19+D20</f>
        <v>0</v>
      </c>
    </row>
    <row r="19" spans="1:4" ht="42" customHeight="1">
      <c r="A19" s="20" t="s">
        <v>0</v>
      </c>
      <c r="B19" s="225" t="s">
        <v>1</v>
      </c>
      <c r="C19" s="61">
        <f>-(515620.17859+14697.63199-939.0528)</f>
        <v>-529378.7577800001</v>
      </c>
      <c r="D19" s="61">
        <f>-(543940.89152+8497.63198-939.05279)</f>
        <v>-551499.4707099999</v>
      </c>
    </row>
    <row r="20" spans="1:4" ht="42.75" customHeight="1">
      <c r="A20" s="20" t="s">
        <v>2</v>
      </c>
      <c r="B20" s="225" t="s">
        <v>3</v>
      </c>
      <c r="C20" s="61">
        <f>518020.17859+6000+6297.63199-939.0528</f>
        <v>529378.7577800001</v>
      </c>
      <c r="D20" s="61">
        <f>546340.89152+4000+2097.63198-939.05279</f>
        <v>551499.4707099999</v>
      </c>
    </row>
    <row r="21" spans="1:4" ht="15.75">
      <c r="A21" s="3"/>
      <c r="B21" s="231" t="s">
        <v>336</v>
      </c>
      <c r="C21" s="210">
        <f>C12+C15+C18</f>
        <v>2400.000000000001</v>
      </c>
      <c r="D21" s="210">
        <f>D12+D15+D18</f>
        <v>2400</v>
      </c>
    </row>
  </sheetData>
  <sheetProtection/>
  <mergeCells count="9">
    <mergeCell ref="D9:D11"/>
    <mergeCell ref="A6:D6"/>
    <mergeCell ref="C1:D1"/>
    <mergeCell ref="B2:D2"/>
    <mergeCell ref="B3:D3"/>
    <mergeCell ref="B4:D4"/>
    <mergeCell ref="A9:A11"/>
    <mergeCell ref="B9:B11"/>
    <mergeCell ref="C9:C11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03"/>
  <sheetViews>
    <sheetView view="pageBreakPreview" zoomScaleSheetLayoutView="100" zoomScalePageLayoutView="0" workbookViewId="0" topLeftCell="A73">
      <selection activeCell="B96" sqref="B96:C96"/>
    </sheetView>
  </sheetViews>
  <sheetFormatPr defaultColWidth="8.75390625" defaultRowHeight="12.75"/>
  <cols>
    <col min="1" max="1" width="23.25390625" style="186" customWidth="1"/>
    <col min="2" max="2" width="9.25390625" style="129" customWidth="1"/>
    <col min="3" max="3" width="44.75390625" style="129" customWidth="1"/>
    <col min="4" max="4" width="16.00390625" style="118" hidden="1" customWidth="1"/>
    <col min="5" max="5" width="16.00390625" style="118" customWidth="1"/>
    <col min="6" max="6" width="15.375" style="118" hidden="1" customWidth="1"/>
    <col min="7" max="7" width="18.75390625" style="31" customWidth="1"/>
    <col min="8" max="8" width="15.75390625" style="31" bestFit="1" customWidth="1"/>
    <col min="9" max="16384" width="8.75390625" style="31" customWidth="1"/>
  </cols>
  <sheetData>
    <row r="1" spans="1:5" ht="15.75">
      <c r="A1" s="181"/>
      <c r="B1" s="182"/>
      <c r="C1" s="297" t="s">
        <v>477</v>
      </c>
      <c r="D1" s="298"/>
      <c r="E1" s="298"/>
    </row>
    <row r="2" spans="1:9" ht="15.75">
      <c r="A2" s="181"/>
      <c r="B2" s="182"/>
      <c r="C2" s="293" t="s">
        <v>422</v>
      </c>
      <c r="D2" s="293"/>
      <c r="E2" s="293"/>
      <c r="H2" s="6"/>
      <c r="I2" s="117"/>
    </row>
    <row r="3" spans="1:9" ht="15.75">
      <c r="A3" s="181"/>
      <c r="B3" s="182"/>
      <c r="C3" s="293" t="s">
        <v>423</v>
      </c>
      <c r="D3" s="293"/>
      <c r="E3" s="293"/>
      <c r="H3" s="293"/>
      <c r="I3" s="293"/>
    </row>
    <row r="4" spans="1:9" ht="13.5" customHeight="1">
      <c r="A4" s="181"/>
      <c r="B4" s="182"/>
      <c r="C4" s="293" t="s">
        <v>947</v>
      </c>
      <c r="D4" s="298"/>
      <c r="E4" s="298"/>
      <c r="H4" s="6"/>
      <c r="I4" s="117"/>
    </row>
    <row r="5" spans="1:9" ht="15.75">
      <c r="A5" s="181"/>
      <c r="B5" s="182"/>
      <c r="C5" s="182"/>
      <c r="H5" s="293"/>
      <c r="I5" s="293"/>
    </row>
    <row r="6" spans="1:5" ht="20.25" customHeight="1">
      <c r="A6" s="299" t="s">
        <v>812</v>
      </c>
      <c r="B6" s="299"/>
      <c r="C6" s="299"/>
      <c r="D6" s="299"/>
      <c r="E6" s="300"/>
    </row>
    <row r="7" spans="1:6" ht="15" customHeight="1">
      <c r="A7" s="183"/>
      <c r="B7" s="301"/>
      <c r="C7" s="301"/>
      <c r="D7" s="123"/>
      <c r="E7" s="123" t="s">
        <v>145</v>
      </c>
      <c r="F7" s="116"/>
    </row>
    <row r="8" spans="1:6" ht="15" customHeight="1">
      <c r="A8" s="302" t="s">
        <v>152</v>
      </c>
      <c r="B8" s="302" t="s">
        <v>363</v>
      </c>
      <c r="C8" s="302"/>
      <c r="D8" s="303" t="s">
        <v>878</v>
      </c>
      <c r="E8" s="303" t="s">
        <v>900</v>
      </c>
      <c r="F8" s="304" t="s">
        <v>685</v>
      </c>
    </row>
    <row r="9" spans="1:6" ht="67.5" customHeight="1">
      <c r="A9" s="302"/>
      <c r="B9" s="302"/>
      <c r="C9" s="302"/>
      <c r="D9" s="303"/>
      <c r="E9" s="303"/>
      <c r="F9" s="304"/>
    </row>
    <row r="10" spans="1:8" ht="18.75" customHeight="1">
      <c r="A10" s="121" t="s">
        <v>268</v>
      </c>
      <c r="B10" s="305" t="s">
        <v>269</v>
      </c>
      <c r="C10" s="305"/>
      <c r="D10" s="92">
        <f>D11+D13+D15+D20+D22+D30+D32+D35+D39+D40</f>
        <v>211636</v>
      </c>
      <c r="E10" s="92">
        <f>E11+E13+E15+E20+E22+E30+E32+E35+E39+E40</f>
        <v>228552.4</v>
      </c>
      <c r="F10" s="92">
        <f>F11+F13+F15+F20+F22+F30+F32+F35+F39+F40</f>
        <v>16567.4</v>
      </c>
      <c r="G10" s="64"/>
      <c r="H10" s="64"/>
    </row>
    <row r="11" spans="1:7" ht="15" customHeight="1">
      <c r="A11" s="121" t="s">
        <v>270</v>
      </c>
      <c r="B11" s="302" t="s">
        <v>280</v>
      </c>
      <c r="C11" s="302"/>
      <c r="D11" s="92">
        <f>SUM(D12)</f>
        <v>173894</v>
      </c>
      <c r="E11" s="92">
        <f>SUM(E12)</f>
        <v>185984</v>
      </c>
      <c r="F11" s="92">
        <f>SUM(F12)</f>
        <v>12090</v>
      </c>
      <c r="G11" s="64"/>
    </row>
    <row r="12" spans="1:7" ht="15" customHeight="1">
      <c r="A12" s="55" t="s">
        <v>420</v>
      </c>
      <c r="B12" s="302" t="s">
        <v>281</v>
      </c>
      <c r="C12" s="302"/>
      <c r="D12" s="119">
        <v>173894</v>
      </c>
      <c r="E12" s="119">
        <v>185984</v>
      </c>
      <c r="F12" s="119">
        <f>E12-D12</f>
        <v>12090</v>
      </c>
      <c r="G12" s="64"/>
    </row>
    <row r="13" spans="1:7" ht="45" customHeight="1">
      <c r="A13" s="121" t="s">
        <v>467</v>
      </c>
      <c r="B13" s="302" t="s">
        <v>468</v>
      </c>
      <c r="C13" s="302"/>
      <c r="D13" s="92">
        <f>SUM(D14)</f>
        <v>14759</v>
      </c>
      <c r="E13" s="92">
        <f>SUM(E14)</f>
        <v>13960</v>
      </c>
      <c r="F13" s="92">
        <f>SUM(F14)</f>
        <v>-799</v>
      </c>
      <c r="G13" s="64"/>
    </row>
    <row r="14" spans="1:6" ht="29.25" customHeight="1">
      <c r="A14" s="55" t="s">
        <v>465</v>
      </c>
      <c r="B14" s="302" t="s">
        <v>466</v>
      </c>
      <c r="C14" s="302"/>
      <c r="D14" s="119">
        <v>14759</v>
      </c>
      <c r="E14" s="119">
        <f>14759-799</f>
        <v>13960</v>
      </c>
      <c r="F14" s="119">
        <f>E14-D14</f>
        <v>-799</v>
      </c>
    </row>
    <row r="15" spans="1:6" ht="15" customHeight="1">
      <c r="A15" s="121" t="s">
        <v>282</v>
      </c>
      <c r="B15" s="302" t="s">
        <v>284</v>
      </c>
      <c r="C15" s="302"/>
      <c r="D15" s="92">
        <f>SUM(D16:D19)</f>
        <v>3640</v>
      </c>
      <c r="E15" s="92">
        <f>SUM(E16:E19)</f>
        <v>6553</v>
      </c>
      <c r="F15" s="92">
        <f>SUM(F16:F19)</f>
        <v>2564</v>
      </c>
    </row>
    <row r="16" spans="1:6" ht="30" customHeight="1">
      <c r="A16" s="55" t="s">
        <v>813</v>
      </c>
      <c r="B16" s="302" t="s">
        <v>676</v>
      </c>
      <c r="C16" s="302"/>
      <c r="D16" s="119">
        <v>249</v>
      </c>
      <c r="E16" s="119">
        <v>249</v>
      </c>
      <c r="F16" s="119">
        <f>E16-D16</f>
        <v>0</v>
      </c>
    </row>
    <row r="17" spans="1:6" ht="30" customHeight="1">
      <c r="A17" s="55" t="s">
        <v>437</v>
      </c>
      <c r="B17" s="302" t="s">
        <v>285</v>
      </c>
      <c r="C17" s="302"/>
      <c r="D17" s="119">
        <v>2163</v>
      </c>
      <c r="E17" s="119">
        <f>2163+200+149</f>
        <v>2512</v>
      </c>
      <c r="F17" s="119"/>
    </row>
    <row r="18" spans="1:6" ht="22.5" customHeight="1">
      <c r="A18" s="55" t="s">
        <v>438</v>
      </c>
      <c r="B18" s="302" t="s">
        <v>286</v>
      </c>
      <c r="C18" s="302"/>
      <c r="D18" s="119">
        <v>1146</v>
      </c>
      <c r="E18" s="119">
        <f>1146+213+8-8</f>
        <v>1359</v>
      </c>
      <c r="F18" s="119">
        <f>E18-D18</f>
        <v>213</v>
      </c>
    </row>
    <row r="19" spans="1:6" ht="45" customHeight="1">
      <c r="A19" s="55" t="s">
        <v>469</v>
      </c>
      <c r="B19" s="302" t="s">
        <v>470</v>
      </c>
      <c r="C19" s="302"/>
      <c r="D19" s="119">
        <v>82</v>
      </c>
      <c r="E19" s="119">
        <f>82+68+800+1465+10+8</f>
        <v>2433</v>
      </c>
      <c r="F19" s="119">
        <f>E19-D19</f>
        <v>2351</v>
      </c>
    </row>
    <row r="20" spans="1:6" ht="15" customHeight="1">
      <c r="A20" s="121" t="s">
        <v>287</v>
      </c>
      <c r="B20" s="302" t="s">
        <v>288</v>
      </c>
      <c r="C20" s="302"/>
      <c r="D20" s="92">
        <f>SUM(D21:D21)</f>
        <v>2900</v>
      </c>
      <c r="E20" s="92">
        <f>SUM(E21:E21)</f>
        <v>2500</v>
      </c>
      <c r="F20" s="92">
        <f>SUM(F21:F21)</f>
        <v>-400</v>
      </c>
    </row>
    <row r="21" spans="1:6" ht="46.5" customHeight="1">
      <c r="A21" s="12" t="s">
        <v>471</v>
      </c>
      <c r="B21" s="306" t="s">
        <v>16</v>
      </c>
      <c r="C21" s="306"/>
      <c r="D21" s="119">
        <v>2900</v>
      </c>
      <c r="E21" s="119">
        <f>2900-400</f>
        <v>2500</v>
      </c>
      <c r="F21" s="119">
        <f>E21-D21</f>
        <v>-400</v>
      </c>
    </row>
    <row r="22" spans="1:6" ht="52.5" customHeight="1">
      <c r="A22" s="121" t="s">
        <v>289</v>
      </c>
      <c r="B22" s="302" t="s">
        <v>439</v>
      </c>
      <c r="C22" s="302"/>
      <c r="D22" s="92">
        <f>SUM(D23:D29)</f>
        <v>7946</v>
      </c>
      <c r="E22" s="92">
        <f>SUM(E23:E29)</f>
        <v>8771</v>
      </c>
      <c r="F22" s="92">
        <f>SUM(F23:F29)</f>
        <v>825</v>
      </c>
    </row>
    <row r="23" spans="1:6" ht="111.75" customHeight="1">
      <c r="A23" s="55" t="s">
        <v>13</v>
      </c>
      <c r="B23" s="302" t="s">
        <v>513</v>
      </c>
      <c r="C23" s="302"/>
      <c r="D23" s="199">
        <v>515</v>
      </c>
      <c r="E23" s="199">
        <f>515+55+1645</f>
        <v>2215</v>
      </c>
      <c r="F23" s="119">
        <f aca="true" t="shared" si="0" ref="F23:F29">E23-D23</f>
        <v>1700</v>
      </c>
    </row>
    <row r="24" spans="1:6" ht="95.25" customHeight="1" hidden="1">
      <c r="A24" s="55" t="s">
        <v>15</v>
      </c>
      <c r="B24" s="302" t="s">
        <v>663</v>
      </c>
      <c r="C24" s="302"/>
      <c r="D24" s="199"/>
      <c r="E24" s="199"/>
      <c r="F24" s="119">
        <f t="shared" si="0"/>
        <v>0</v>
      </c>
    </row>
    <row r="25" spans="1:6" ht="84.75" customHeight="1">
      <c r="A25" s="55" t="s">
        <v>245</v>
      </c>
      <c r="B25" s="302" t="s">
        <v>906</v>
      </c>
      <c r="C25" s="302"/>
      <c r="D25" s="199">
        <v>5400</v>
      </c>
      <c r="E25" s="199">
        <f>5400+25-900</f>
        <v>4525</v>
      </c>
      <c r="F25" s="119">
        <f t="shared" si="0"/>
        <v>-875</v>
      </c>
    </row>
    <row r="26" spans="1:6" ht="85.5" customHeight="1">
      <c r="A26" s="55" t="s">
        <v>344</v>
      </c>
      <c r="B26" s="302" t="s">
        <v>259</v>
      </c>
      <c r="C26" s="302"/>
      <c r="D26" s="199">
        <v>103</v>
      </c>
      <c r="E26" s="199">
        <v>103</v>
      </c>
      <c r="F26" s="119">
        <f t="shared" si="0"/>
        <v>0</v>
      </c>
    </row>
    <row r="27" spans="1:6" ht="83.25" customHeight="1">
      <c r="A27" s="55" t="s">
        <v>186</v>
      </c>
      <c r="B27" s="302" t="s">
        <v>442</v>
      </c>
      <c r="C27" s="302"/>
      <c r="D27" s="119">
        <v>1928</v>
      </c>
      <c r="E27" s="119">
        <v>1928</v>
      </c>
      <c r="F27" s="119">
        <f t="shared" si="0"/>
        <v>0</v>
      </c>
    </row>
    <row r="28" spans="1:6" ht="59.25" customHeight="1" hidden="1">
      <c r="A28" s="55" t="s">
        <v>345</v>
      </c>
      <c r="B28" s="302" t="s">
        <v>187</v>
      </c>
      <c r="C28" s="302"/>
      <c r="D28" s="119"/>
      <c r="E28" s="119"/>
      <c r="F28" s="119">
        <f t="shared" si="0"/>
        <v>0</v>
      </c>
    </row>
    <row r="29" spans="1:6" ht="87" customHeight="1" hidden="1">
      <c r="A29" s="55" t="s">
        <v>188</v>
      </c>
      <c r="B29" s="302" t="s">
        <v>445</v>
      </c>
      <c r="C29" s="302"/>
      <c r="D29" s="119"/>
      <c r="E29" s="119"/>
      <c r="F29" s="119">
        <f t="shared" si="0"/>
        <v>0</v>
      </c>
    </row>
    <row r="30" spans="1:6" ht="31.5" customHeight="1">
      <c r="A30" s="121" t="s">
        <v>290</v>
      </c>
      <c r="B30" s="302" t="s">
        <v>291</v>
      </c>
      <c r="C30" s="302"/>
      <c r="D30" s="92">
        <f>SUM(D31)</f>
        <v>538</v>
      </c>
      <c r="E30" s="92">
        <f>SUM(E31)</f>
        <v>1378</v>
      </c>
      <c r="F30" s="92">
        <f>SUM(F31)</f>
        <v>840</v>
      </c>
    </row>
    <row r="31" spans="1:6" ht="24" customHeight="1">
      <c r="A31" s="55" t="s">
        <v>421</v>
      </c>
      <c r="B31" s="302" t="s">
        <v>292</v>
      </c>
      <c r="C31" s="302"/>
      <c r="D31" s="93">
        <v>538</v>
      </c>
      <c r="E31" s="93">
        <f>538+840</f>
        <v>1378</v>
      </c>
      <c r="F31" s="119">
        <f>E31-D31</f>
        <v>840</v>
      </c>
    </row>
    <row r="32" spans="1:6" ht="31.5" customHeight="1">
      <c r="A32" s="121" t="s">
        <v>293</v>
      </c>
      <c r="B32" s="302" t="s">
        <v>294</v>
      </c>
      <c r="C32" s="302"/>
      <c r="D32" s="92">
        <f>SUM(D33:D34)</f>
        <v>1057</v>
      </c>
      <c r="E32" s="92">
        <f>SUM(E33:E34)</f>
        <v>1057</v>
      </c>
      <c r="F32" s="92">
        <f>SUM(F33:F34)</f>
        <v>0</v>
      </c>
    </row>
    <row r="33" spans="1:8" ht="41.25" customHeight="1">
      <c r="A33" s="55" t="s">
        <v>446</v>
      </c>
      <c r="B33" s="302" t="s">
        <v>447</v>
      </c>
      <c r="C33" s="302"/>
      <c r="D33" s="119">
        <f>90+144</f>
        <v>234</v>
      </c>
      <c r="E33" s="119">
        <f>90+144</f>
        <v>234</v>
      </c>
      <c r="F33" s="119">
        <f>E33-D33</f>
        <v>0</v>
      </c>
      <c r="G33" s="64"/>
      <c r="H33" s="64"/>
    </row>
    <row r="34" spans="1:6" ht="51.75" customHeight="1">
      <c r="A34" s="55" t="s">
        <v>664</v>
      </c>
      <c r="B34" s="302" t="s">
        <v>665</v>
      </c>
      <c r="C34" s="302"/>
      <c r="D34" s="119">
        <v>823</v>
      </c>
      <c r="E34" s="119">
        <v>823</v>
      </c>
      <c r="F34" s="119">
        <f>E34-D34</f>
        <v>0</v>
      </c>
    </row>
    <row r="35" spans="1:6" ht="36" customHeight="1">
      <c r="A35" s="121" t="s">
        <v>295</v>
      </c>
      <c r="B35" s="302" t="s">
        <v>296</v>
      </c>
      <c r="C35" s="302"/>
      <c r="D35" s="92">
        <f>SUM(D36:D38)</f>
        <v>3887</v>
      </c>
      <c r="E35" s="92">
        <f>SUM(E36:E38)</f>
        <v>5334.4</v>
      </c>
      <c r="F35" s="92">
        <f>SUM(F36:F38)</f>
        <v>1447.3999999999996</v>
      </c>
    </row>
    <row r="36" spans="1:8" ht="87" customHeight="1">
      <c r="A36" s="55" t="s">
        <v>448</v>
      </c>
      <c r="B36" s="302" t="s">
        <v>461</v>
      </c>
      <c r="C36" s="302"/>
      <c r="D36" s="119">
        <f>1041+425+2081</f>
        <v>3547</v>
      </c>
      <c r="E36" s="119">
        <f>1041+425+2081+62.4+759</f>
        <v>4368.4</v>
      </c>
      <c r="F36" s="119">
        <f>E36-D36</f>
        <v>821.3999999999996</v>
      </c>
      <c r="G36" s="193"/>
      <c r="H36" s="64"/>
    </row>
    <row r="37" spans="1:6" ht="55.5" customHeight="1">
      <c r="A37" s="12" t="s">
        <v>528</v>
      </c>
      <c r="B37" s="302" t="s">
        <v>804</v>
      </c>
      <c r="C37" s="302"/>
      <c r="D37" s="119">
        <v>340</v>
      </c>
      <c r="E37" s="119">
        <f>340+250</f>
        <v>590</v>
      </c>
      <c r="F37" s="119">
        <f>E37-D37</f>
        <v>250</v>
      </c>
    </row>
    <row r="38" spans="1:6" ht="57" customHeight="1">
      <c r="A38" s="12" t="s">
        <v>571</v>
      </c>
      <c r="B38" s="302" t="s">
        <v>260</v>
      </c>
      <c r="C38" s="302"/>
      <c r="D38" s="119"/>
      <c r="E38" s="119">
        <v>376</v>
      </c>
      <c r="F38" s="119">
        <f>E38-D38</f>
        <v>376</v>
      </c>
    </row>
    <row r="39" spans="1:6" ht="19.5" customHeight="1">
      <c r="A39" s="121" t="s">
        <v>297</v>
      </c>
      <c r="B39" s="302" t="s">
        <v>298</v>
      </c>
      <c r="C39" s="302"/>
      <c r="D39" s="120">
        <f>1500+15+1200</f>
        <v>2715</v>
      </c>
      <c r="E39" s="120">
        <f>1500+15+1200</f>
        <v>2715</v>
      </c>
      <c r="F39" s="120">
        <f>E39-D39</f>
        <v>0</v>
      </c>
    </row>
    <row r="40" spans="1:6" ht="31.5" customHeight="1">
      <c r="A40" s="121" t="s">
        <v>346</v>
      </c>
      <c r="B40" s="302" t="s">
        <v>347</v>
      </c>
      <c r="C40" s="302"/>
      <c r="D40" s="92">
        <f>SUM(D41)</f>
        <v>300</v>
      </c>
      <c r="E40" s="92">
        <f>SUM(E41)</f>
        <v>300</v>
      </c>
      <c r="F40" s="92">
        <f>SUM(F41)</f>
        <v>0</v>
      </c>
    </row>
    <row r="41" spans="1:6" ht="27" customHeight="1">
      <c r="A41" s="12" t="s">
        <v>349</v>
      </c>
      <c r="B41" s="302" t="s">
        <v>351</v>
      </c>
      <c r="C41" s="302"/>
      <c r="D41" s="119">
        <v>300</v>
      </c>
      <c r="E41" s="119">
        <v>300</v>
      </c>
      <c r="F41" s="119">
        <f>E41-D41</f>
        <v>0</v>
      </c>
    </row>
    <row r="42" spans="1:8" ht="32.25" customHeight="1">
      <c r="A42" s="121" t="s">
        <v>299</v>
      </c>
      <c r="B42" s="305" t="s">
        <v>688</v>
      </c>
      <c r="C42" s="305"/>
      <c r="D42" s="92">
        <f>D43</f>
        <v>291580.88323999994</v>
      </c>
      <c r="E42" s="92">
        <f>E43</f>
        <v>313362.69131</v>
      </c>
      <c r="F42" s="92">
        <f>F43</f>
        <v>2905.7330699999984</v>
      </c>
      <c r="G42" s="64"/>
      <c r="H42" s="64"/>
    </row>
    <row r="43" spans="1:8" ht="33" customHeight="1">
      <c r="A43" s="55" t="s">
        <v>300</v>
      </c>
      <c r="B43" s="302" t="s">
        <v>689</v>
      </c>
      <c r="C43" s="302"/>
      <c r="D43" s="92">
        <f>D44+D48+D61+D93</f>
        <v>291580.88323999994</v>
      </c>
      <c r="E43" s="92">
        <f>E44+E48+E61+E93</f>
        <v>313362.69131</v>
      </c>
      <c r="F43" s="92">
        <f>F44+F48+F61+F93</f>
        <v>2905.7330699999984</v>
      </c>
      <c r="G43" s="64"/>
      <c r="H43" s="64"/>
    </row>
    <row r="44" spans="1:7" ht="31.5" customHeight="1">
      <c r="A44" s="121" t="s">
        <v>666</v>
      </c>
      <c r="B44" s="305" t="s">
        <v>303</v>
      </c>
      <c r="C44" s="305"/>
      <c r="D44" s="92">
        <f>D46+D47</f>
        <v>0</v>
      </c>
      <c r="E44" s="92">
        <f>E46+E47</f>
        <v>8050.54</v>
      </c>
      <c r="F44" s="92">
        <f>E44-D44</f>
        <v>8050.54</v>
      </c>
      <c r="G44" s="64"/>
    </row>
    <row r="45" spans="1:6" ht="43.5" customHeight="1" hidden="1">
      <c r="A45" s="55" t="s">
        <v>474</v>
      </c>
      <c r="B45" s="302" t="s">
        <v>189</v>
      </c>
      <c r="C45" s="302"/>
      <c r="D45" s="119"/>
      <c r="E45" s="119"/>
      <c r="F45" s="119">
        <f>E45-D45</f>
        <v>0</v>
      </c>
    </row>
    <row r="46" spans="1:6" ht="108" customHeight="1" hidden="1">
      <c r="A46" s="55" t="s">
        <v>797</v>
      </c>
      <c r="B46" s="302" t="s">
        <v>798</v>
      </c>
      <c r="C46" s="307"/>
      <c r="D46" s="119">
        <v>0</v>
      </c>
      <c r="E46" s="119">
        <v>0</v>
      </c>
      <c r="F46" s="119">
        <f>E46-D46</f>
        <v>0</v>
      </c>
    </row>
    <row r="47" spans="1:6" ht="30" customHeight="1">
      <c r="A47" s="55" t="s">
        <v>574</v>
      </c>
      <c r="B47" s="302" t="s">
        <v>359</v>
      </c>
      <c r="C47" s="302"/>
      <c r="D47" s="119">
        <v>0</v>
      </c>
      <c r="E47" s="119">
        <v>8050.54</v>
      </c>
      <c r="F47" s="119">
        <f>E47-D47</f>
        <v>8050.54</v>
      </c>
    </row>
    <row r="48" spans="1:7" ht="33" customHeight="1">
      <c r="A48" s="48" t="s">
        <v>476</v>
      </c>
      <c r="B48" s="303" t="s">
        <v>283</v>
      </c>
      <c r="C48" s="303"/>
      <c r="D48" s="92">
        <f>D49+D60</f>
        <v>0</v>
      </c>
      <c r="E48" s="92">
        <f>E49+E60</f>
        <v>6412.659180000001</v>
      </c>
      <c r="F48" s="92">
        <f>F49+F60</f>
        <v>6412.659180000001</v>
      </c>
      <c r="G48" s="64"/>
    </row>
    <row r="49" spans="1:7" ht="33" customHeight="1">
      <c r="A49" s="91" t="s">
        <v>667</v>
      </c>
      <c r="B49" s="308" t="s">
        <v>792</v>
      </c>
      <c r="C49" s="308"/>
      <c r="D49" s="106">
        <f>SUM(D50:D57)</f>
        <v>0</v>
      </c>
      <c r="E49" s="106">
        <f>SUM(E55:E58)</f>
        <v>4608.92918</v>
      </c>
      <c r="F49" s="106">
        <f>SUM(F50:F57)</f>
        <v>4608.92918</v>
      </c>
      <c r="G49" s="64"/>
    </row>
    <row r="50" spans="1:8" ht="74.25" customHeight="1" hidden="1">
      <c r="A50" s="12" t="s">
        <v>667</v>
      </c>
      <c r="B50" s="302" t="s">
        <v>668</v>
      </c>
      <c r="C50" s="302"/>
      <c r="D50" s="93">
        <v>0</v>
      </c>
      <c r="E50" s="93">
        <v>0</v>
      </c>
      <c r="F50" s="119">
        <f aca="true" t="shared" si="1" ref="F50:F60">E50-D50</f>
        <v>0</v>
      </c>
      <c r="G50" s="184"/>
      <c r="H50" s="185"/>
    </row>
    <row r="51" spans="1:8" ht="60" customHeight="1" hidden="1">
      <c r="A51" s="12" t="s">
        <v>667</v>
      </c>
      <c r="B51" s="309" t="s">
        <v>794</v>
      </c>
      <c r="C51" s="310"/>
      <c r="D51" s="93">
        <v>0</v>
      </c>
      <c r="E51" s="93">
        <v>0</v>
      </c>
      <c r="F51" s="119">
        <f t="shared" si="1"/>
        <v>0</v>
      </c>
      <c r="G51" s="184"/>
      <c r="H51" s="185"/>
    </row>
    <row r="52" spans="1:6" ht="72" customHeight="1" hidden="1">
      <c r="A52" s="12" t="s">
        <v>667</v>
      </c>
      <c r="B52" s="302" t="s">
        <v>793</v>
      </c>
      <c r="C52" s="302"/>
      <c r="D52" s="93">
        <v>0</v>
      </c>
      <c r="E52" s="93">
        <v>0</v>
      </c>
      <c r="F52" s="119">
        <f t="shared" si="1"/>
        <v>0</v>
      </c>
    </row>
    <row r="53" spans="1:6" ht="57" customHeight="1" hidden="1">
      <c r="A53" s="12" t="s">
        <v>667</v>
      </c>
      <c r="B53" s="302" t="s">
        <v>686</v>
      </c>
      <c r="C53" s="307"/>
      <c r="D53" s="93">
        <v>0</v>
      </c>
      <c r="E53" s="93">
        <v>0</v>
      </c>
      <c r="F53" s="119">
        <f t="shared" si="1"/>
        <v>0</v>
      </c>
    </row>
    <row r="54" spans="1:6" ht="57.75" customHeight="1" hidden="1">
      <c r="A54" s="12" t="s">
        <v>667</v>
      </c>
      <c r="B54" s="302" t="s">
        <v>704</v>
      </c>
      <c r="C54" s="307"/>
      <c r="D54" s="93">
        <v>0</v>
      </c>
      <c r="E54" s="93">
        <v>0</v>
      </c>
      <c r="F54" s="119">
        <f t="shared" si="1"/>
        <v>0</v>
      </c>
    </row>
    <row r="55" spans="1:7" ht="58.5" customHeight="1">
      <c r="A55" s="12" t="s">
        <v>667</v>
      </c>
      <c r="B55" s="302" t="s">
        <v>687</v>
      </c>
      <c r="C55" s="302"/>
      <c r="D55" s="93">
        <v>0</v>
      </c>
      <c r="E55" s="93">
        <v>226.44289</v>
      </c>
      <c r="F55" s="119">
        <f t="shared" si="1"/>
        <v>226.44289</v>
      </c>
      <c r="G55" s="194"/>
    </row>
    <row r="56" spans="1:7" ht="51" customHeight="1">
      <c r="A56" s="12" t="s">
        <v>667</v>
      </c>
      <c r="B56" s="302" t="s">
        <v>736</v>
      </c>
      <c r="C56" s="302"/>
      <c r="D56" s="93">
        <v>0</v>
      </c>
      <c r="E56" s="93">
        <v>1382.48629</v>
      </c>
      <c r="F56" s="119">
        <f t="shared" si="1"/>
        <v>1382.48629</v>
      </c>
      <c r="G56" s="194"/>
    </row>
    <row r="57" spans="1:6" ht="66.75" customHeight="1">
      <c r="A57" s="12" t="s">
        <v>667</v>
      </c>
      <c r="B57" s="302" t="s">
        <v>795</v>
      </c>
      <c r="C57" s="302"/>
      <c r="D57" s="93">
        <v>0</v>
      </c>
      <c r="E57" s="93">
        <v>3000</v>
      </c>
      <c r="F57" s="119">
        <f t="shared" si="1"/>
        <v>3000</v>
      </c>
    </row>
    <row r="58" spans="1:6" ht="66.75" customHeight="1" hidden="1">
      <c r="A58" s="12" t="s">
        <v>667</v>
      </c>
      <c r="B58" s="302" t="s">
        <v>901</v>
      </c>
      <c r="C58" s="311"/>
      <c r="D58" s="93"/>
      <c r="E58" s="93">
        <v>0</v>
      </c>
      <c r="F58" s="119"/>
    </row>
    <row r="59" spans="1:6" ht="45.75" customHeight="1" hidden="1">
      <c r="A59" s="12" t="s">
        <v>667</v>
      </c>
      <c r="B59" s="302" t="s">
        <v>796</v>
      </c>
      <c r="C59" s="302"/>
      <c r="D59" s="93">
        <v>0</v>
      </c>
      <c r="E59" s="93">
        <v>0</v>
      </c>
      <c r="F59" s="119">
        <f t="shared" si="1"/>
        <v>0</v>
      </c>
    </row>
    <row r="60" spans="1:6" ht="75" customHeight="1">
      <c r="A60" s="12" t="s">
        <v>679</v>
      </c>
      <c r="B60" s="302" t="s">
        <v>879</v>
      </c>
      <c r="C60" s="302"/>
      <c r="D60" s="93">
        <v>0</v>
      </c>
      <c r="E60" s="93">
        <v>1803.73</v>
      </c>
      <c r="F60" s="119">
        <f t="shared" si="1"/>
        <v>1803.73</v>
      </c>
    </row>
    <row r="61" spans="1:8" ht="46.5" customHeight="1">
      <c r="A61" s="121" t="s">
        <v>573</v>
      </c>
      <c r="B61" s="305" t="s">
        <v>416</v>
      </c>
      <c r="C61" s="305"/>
      <c r="D61" s="92">
        <f>D63+D64+D65+D71+D91+D92+D67</f>
        <v>287319.28323999996</v>
      </c>
      <c r="E61" s="92">
        <f>SUM(E62:E68)+E71</f>
        <v>282169.03813</v>
      </c>
      <c r="F61" s="92">
        <f>F63+F64+F65+F71+F91+F92+F67</f>
        <v>-24026.32011</v>
      </c>
      <c r="H61" s="64"/>
    </row>
    <row r="62" spans="1:8" ht="68.25" customHeight="1">
      <c r="A62" s="55" t="s">
        <v>672</v>
      </c>
      <c r="B62" s="302" t="s">
        <v>343</v>
      </c>
      <c r="C62" s="302"/>
      <c r="D62" s="93">
        <v>4647.323</v>
      </c>
      <c r="E62" s="93">
        <v>6035.259</v>
      </c>
      <c r="F62" s="92"/>
      <c r="H62" s="64"/>
    </row>
    <row r="63" spans="1:7" ht="59.25" customHeight="1">
      <c r="A63" s="55" t="s">
        <v>572</v>
      </c>
      <c r="B63" s="302" t="s">
        <v>753</v>
      </c>
      <c r="C63" s="302"/>
      <c r="D63" s="119">
        <v>1250</v>
      </c>
      <c r="E63" s="119">
        <f>1361.162+34.03</f>
        <v>1395.192</v>
      </c>
      <c r="F63" s="119">
        <f>E63-D63</f>
        <v>145.192</v>
      </c>
      <c r="G63" s="64"/>
    </row>
    <row r="64" spans="1:6" ht="42" customHeight="1">
      <c r="A64" s="55" t="s">
        <v>729</v>
      </c>
      <c r="B64" s="302" t="s">
        <v>814</v>
      </c>
      <c r="C64" s="307"/>
      <c r="D64" s="119">
        <v>520.869</v>
      </c>
      <c r="E64" s="119">
        <v>530.28251</v>
      </c>
      <c r="F64" s="119">
        <f>E64-D64</f>
        <v>9.413509999999974</v>
      </c>
    </row>
    <row r="65" spans="1:6" ht="93" customHeight="1">
      <c r="A65" s="55" t="s">
        <v>575</v>
      </c>
      <c r="B65" s="302" t="s">
        <v>752</v>
      </c>
      <c r="C65" s="302"/>
      <c r="D65" s="93">
        <v>18.268</v>
      </c>
      <c r="E65" s="93">
        <f>26.012+0.0008</f>
        <v>26.012800000000002</v>
      </c>
      <c r="F65" s="119">
        <f>E65-D65</f>
        <v>7.7448000000000015</v>
      </c>
    </row>
    <row r="66" spans="1:6" ht="71.25" customHeight="1">
      <c r="A66" s="55" t="s">
        <v>801</v>
      </c>
      <c r="B66" s="302" t="s">
        <v>802</v>
      </c>
      <c r="C66" s="307"/>
      <c r="D66" s="93">
        <v>0</v>
      </c>
      <c r="E66" s="93">
        <f>18147.5-7270.9</f>
        <v>10876.6</v>
      </c>
      <c r="F66" s="119"/>
    </row>
    <row r="67" spans="1:6" ht="30.75" customHeight="1">
      <c r="A67" s="55" t="s">
        <v>880</v>
      </c>
      <c r="B67" s="302" t="s">
        <v>881</v>
      </c>
      <c r="C67" s="302"/>
      <c r="D67" s="93">
        <v>0</v>
      </c>
      <c r="E67" s="93">
        <v>307.152</v>
      </c>
      <c r="F67" s="119">
        <f>E67-D67</f>
        <v>307.152</v>
      </c>
    </row>
    <row r="68" spans="1:6" ht="33.75" customHeight="1">
      <c r="A68" s="91" t="s">
        <v>904</v>
      </c>
      <c r="B68" s="314" t="s">
        <v>905</v>
      </c>
      <c r="C68" s="314"/>
      <c r="D68" s="106">
        <f>D69+D70</f>
        <v>1897.594</v>
      </c>
      <c r="E68" s="106">
        <f>E69+E70</f>
        <v>1964.216</v>
      </c>
      <c r="F68" s="119"/>
    </row>
    <row r="69" spans="1:6" ht="53.25" customHeight="1">
      <c r="A69" s="55"/>
      <c r="B69" s="302" t="s">
        <v>460</v>
      </c>
      <c r="C69" s="302"/>
      <c r="D69" s="199">
        <v>740.504</v>
      </c>
      <c r="E69" s="199">
        <v>766.425</v>
      </c>
      <c r="F69" s="119"/>
    </row>
    <row r="70" spans="1:6" ht="68.25" customHeight="1">
      <c r="A70" s="55"/>
      <c r="B70" s="302" t="s">
        <v>331</v>
      </c>
      <c r="C70" s="302"/>
      <c r="D70" s="199">
        <v>1157.09</v>
      </c>
      <c r="E70" s="199">
        <v>1197.791</v>
      </c>
      <c r="F70" s="119"/>
    </row>
    <row r="71" spans="1:8" ht="48.75" customHeight="1">
      <c r="A71" s="171" t="s">
        <v>576</v>
      </c>
      <c r="B71" s="312" t="s">
        <v>267</v>
      </c>
      <c r="C71" s="312"/>
      <c r="D71" s="172">
        <f>D72+D73+D74+D77+D78+D79+D81+D83+D84+D85+D86+D88+D89+D90</f>
        <v>280882.82324</v>
      </c>
      <c r="E71" s="172">
        <f>SUM(E72:E90)</f>
        <v>261034.32382000002</v>
      </c>
      <c r="F71" s="172">
        <f>F72+F73+F74+F77+F78+F79+F81+F83+F84+F85+F86+F88+F89+F90</f>
        <v>-19848.49942</v>
      </c>
      <c r="G71" s="64"/>
      <c r="H71" s="64"/>
    </row>
    <row r="72" spans="1:6" ht="76.5" customHeight="1">
      <c r="A72" s="55" t="s">
        <v>576</v>
      </c>
      <c r="B72" s="302" t="s">
        <v>455</v>
      </c>
      <c r="C72" s="302"/>
      <c r="D72" s="93">
        <f>156357.937</f>
        <v>156357.937</v>
      </c>
      <c r="E72" s="93">
        <v>161257.823</v>
      </c>
      <c r="F72" s="119">
        <f aca="true" t="shared" si="2" ref="F72:F90">E72-D72</f>
        <v>4899.885999999999</v>
      </c>
    </row>
    <row r="73" spans="1:6" ht="82.5" customHeight="1">
      <c r="A73" s="55" t="s">
        <v>576</v>
      </c>
      <c r="B73" s="302" t="s">
        <v>669</v>
      </c>
      <c r="C73" s="302"/>
      <c r="D73" s="93">
        <f>13848.602</f>
        <v>13848.602</v>
      </c>
      <c r="E73" s="93">
        <v>7270.9</v>
      </c>
      <c r="F73" s="119">
        <f t="shared" si="2"/>
        <v>-6577.702000000001</v>
      </c>
    </row>
    <row r="74" spans="1:6" ht="40.5" customHeight="1" hidden="1">
      <c r="A74" s="215" t="s">
        <v>904</v>
      </c>
      <c r="B74" s="313" t="s">
        <v>905</v>
      </c>
      <c r="C74" s="313"/>
      <c r="D74" s="200">
        <f>D75+D76</f>
        <v>1897.594</v>
      </c>
      <c r="E74" s="200">
        <f>E75+E76</f>
        <v>0</v>
      </c>
      <c r="F74" s="93">
        <f>F75+F76</f>
        <v>-1897.594</v>
      </c>
    </row>
    <row r="75" spans="1:6" ht="57" customHeight="1" hidden="1">
      <c r="A75" s="215" t="s">
        <v>576</v>
      </c>
      <c r="B75" s="313" t="s">
        <v>460</v>
      </c>
      <c r="C75" s="313"/>
      <c r="D75" s="198">
        <v>740.504</v>
      </c>
      <c r="E75" s="198">
        <v>0</v>
      </c>
      <c r="F75" s="119">
        <f>E75-D75</f>
        <v>-740.504</v>
      </c>
    </row>
    <row r="76" spans="1:6" ht="67.5" customHeight="1" hidden="1">
      <c r="A76" s="215" t="s">
        <v>576</v>
      </c>
      <c r="B76" s="313" t="s">
        <v>331</v>
      </c>
      <c r="C76" s="313"/>
      <c r="D76" s="198">
        <v>1157.09</v>
      </c>
      <c r="E76" s="198">
        <v>0</v>
      </c>
      <c r="F76" s="119">
        <f t="shared" si="2"/>
        <v>-1157.09</v>
      </c>
    </row>
    <row r="77" spans="1:6" ht="75.75" customHeight="1">
      <c r="A77" s="55" t="s">
        <v>576</v>
      </c>
      <c r="B77" s="302" t="s">
        <v>456</v>
      </c>
      <c r="C77" s="302"/>
      <c r="D77" s="93">
        <v>48045.528</v>
      </c>
      <c r="E77" s="93">
        <v>38428.372</v>
      </c>
      <c r="F77" s="119">
        <f t="shared" si="2"/>
        <v>-9617.155999999995</v>
      </c>
    </row>
    <row r="78" spans="1:8" ht="66" customHeight="1">
      <c r="A78" s="55" t="s">
        <v>576</v>
      </c>
      <c r="B78" s="302" t="s">
        <v>755</v>
      </c>
      <c r="C78" s="302"/>
      <c r="D78" s="93">
        <f>3064.058</f>
        <v>3064.058</v>
      </c>
      <c r="E78" s="93">
        <v>896.82255</v>
      </c>
      <c r="F78" s="119">
        <f t="shared" si="2"/>
        <v>-2167.23545</v>
      </c>
      <c r="H78" s="64"/>
    </row>
    <row r="79" spans="1:6" ht="57" customHeight="1">
      <c r="A79" s="55" t="s">
        <v>576</v>
      </c>
      <c r="B79" s="302" t="s">
        <v>459</v>
      </c>
      <c r="C79" s="302"/>
      <c r="D79" s="119">
        <v>768.474</v>
      </c>
      <c r="E79" s="119">
        <v>794.861</v>
      </c>
      <c r="F79" s="119">
        <f t="shared" si="2"/>
        <v>26.386999999999944</v>
      </c>
    </row>
    <row r="80" spans="1:6" ht="66" customHeight="1" hidden="1">
      <c r="A80" s="55"/>
      <c r="B80" s="302"/>
      <c r="C80" s="302"/>
      <c r="D80" s="119"/>
      <c r="E80" s="119"/>
      <c r="F80" s="119"/>
    </row>
    <row r="81" spans="1:6" ht="60" customHeight="1">
      <c r="A81" s="55" t="s">
        <v>576</v>
      </c>
      <c r="B81" s="302" t="s">
        <v>332</v>
      </c>
      <c r="C81" s="302"/>
      <c r="D81" s="93">
        <v>11501.934</v>
      </c>
      <c r="E81" s="93">
        <v>11291.076</v>
      </c>
      <c r="F81" s="119">
        <f t="shared" si="2"/>
        <v>-210.85800000000017</v>
      </c>
    </row>
    <row r="82" spans="1:6" ht="64.5" customHeight="1" hidden="1">
      <c r="A82" s="55"/>
      <c r="B82" s="302"/>
      <c r="C82" s="302"/>
      <c r="D82" s="119"/>
      <c r="E82" s="119"/>
      <c r="F82" s="119">
        <f t="shared" si="2"/>
        <v>0</v>
      </c>
    </row>
    <row r="83" spans="1:6" ht="89.25" customHeight="1">
      <c r="A83" s="55" t="s">
        <v>576</v>
      </c>
      <c r="B83" s="302" t="s">
        <v>754</v>
      </c>
      <c r="C83" s="302"/>
      <c r="D83" s="93">
        <v>1.69524</v>
      </c>
      <c r="E83" s="93">
        <v>1.69524</v>
      </c>
      <c r="F83" s="119">
        <f t="shared" si="2"/>
        <v>0</v>
      </c>
    </row>
    <row r="84" spans="1:6" ht="75.75" customHeight="1">
      <c r="A84" s="55" t="s">
        <v>576</v>
      </c>
      <c r="B84" s="302" t="s">
        <v>735</v>
      </c>
      <c r="C84" s="302"/>
      <c r="D84" s="119">
        <v>316.235</v>
      </c>
      <c r="E84" s="119">
        <v>265.91093</v>
      </c>
      <c r="F84" s="119">
        <f t="shared" si="2"/>
        <v>-50.324070000000006</v>
      </c>
    </row>
    <row r="85" spans="1:6" ht="51.75" customHeight="1">
      <c r="A85" s="55" t="s">
        <v>670</v>
      </c>
      <c r="B85" s="302" t="s">
        <v>710</v>
      </c>
      <c r="C85" s="302"/>
      <c r="D85" s="119">
        <v>1804.088</v>
      </c>
      <c r="E85" s="119">
        <v>1865.848</v>
      </c>
      <c r="F85" s="119">
        <f t="shared" si="2"/>
        <v>61.75999999999999</v>
      </c>
    </row>
    <row r="86" spans="1:6" ht="84.75" customHeight="1">
      <c r="A86" s="55" t="s">
        <v>670</v>
      </c>
      <c r="B86" s="302" t="s">
        <v>701</v>
      </c>
      <c r="C86" s="307"/>
      <c r="D86" s="119">
        <v>18654.753</v>
      </c>
      <c r="E86" s="119">
        <v>14799.63122</v>
      </c>
      <c r="F86" s="119">
        <f t="shared" si="2"/>
        <v>-3855.1217800000013</v>
      </c>
    </row>
    <row r="87" spans="1:6" ht="71.25" customHeight="1" hidden="1">
      <c r="A87" s="55" t="s">
        <v>729</v>
      </c>
      <c r="B87" s="302" t="s">
        <v>728</v>
      </c>
      <c r="C87" s="307"/>
      <c r="D87" s="93">
        <v>0</v>
      </c>
      <c r="E87" s="93">
        <v>0</v>
      </c>
      <c r="F87" s="119">
        <f t="shared" si="2"/>
        <v>0</v>
      </c>
    </row>
    <row r="88" spans="1:6" ht="72.75" customHeight="1">
      <c r="A88" s="55" t="s">
        <v>670</v>
      </c>
      <c r="B88" s="302" t="s">
        <v>671</v>
      </c>
      <c r="C88" s="302"/>
      <c r="D88" s="93">
        <v>2375</v>
      </c>
      <c r="E88" s="93">
        <v>2160</v>
      </c>
      <c r="F88" s="119">
        <f t="shared" si="2"/>
        <v>-215</v>
      </c>
    </row>
    <row r="89" spans="1:8" ht="45.75" customHeight="1">
      <c r="A89" s="55" t="s">
        <v>576</v>
      </c>
      <c r="B89" s="302" t="s">
        <v>643</v>
      </c>
      <c r="C89" s="302"/>
      <c r="D89" s="93">
        <f>22243.702</f>
        <v>22243.702</v>
      </c>
      <c r="E89" s="93">
        <v>21997.9968</v>
      </c>
      <c r="F89" s="119">
        <f t="shared" si="2"/>
        <v>-245.70520000000033</v>
      </c>
      <c r="H89" s="64"/>
    </row>
    <row r="90" spans="1:6" ht="108" customHeight="1">
      <c r="A90" s="55" t="s">
        <v>576</v>
      </c>
      <c r="B90" s="302" t="s">
        <v>589</v>
      </c>
      <c r="C90" s="302"/>
      <c r="D90" s="93">
        <v>3.223</v>
      </c>
      <c r="E90" s="93">
        <v>3.38708</v>
      </c>
      <c r="F90" s="119">
        <f t="shared" si="2"/>
        <v>0.16408000000000023</v>
      </c>
    </row>
    <row r="91" spans="1:6" ht="103.5" customHeight="1" hidden="1">
      <c r="A91" s="55" t="s">
        <v>672</v>
      </c>
      <c r="B91" s="302" t="s">
        <v>343</v>
      </c>
      <c r="C91" s="302"/>
      <c r="D91" s="93">
        <v>4647.323</v>
      </c>
      <c r="E91" s="93">
        <v>0</v>
      </c>
      <c r="F91" s="119">
        <f>E91-D91</f>
        <v>-4647.323</v>
      </c>
    </row>
    <row r="92" spans="1:6" ht="78.75" customHeight="1" hidden="1">
      <c r="A92" s="55" t="s">
        <v>801</v>
      </c>
      <c r="B92" s="302" t="s">
        <v>802</v>
      </c>
      <c r="C92" s="307"/>
      <c r="D92" s="93">
        <v>0</v>
      </c>
      <c r="E92" s="93">
        <v>0</v>
      </c>
      <c r="F92" s="119">
        <f>E92-D92</f>
        <v>0</v>
      </c>
    </row>
    <row r="93" spans="1:6" ht="18.75" customHeight="1">
      <c r="A93" s="121" t="s">
        <v>673</v>
      </c>
      <c r="B93" s="305" t="s">
        <v>690</v>
      </c>
      <c r="C93" s="305"/>
      <c r="D93" s="92">
        <f>D94+D95+D96</f>
        <v>4261.6</v>
      </c>
      <c r="E93" s="92">
        <f>E94+E95+E96</f>
        <v>16730.453999999998</v>
      </c>
      <c r="F93" s="92">
        <f>F94+F95+F96</f>
        <v>12468.854</v>
      </c>
    </row>
    <row r="94" spans="1:6" ht="83.25" customHeight="1" hidden="1">
      <c r="A94" s="12" t="s">
        <v>763</v>
      </c>
      <c r="B94" s="302" t="s">
        <v>764</v>
      </c>
      <c r="C94" s="307"/>
      <c r="D94" s="93">
        <v>0</v>
      </c>
      <c r="E94" s="93">
        <v>0</v>
      </c>
      <c r="F94" s="119">
        <f>E94-D94</f>
        <v>0</v>
      </c>
    </row>
    <row r="95" spans="1:6" ht="69" customHeight="1">
      <c r="A95" s="12" t="s">
        <v>800</v>
      </c>
      <c r="B95" s="302" t="s">
        <v>803</v>
      </c>
      <c r="C95" s="307"/>
      <c r="D95" s="93">
        <v>0</v>
      </c>
      <c r="E95" s="93">
        <v>12051</v>
      </c>
      <c r="F95" s="119">
        <f>E95-D95</f>
        <v>12051</v>
      </c>
    </row>
    <row r="96" spans="1:6" ht="73.5" customHeight="1">
      <c r="A96" s="12" t="s">
        <v>674</v>
      </c>
      <c r="B96" s="316" t="s">
        <v>506</v>
      </c>
      <c r="C96" s="316"/>
      <c r="D96" s="93">
        <f>4261.6</f>
        <v>4261.6</v>
      </c>
      <c r="E96" s="93">
        <v>4679.454</v>
      </c>
      <c r="F96" s="119">
        <f>E96-D96</f>
        <v>417.85399999999936</v>
      </c>
    </row>
    <row r="97" spans="1:6" ht="15" customHeight="1" hidden="1">
      <c r="A97" s="12" t="s">
        <v>482</v>
      </c>
      <c r="B97" s="316" t="s">
        <v>357</v>
      </c>
      <c r="C97" s="316"/>
      <c r="D97" s="119"/>
      <c r="E97" s="119"/>
      <c r="F97" s="119"/>
    </row>
    <row r="98" spans="1:6" ht="15" customHeight="1" hidden="1">
      <c r="A98" s="12" t="s">
        <v>483</v>
      </c>
      <c r="B98" s="302" t="s">
        <v>386</v>
      </c>
      <c r="C98" s="302"/>
      <c r="D98" s="119"/>
      <c r="E98" s="119"/>
      <c r="F98" s="119"/>
    </row>
    <row r="99" spans="1:6" ht="15" customHeight="1" hidden="1">
      <c r="A99" s="12" t="s">
        <v>484</v>
      </c>
      <c r="B99" s="302" t="s">
        <v>341</v>
      </c>
      <c r="C99" s="302"/>
      <c r="D99" s="119"/>
      <c r="E99" s="119"/>
      <c r="F99" s="119"/>
    </row>
    <row r="100" spans="1:7" ht="15">
      <c r="A100" s="55"/>
      <c r="B100" s="315" t="s">
        <v>320</v>
      </c>
      <c r="C100" s="315"/>
      <c r="D100" s="92">
        <f>D10+D42</f>
        <v>503216.88323999994</v>
      </c>
      <c r="E100" s="92">
        <f>E10+E42</f>
        <v>541915.09131</v>
      </c>
      <c r="F100" s="92">
        <f>F10+F42</f>
        <v>19473.13307</v>
      </c>
      <c r="G100" s="64"/>
    </row>
    <row r="101" spans="3:5" ht="12.75">
      <c r="C101" s="187"/>
      <c r="E101" s="124"/>
    </row>
    <row r="102" spans="3:7" ht="12.75">
      <c r="C102" s="187"/>
      <c r="D102" s="124"/>
      <c r="E102" s="124"/>
      <c r="F102" s="124"/>
      <c r="G102" s="185"/>
    </row>
    <row r="103" spans="3:7" ht="12.75">
      <c r="C103" s="187"/>
      <c r="D103" s="124"/>
      <c r="E103" s="124"/>
      <c r="G103" s="64"/>
    </row>
  </sheetData>
  <sheetProtection/>
  <mergeCells count="104">
    <mergeCell ref="B99:C99"/>
    <mergeCell ref="B100:C100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5:C65"/>
    <mergeCell ref="B67:C67"/>
    <mergeCell ref="B71:C71"/>
    <mergeCell ref="B72:C72"/>
    <mergeCell ref="B73:C73"/>
    <mergeCell ref="B74:C74"/>
    <mergeCell ref="B68:C68"/>
    <mergeCell ref="B69:C69"/>
    <mergeCell ref="B70:C70"/>
    <mergeCell ref="B66:C66"/>
    <mergeCell ref="B57:C57"/>
    <mergeCell ref="B59:C59"/>
    <mergeCell ref="B60:C60"/>
    <mergeCell ref="B61:C61"/>
    <mergeCell ref="B63:C63"/>
    <mergeCell ref="B64:C64"/>
    <mergeCell ref="B58:C58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F8:F9"/>
    <mergeCell ref="B10:C10"/>
    <mergeCell ref="B11:C11"/>
    <mergeCell ref="B12:C12"/>
    <mergeCell ref="B13:C13"/>
    <mergeCell ref="B14:C14"/>
    <mergeCell ref="A6:E6"/>
    <mergeCell ref="B7:C7"/>
    <mergeCell ref="A8:A9"/>
    <mergeCell ref="B8:C9"/>
    <mergeCell ref="D8:D9"/>
    <mergeCell ref="E8:E9"/>
    <mergeCell ref="C1:E1"/>
    <mergeCell ref="C2:E2"/>
    <mergeCell ref="C3:E3"/>
    <mergeCell ref="H3:I3"/>
    <mergeCell ref="C4:E4"/>
    <mergeCell ref="H5:I5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642"/>
  <sheetViews>
    <sheetView view="pageBreakPreview" zoomScale="84" zoomScaleSheetLayoutView="84" workbookViewId="0" topLeftCell="A345">
      <selection activeCell="G351" sqref="G351"/>
    </sheetView>
  </sheetViews>
  <sheetFormatPr defaultColWidth="8.75390625" defaultRowHeight="12.75"/>
  <cols>
    <col min="1" max="1" width="46.00390625" style="235" customWidth="1"/>
    <col min="2" max="2" width="4.75390625" style="27" customWidth="1"/>
    <col min="3" max="3" width="5.375" style="27" customWidth="1"/>
    <col min="4" max="4" width="14.75390625" style="27" customWidth="1"/>
    <col min="5" max="5" width="5.625" style="27" customWidth="1"/>
    <col min="6" max="6" width="16.00390625" style="138" customWidth="1"/>
    <col min="7" max="7" width="18.75390625" style="138" customWidth="1"/>
    <col min="8" max="8" width="16.375" style="138" customWidth="1"/>
    <col min="9" max="9" width="16.25390625" style="138" bestFit="1" customWidth="1"/>
    <col min="10" max="10" width="16.25390625" style="138" customWidth="1"/>
    <col min="11" max="11" width="12.625" style="138" bestFit="1" customWidth="1"/>
    <col min="12" max="12" width="12.375" style="138" bestFit="1" customWidth="1"/>
    <col min="13" max="16384" width="8.75390625" style="138" customWidth="1"/>
  </cols>
  <sheetData>
    <row r="1" spans="1:8" ht="15.75">
      <c r="A1" s="10"/>
      <c r="B1" s="10"/>
      <c r="C1" s="10"/>
      <c r="D1" s="10"/>
      <c r="F1" s="293" t="s">
        <v>543</v>
      </c>
      <c r="G1" s="293"/>
      <c r="H1" s="293"/>
    </row>
    <row r="2" spans="6:8" ht="15.75">
      <c r="F2" s="293" t="s">
        <v>422</v>
      </c>
      <c r="G2" s="293"/>
      <c r="H2" s="293"/>
    </row>
    <row r="3" spans="6:8" ht="15.75">
      <c r="F3" s="293" t="s">
        <v>423</v>
      </c>
      <c r="G3" s="293"/>
      <c r="H3" s="293"/>
    </row>
    <row r="4" spans="6:8" ht="15.75" customHeight="1">
      <c r="F4" s="319" t="s">
        <v>947</v>
      </c>
      <c r="G4" s="293"/>
      <c r="H4" s="293"/>
    </row>
    <row r="5" ht="4.5" customHeight="1"/>
    <row r="6" spans="1:8" ht="15.75">
      <c r="A6" s="317" t="s">
        <v>424</v>
      </c>
      <c r="B6" s="317"/>
      <c r="C6" s="317"/>
      <c r="D6" s="317"/>
      <c r="E6" s="317"/>
      <c r="F6" s="317"/>
      <c r="G6" s="317"/>
      <c r="H6" s="317"/>
    </row>
    <row r="7" spans="1:8" ht="16.5" customHeight="1">
      <c r="A7" s="317" t="s">
        <v>873</v>
      </c>
      <c r="B7" s="317"/>
      <c r="C7" s="317"/>
      <c r="D7" s="317"/>
      <c r="E7" s="317"/>
      <c r="F7" s="317"/>
      <c r="G7" s="317"/>
      <c r="H7" s="317"/>
    </row>
    <row r="8" spans="1:8" ht="15.75" customHeight="1">
      <c r="A8" s="317" t="s">
        <v>142</v>
      </c>
      <c r="B8" s="317"/>
      <c r="C8" s="317"/>
      <c r="D8" s="317"/>
      <c r="E8" s="317"/>
      <c r="F8" s="317"/>
      <c r="G8" s="317"/>
      <c r="H8" s="317"/>
    </row>
    <row r="9" spans="1:8" ht="15.75" customHeight="1">
      <c r="A9" s="8"/>
      <c r="B9" s="8"/>
      <c r="C9" s="139"/>
      <c r="D9" s="139"/>
      <c r="E9" s="139"/>
      <c r="F9" s="139"/>
      <c r="G9" s="139"/>
      <c r="H9" s="137" t="s">
        <v>387</v>
      </c>
    </row>
    <row r="10" spans="1:8" ht="12" customHeight="1">
      <c r="A10" s="318" t="s">
        <v>363</v>
      </c>
      <c r="B10" s="318" t="s">
        <v>157</v>
      </c>
      <c r="C10" s="318" t="s">
        <v>158</v>
      </c>
      <c r="D10" s="318" t="s">
        <v>365</v>
      </c>
      <c r="E10" s="318" t="s">
        <v>159</v>
      </c>
      <c r="F10" s="295" t="s">
        <v>569</v>
      </c>
      <c r="G10" s="295" t="s">
        <v>367</v>
      </c>
      <c r="H10" s="295"/>
    </row>
    <row r="11" spans="1:8" ht="52.5" customHeight="1">
      <c r="A11" s="318"/>
      <c r="B11" s="318"/>
      <c r="C11" s="318"/>
      <c r="D11" s="318"/>
      <c r="E11" s="318"/>
      <c r="F11" s="295"/>
      <c r="G11" s="28" t="s">
        <v>141</v>
      </c>
      <c r="H11" s="28" t="s">
        <v>262</v>
      </c>
    </row>
    <row r="12" spans="1:8" s="152" customFormat="1" ht="12" customHeight="1">
      <c r="A12" s="20">
        <v>1</v>
      </c>
      <c r="B12" s="20">
        <v>2</v>
      </c>
      <c r="C12" s="20">
        <v>3</v>
      </c>
      <c r="D12" s="20">
        <v>4</v>
      </c>
      <c r="E12" s="20">
        <v>5</v>
      </c>
      <c r="F12" s="28">
        <v>6</v>
      </c>
      <c r="G12" s="28">
        <v>7</v>
      </c>
      <c r="H12" s="140">
        <v>8</v>
      </c>
    </row>
    <row r="13" spans="1:12" ht="18.75" customHeight="1">
      <c r="A13" s="59" t="s">
        <v>160</v>
      </c>
      <c r="B13" s="17" t="s">
        <v>161</v>
      </c>
      <c r="C13" s="17" t="s">
        <v>162</v>
      </c>
      <c r="D13" s="17" t="s">
        <v>337</v>
      </c>
      <c r="E13" s="17" t="s">
        <v>426</v>
      </c>
      <c r="F13" s="110">
        <f>G13+H13</f>
        <v>44968.12268</v>
      </c>
      <c r="G13" s="110">
        <f>G14+G20+G35+G48+G66+G70+G76+G82+G45</f>
        <v>39600.76901</v>
      </c>
      <c r="H13" s="110">
        <f>H14+H20+H35+H48+H66+H82+H45</f>
        <v>5367.35367</v>
      </c>
      <c r="K13" s="146"/>
      <c r="L13" s="146"/>
    </row>
    <row r="14" spans="1:8" ht="47.25" customHeight="1">
      <c r="A14" s="25" t="s">
        <v>371</v>
      </c>
      <c r="B14" s="13" t="s">
        <v>161</v>
      </c>
      <c r="C14" s="13" t="s">
        <v>163</v>
      </c>
      <c r="D14" s="13" t="s">
        <v>337</v>
      </c>
      <c r="E14" s="13" t="s">
        <v>426</v>
      </c>
      <c r="F14" s="61">
        <f>G14+H14</f>
        <v>1836.31</v>
      </c>
      <c r="G14" s="61">
        <f aca="true" t="shared" si="0" ref="G14:H17">G15</f>
        <v>1836.31</v>
      </c>
      <c r="H14" s="61">
        <f t="shared" si="0"/>
        <v>0</v>
      </c>
    </row>
    <row r="15" spans="1:8" ht="33" customHeight="1">
      <c r="A15" s="25" t="s">
        <v>164</v>
      </c>
      <c r="B15" s="13" t="s">
        <v>161</v>
      </c>
      <c r="C15" s="13" t="s">
        <v>163</v>
      </c>
      <c r="D15" s="13" t="s">
        <v>19</v>
      </c>
      <c r="E15" s="13" t="s">
        <v>426</v>
      </c>
      <c r="F15" s="61">
        <f aca="true" t="shared" si="1" ref="F15:F36">G15+H15</f>
        <v>1836.31</v>
      </c>
      <c r="G15" s="61">
        <f t="shared" si="0"/>
        <v>1836.31</v>
      </c>
      <c r="H15" s="61">
        <f t="shared" si="0"/>
        <v>0</v>
      </c>
    </row>
    <row r="16" spans="1:8" ht="48" customHeight="1">
      <c r="A16" s="25" t="s">
        <v>165</v>
      </c>
      <c r="B16" s="13" t="s">
        <v>161</v>
      </c>
      <c r="C16" s="13" t="s">
        <v>163</v>
      </c>
      <c r="D16" s="13" t="s">
        <v>20</v>
      </c>
      <c r="E16" s="13" t="s">
        <v>426</v>
      </c>
      <c r="F16" s="61">
        <f t="shared" si="1"/>
        <v>1836.31</v>
      </c>
      <c r="G16" s="61">
        <f t="shared" si="0"/>
        <v>1836.31</v>
      </c>
      <c r="H16" s="61">
        <f t="shared" si="0"/>
        <v>0</v>
      </c>
    </row>
    <row r="17" spans="1:8" s="141" customFormat="1" ht="16.5" customHeight="1">
      <c r="A17" s="29" t="s">
        <v>431</v>
      </c>
      <c r="B17" s="26" t="s">
        <v>161</v>
      </c>
      <c r="C17" s="26" t="s">
        <v>163</v>
      </c>
      <c r="D17" s="26" t="s">
        <v>21</v>
      </c>
      <c r="E17" s="26" t="s">
        <v>426</v>
      </c>
      <c r="F17" s="62">
        <f t="shared" si="1"/>
        <v>1836.31</v>
      </c>
      <c r="G17" s="62">
        <f>G18</f>
        <v>1836.31</v>
      </c>
      <c r="H17" s="62">
        <f t="shared" si="0"/>
        <v>0</v>
      </c>
    </row>
    <row r="18" spans="1:8" ht="95.25" customHeight="1">
      <c r="A18" s="25" t="s">
        <v>199</v>
      </c>
      <c r="B18" s="13" t="s">
        <v>161</v>
      </c>
      <c r="C18" s="13" t="s">
        <v>163</v>
      </c>
      <c r="D18" s="13" t="s">
        <v>21</v>
      </c>
      <c r="E18" s="13" t="s">
        <v>166</v>
      </c>
      <c r="F18" s="61">
        <f t="shared" si="1"/>
        <v>1836.31</v>
      </c>
      <c r="G18" s="61">
        <f>G19</f>
        <v>1836.31</v>
      </c>
      <c r="H18" s="61"/>
    </row>
    <row r="19" spans="1:8" ht="33.75" customHeight="1">
      <c r="A19" s="25" t="s">
        <v>201</v>
      </c>
      <c r="B19" s="13" t="s">
        <v>161</v>
      </c>
      <c r="C19" s="13" t="s">
        <v>163</v>
      </c>
      <c r="D19" s="13" t="s">
        <v>21</v>
      </c>
      <c r="E19" s="13" t="s">
        <v>200</v>
      </c>
      <c r="F19" s="61">
        <f>G19+H19</f>
        <v>1836.31</v>
      </c>
      <c r="G19" s="61">
        <f>1836.31</f>
        <v>1836.31</v>
      </c>
      <c r="H19" s="61"/>
    </row>
    <row r="20" spans="1:10" ht="65.25" customHeight="1">
      <c r="A20" s="25" t="s">
        <v>167</v>
      </c>
      <c r="B20" s="13" t="s">
        <v>161</v>
      </c>
      <c r="C20" s="13" t="s">
        <v>168</v>
      </c>
      <c r="D20" s="13" t="s">
        <v>337</v>
      </c>
      <c r="E20" s="13" t="s">
        <v>426</v>
      </c>
      <c r="F20" s="61">
        <f t="shared" si="1"/>
        <v>3847.8</v>
      </c>
      <c r="G20" s="61">
        <f>G21</f>
        <v>3847.8</v>
      </c>
      <c r="H20" s="61">
        <f>H21</f>
        <v>0</v>
      </c>
      <c r="J20" s="146"/>
    </row>
    <row r="21" spans="1:8" ht="33" customHeight="1">
      <c r="A21" s="25" t="s">
        <v>164</v>
      </c>
      <c r="B21" s="13" t="s">
        <v>161</v>
      </c>
      <c r="C21" s="13" t="s">
        <v>168</v>
      </c>
      <c r="D21" s="13" t="s">
        <v>19</v>
      </c>
      <c r="E21" s="13" t="s">
        <v>426</v>
      </c>
      <c r="F21" s="61">
        <f t="shared" si="1"/>
        <v>3847.8</v>
      </c>
      <c r="G21" s="61">
        <f>G22</f>
        <v>3847.8</v>
      </c>
      <c r="H21" s="61">
        <f>H22</f>
        <v>0</v>
      </c>
    </row>
    <row r="22" spans="1:8" ht="47.25" customHeight="1">
      <c r="A22" s="25" t="s">
        <v>165</v>
      </c>
      <c r="B22" s="13" t="s">
        <v>161</v>
      </c>
      <c r="C22" s="13" t="s">
        <v>168</v>
      </c>
      <c r="D22" s="13" t="s">
        <v>20</v>
      </c>
      <c r="E22" s="13" t="s">
        <v>426</v>
      </c>
      <c r="F22" s="61">
        <f t="shared" si="1"/>
        <v>3847.8</v>
      </c>
      <c r="G22" s="61">
        <f>G28+G23</f>
        <v>3847.8</v>
      </c>
      <c r="H22" s="61">
        <f>H28+H23</f>
        <v>0</v>
      </c>
    </row>
    <row r="23" spans="1:8" s="141" customFormat="1" ht="33.75" customHeight="1">
      <c r="A23" s="29" t="s">
        <v>195</v>
      </c>
      <c r="B23" s="26" t="s">
        <v>161</v>
      </c>
      <c r="C23" s="26" t="s">
        <v>168</v>
      </c>
      <c r="D23" s="26" t="s">
        <v>22</v>
      </c>
      <c r="E23" s="26" t="s">
        <v>426</v>
      </c>
      <c r="F23" s="62">
        <f t="shared" si="1"/>
        <v>1683</v>
      </c>
      <c r="G23" s="62">
        <f>G24+G26</f>
        <v>1683</v>
      </c>
      <c r="H23" s="62"/>
    </row>
    <row r="24" spans="1:8" ht="98.25" customHeight="1">
      <c r="A24" s="25" t="s">
        <v>199</v>
      </c>
      <c r="B24" s="13" t="s">
        <v>161</v>
      </c>
      <c r="C24" s="13" t="s">
        <v>168</v>
      </c>
      <c r="D24" s="13" t="s">
        <v>22</v>
      </c>
      <c r="E24" s="13" t="s">
        <v>166</v>
      </c>
      <c r="F24" s="61">
        <f t="shared" si="1"/>
        <v>1668</v>
      </c>
      <c r="G24" s="61">
        <f>G25</f>
        <v>1668</v>
      </c>
      <c r="H24" s="61"/>
    </row>
    <row r="25" spans="1:8" ht="35.25" customHeight="1">
      <c r="A25" s="25" t="s">
        <v>201</v>
      </c>
      <c r="B25" s="13" t="s">
        <v>161</v>
      </c>
      <c r="C25" s="13" t="s">
        <v>168</v>
      </c>
      <c r="D25" s="13" t="s">
        <v>22</v>
      </c>
      <c r="E25" s="13" t="s">
        <v>200</v>
      </c>
      <c r="F25" s="61">
        <f t="shared" si="1"/>
        <v>1668</v>
      </c>
      <c r="G25" s="125">
        <v>1668</v>
      </c>
      <c r="H25" s="61"/>
    </row>
    <row r="26" spans="1:8" ht="35.25" customHeight="1">
      <c r="A26" s="25" t="s">
        <v>202</v>
      </c>
      <c r="B26" s="13" t="s">
        <v>161</v>
      </c>
      <c r="C26" s="13" t="s">
        <v>168</v>
      </c>
      <c r="D26" s="13" t="s">
        <v>22</v>
      </c>
      <c r="E26" s="13" t="s">
        <v>170</v>
      </c>
      <c r="F26" s="61">
        <f>G26+H26</f>
        <v>15</v>
      </c>
      <c r="G26" s="61">
        <f>G27</f>
        <v>15</v>
      </c>
      <c r="H26" s="61">
        <f>H27</f>
        <v>0</v>
      </c>
    </row>
    <row r="27" spans="1:8" ht="48" customHeight="1">
      <c r="A27" s="25" t="s">
        <v>203</v>
      </c>
      <c r="B27" s="13" t="s">
        <v>161</v>
      </c>
      <c r="C27" s="13" t="s">
        <v>168</v>
      </c>
      <c r="D27" s="13" t="s">
        <v>22</v>
      </c>
      <c r="E27" s="13" t="s">
        <v>204</v>
      </c>
      <c r="F27" s="61">
        <f>G27+H27</f>
        <v>15</v>
      </c>
      <c r="G27" s="61">
        <v>15</v>
      </c>
      <c r="H27" s="61"/>
    </row>
    <row r="28" spans="1:9" s="141" customFormat="1" ht="48.75" customHeight="1">
      <c r="A28" s="29" t="s">
        <v>169</v>
      </c>
      <c r="B28" s="26" t="s">
        <v>161</v>
      </c>
      <c r="C28" s="26" t="s">
        <v>168</v>
      </c>
      <c r="D28" s="26" t="s">
        <v>23</v>
      </c>
      <c r="E28" s="26" t="s">
        <v>426</v>
      </c>
      <c r="F28" s="62">
        <f t="shared" si="1"/>
        <v>2164.8</v>
      </c>
      <c r="G28" s="62">
        <f>G29+G31+G33</f>
        <v>2164.8</v>
      </c>
      <c r="H28" s="62">
        <f>SUM(H29:H32)</f>
        <v>0</v>
      </c>
      <c r="I28" s="175"/>
    </row>
    <row r="29" spans="1:8" ht="94.5" customHeight="1">
      <c r="A29" s="25" t="s">
        <v>199</v>
      </c>
      <c r="B29" s="13" t="s">
        <v>161</v>
      </c>
      <c r="C29" s="13" t="s">
        <v>168</v>
      </c>
      <c r="D29" s="13" t="s">
        <v>23</v>
      </c>
      <c r="E29" s="13" t="s">
        <v>166</v>
      </c>
      <c r="F29" s="61">
        <f t="shared" si="1"/>
        <v>1623.7340000000002</v>
      </c>
      <c r="G29" s="61">
        <f>G30</f>
        <v>1623.7340000000002</v>
      </c>
      <c r="H29" s="61"/>
    </row>
    <row r="30" spans="1:8" ht="35.25" customHeight="1">
      <c r="A30" s="25" t="s">
        <v>201</v>
      </c>
      <c r="B30" s="13" t="s">
        <v>161</v>
      </c>
      <c r="C30" s="13" t="s">
        <v>168</v>
      </c>
      <c r="D30" s="13" t="s">
        <v>23</v>
      </c>
      <c r="E30" s="13" t="s">
        <v>200</v>
      </c>
      <c r="F30" s="61">
        <f t="shared" si="1"/>
        <v>1623.7340000000002</v>
      </c>
      <c r="G30" s="61">
        <f>1820.9-197.166</f>
        <v>1623.7340000000002</v>
      </c>
      <c r="H30" s="61"/>
    </row>
    <row r="31" spans="1:8" ht="33" customHeight="1">
      <c r="A31" s="25" t="s">
        <v>202</v>
      </c>
      <c r="B31" s="13" t="s">
        <v>161</v>
      </c>
      <c r="C31" s="13" t="s">
        <v>168</v>
      </c>
      <c r="D31" s="13" t="s">
        <v>23</v>
      </c>
      <c r="E31" s="13" t="s">
        <v>170</v>
      </c>
      <c r="F31" s="61">
        <f t="shared" si="1"/>
        <v>536.066</v>
      </c>
      <c r="G31" s="61">
        <f>G32</f>
        <v>536.066</v>
      </c>
      <c r="H31" s="61"/>
    </row>
    <row r="32" spans="1:8" ht="50.25" customHeight="1">
      <c r="A32" s="25" t="s">
        <v>203</v>
      </c>
      <c r="B32" s="13" t="s">
        <v>161</v>
      </c>
      <c r="C32" s="13" t="s">
        <v>168</v>
      </c>
      <c r="D32" s="13" t="s">
        <v>23</v>
      </c>
      <c r="E32" s="13" t="s">
        <v>204</v>
      </c>
      <c r="F32" s="61">
        <f t="shared" si="1"/>
        <v>536.066</v>
      </c>
      <c r="G32" s="61">
        <f>2164.8-1820.9-5+197.166</f>
        <v>536.066</v>
      </c>
      <c r="H32" s="61"/>
    </row>
    <row r="33" spans="1:8" ht="19.5" customHeight="1">
      <c r="A33" s="25" t="s">
        <v>207</v>
      </c>
      <c r="B33" s="13" t="s">
        <v>161</v>
      </c>
      <c r="C33" s="13" t="s">
        <v>168</v>
      </c>
      <c r="D33" s="13" t="s">
        <v>23</v>
      </c>
      <c r="E33" s="13" t="s">
        <v>208</v>
      </c>
      <c r="F33" s="61">
        <f>G33+H33</f>
        <v>5</v>
      </c>
      <c r="G33" s="61">
        <f>G34</f>
        <v>5</v>
      </c>
      <c r="H33" s="61"/>
    </row>
    <row r="34" spans="1:8" ht="18.75" customHeight="1">
      <c r="A34" s="25" t="s">
        <v>205</v>
      </c>
      <c r="B34" s="13" t="s">
        <v>161</v>
      </c>
      <c r="C34" s="13" t="s">
        <v>168</v>
      </c>
      <c r="D34" s="13" t="s">
        <v>23</v>
      </c>
      <c r="E34" s="13" t="s">
        <v>206</v>
      </c>
      <c r="F34" s="61">
        <f>G34+H34</f>
        <v>5</v>
      </c>
      <c r="G34" s="61">
        <v>5</v>
      </c>
      <c r="H34" s="61"/>
    </row>
    <row r="35" spans="1:10" ht="82.5" customHeight="1">
      <c r="A35" s="25" t="s">
        <v>354</v>
      </c>
      <c r="B35" s="13" t="s">
        <v>161</v>
      </c>
      <c r="C35" s="13" t="s">
        <v>172</v>
      </c>
      <c r="D35" s="13" t="s">
        <v>337</v>
      </c>
      <c r="E35" s="13" t="s">
        <v>426</v>
      </c>
      <c r="F35" s="61">
        <f t="shared" si="1"/>
        <v>19100.332</v>
      </c>
      <c r="G35" s="61">
        <f>G36</f>
        <v>19100.332</v>
      </c>
      <c r="H35" s="61"/>
      <c r="J35" s="148"/>
    </row>
    <row r="36" spans="1:9" ht="33.75" customHeight="1">
      <c r="A36" s="25" t="s">
        <v>164</v>
      </c>
      <c r="B36" s="13" t="s">
        <v>161</v>
      </c>
      <c r="C36" s="13" t="s">
        <v>172</v>
      </c>
      <c r="D36" s="13" t="s">
        <v>19</v>
      </c>
      <c r="E36" s="13" t="s">
        <v>426</v>
      </c>
      <c r="F36" s="61">
        <f t="shared" si="1"/>
        <v>19100.332</v>
      </c>
      <c r="G36" s="61">
        <f>G37</f>
        <v>19100.332</v>
      </c>
      <c r="H36" s="61"/>
      <c r="I36" s="142"/>
    </row>
    <row r="37" spans="1:8" ht="47.25" customHeight="1">
      <c r="A37" s="25" t="s">
        <v>165</v>
      </c>
      <c r="B37" s="13" t="s">
        <v>161</v>
      </c>
      <c r="C37" s="13" t="s">
        <v>172</v>
      </c>
      <c r="D37" s="13" t="s">
        <v>20</v>
      </c>
      <c r="E37" s="13" t="s">
        <v>426</v>
      </c>
      <c r="F37" s="61">
        <f>G37+H37</f>
        <v>19100.332</v>
      </c>
      <c r="G37" s="61">
        <f>G38</f>
        <v>19100.332</v>
      </c>
      <c r="H37" s="61">
        <f>H38</f>
        <v>0</v>
      </c>
    </row>
    <row r="38" spans="1:10" s="141" customFormat="1" ht="48.75" customHeight="1">
      <c r="A38" s="29" t="s">
        <v>169</v>
      </c>
      <c r="B38" s="26" t="s">
        <v>161</v>
      </c>
      <c r="C38" s="26" t="s">
        <v>172</v>
      </c>
      <c r="D38" s="26" t="s">
        <v>23</v>
      </c>
      <c r="E38" s="26" t="s">
        <v>426</v>
      </c>
      <c r="F38" s="62">
        <f aca="true" t="shared" si="2" ref="F38:F167">G38+H38</f>
        <v>19100.332</v>
      </c>
      <c r="G38" s="62">
        <f>G39+G41+G43</f>
        <v>19100.332</v>
      </c>
      <c r="H38" s="62">
        <f>SUM(H39:H42)</f>
        <v>0</v>
      </c>
      <c r="J38" s="175"/>
    </row>
    <row r="39" spans="1:8" ht="96" customHeight="1">
      <c r="A39" s="25" t="s">
        <v>199</v>
      </c>
      <c r="B39" s="13" t="s">
        <v>161</v>
      </c>
      <c r="C39" s="13" t="s">
        <v>172</v>
      </c>
      <c r="D39" s="13" t="s">
        <v>23</v>
      </c>
      <c r="E39" s="13" t="s">
        <v>166</v>
      </c>
      <c r="F39" s="61">
        <f t="shared" si="2"/>
        <v>12047</v>
      </c>
      <c r="G39" s="61">
        <f>G40</f>
        <v>12047</v>
      </c>
      <c r="H39" s="61"/>
    </row>
    <row r="40" spans="1:10" ht="39" customHeight="1">
      <c r="A40" s="25" t="s">
        <v>201</v>
      </c>
      <c r="B40" s="13" t="s">
        <v>161</v>
      </c>
      <c r="C40" s="13" t="s">
        <v>172</v>
      </c>
      <c r="D40" s="13" t="s">
        <v>23</v>
      </c>
      <c r="E40" s="13" t="s">
        <v>200</v>
      </c>
      <c r="F40" s="61">
        <f t="shared" si="2"/>
        <v>12047</v>
      </c>
      <c r="G40" s="61">
        <f>9060.7+250+2736.3</f>
        <v>12047</v>
      </c>
      <c r="H40" s="61"/>
      <c r="J40" s="146"/>
    </row>
    <row r="41" spans="1:8" ht="33" customHeight="1">
      <c r="A41" s="25" t="s">
        <v>202</v>
      </c>
      <c r="B41" s="13" t="s">
        <v>161</v>
      </c>
      <c r="C41" s="13" t="s">
        <v>172</v>
      </c>
      <c r="D41" s="13" t="s">
        <v>23</v>
      </c>
      <c r="E41" s="13" t="s">
        <v>170</v>
      </c>
      <c r="F41" s="61">
        <f t="shared" si="2"/>
        <v>6545.82</v>
      </c>
      <c r="G41" s="61">
        <f>G42</f>
        <v>6545.82</v>
      </c>
      <c r="H41" s="61"/>
    </row>
    <row r="42" spans="1:8" ht="49.5" customHeight="1">
      <c r="A42" s="25" t="s">
        <v>203</v>
      </c>
      <c r="B42" s="13" t="s">
        <v>161</v>
      </c>
      <c r="C42" s="13" t="s">
        <v>172</v>
      </c>
      <c r="D42" s="13" t="s">
        <v>23</v>
      </c>
      <c r="E42" s="13" t="s">
        <v>204</v>
      </c>
      <c r="F42" s="61">
        <f t="shared" si="2"/>
        <v>6545.82</v>
      </c>
      <c r="G42" s="61">
        <f>6545.82</f>
        <v>6545.82</v>
      </c>
      <c r="H42" s="61"/>
    </row>
    <row r="43" spans="1:8" ht="18" customHeight="1">
      <c r="A43" s="25" t="s">
        <v>207</v>
      </c>
      <c r="B43" s="13" t="s">
        <v>161</v>
      </c>
      <c r="C43" s="13" t="s">
        <v>172</v>
      </c>
      <c r="D43" s="13" t="s">
        <v>23</v>
      </c>
      <c r="E43" s="13" t="s">
        <v>208</v>
      </c>
      <c r="F43" s="61">
        <f t="shared" si="2"/>
        <v>507.512</v>
      </c>
      <c r="G43" s="61">
        <f>G44</f>
        <v>507.512</v>
      </c>
      <c r="H43" s="61"/>
    </row>
    <row r="44" spans="1:8" ht="17.25" customHeight="1">
      <c r="A44" s="57" t="s">
        <v>205</v>
      </c>
      <c r="B44" s="13" t="s">
        <v>161</v>
      </c>
      <c r="C44" s="13" t="s">
        <v>172</v>
      </c>
      <c r="D44" s="13" t="s">
        <v>23</v>
      </c>
      <c r="E44" s="13" t="s">
        <v>206</v>
      </c>
      <c r="F44" s="61">
        <f t="shared" si="2"/>
        <v>507.512</v>
      </c>
      <c r="G44" s="61">
        <f>492-40.158+55.67</f>
        <v>507.512</v>
      </c>
      <c r="H44" s="61"/>
    </row>
    <row r="45" spans="1:8" ht="49.5" customHeight="1">
      <c r="A45" s="57" t="s">
        <v>756</v>
      </c>
      <c r="B45" s="13" t="s">
        <v>161</v>
      </c>
      <c r="C45" s="13" t="s">
        <v>405</v>
      </c>
      <c r="D45" s="13" t="s">
        <v>478</v>
      </c>
      <c r="E45" s="13" t="s">
        <v>426</v>
      </c>
      <c r="F45" s="61">
        <f>H45</f>
        <v>26.012800000000002</v>
      </c>
      <c r="G45" s="61"/>
      <c r="H45" s="61">
        <f>H46</f>
        <v>26.012800000000002</v>
      </c>
    </row>
    <row r="46" spans="1:8" ht="33.75" customHeight="1">
      <c r="A46" s="25" t="s">
        <v>202</v>
      </c>
      <c r="B46" s="13" t="s">
        <v>161</v>
      </c>
      <c r="C46" s="13" t="s">
        <v>405</v>
      </c>
      <c r="D46" s="13" t="s">
        <v>478</v>
      </c>
      <c r="E46" s="13" t="s">
        <v>170</v>
      </c>
      <c r="F46" s="61">
        <f>H46</f>
        <v>26.012800000000002</v>
      </c>
      <c r="G46" s="61"/>
      <c r="H46" s="61">
        <f>H47</f>
        <v>26.012800000000002</v>
      </c>
    </row>
    <row r="47" spans="1:8" ht="52.5" customHeight="1">
      <c r="A47" s="25" t="s">
        <v>203</v>
      </c>
      <c r="B47" s="13" t="s">
        <v>161</v>
      </c>
      <c r="C47" s="13" t="s">
        <v>405</v>
      </c>
      <c r="D47" s="13" t="s">
        <v>478</v>
      </c>
      <c r="E47" s="13" t="s">
        <v>204</v>
      </c>
      <c r="F47" s="61">
        <f>H47</f>
        <v>26.012800000000002</v>
      </c>
      <c r="G47" s="61"/>
      <c r="H47" s="61">
        <f>26.012+0.0008</f>
        <v>26.012800000000002</v>
      </c>
    </row>
    <row r="48" spans="1:10" ht="63" customHeight="1">
      <c r="A48" s="40" t="s">
        <v>415</v>
      </c>
      <c r="B48" s="56" t="s">
        <v>161</v>
      </c>
      <c r="C48" s="56" t="s">
        <v>174</v>
      </c>
      <c r="D48" s="56" t="s">
        <v>337</v>
      </c>
      <c r="E48" s="56" t="s">
        <v>426</v>
      </c>
      <c r="F48" s="108">
        <f>G48+H48</f>
        <v>8140.620000000001</v>
      </c>
      <c r="G48" s="108">
        <f>G49</f>
        <v>8140.620000000001</v>
      </c>
      <c r="H48" s="108">
        <f>H49</f>
        <v>0</v>
      </c>
      <c r="J48" s="142"/>
    </row>
    <row r="49" spans="1:8" ht="33.75" customHeight="1">
      <c r="A49" s="25" t="s">
        <v>374</v>
      </c>
      <c r="B49" s="13" t="s">
        <v>161</v>
      </c>
      <c r="C49" s="13" t="s">
        <v>174</v>
      </c>
      <c r="D49" s="13" t="s">
        <v>19</v>
      </c>
      <c r="E49" s="13" t="s">
        <v>426</v>
      </c>
      <c r="F49" s="61">
        <f t="shared" si="2"/>
        <v>8140.620000000001</v>
      </c>
      <c r="G49" s="61">
        <f>G50</f>
        <v>8140.620000000001</v>
      </c>
      <c r="H49" s="61">
        <f>H50</f>
        <v>0</v>
      </c>
    </row>
    <row r="50" spans="1:8" ht="47.25" customHeight="1">
      <c r="A50" s="25" t="s">
        <v>165</v>
      </c>
      <c r="B50" s="13" t="s">
        <v>161</v>
      </c>
      <c r="C50" s="13" t="s">
        <v>174</v>
      </c>
      <c r="D50" s="13" t="s">
        <v>20</v>
      </c>
      <c r="E50" s="13" t="s">
        <v>426</v>
      </c>
      <c r="F50" s="61">
        <f t="shared" si="2"/>
        <v>8140.620000000001</v>
      </c>
      <c r="G50" s="61">
        <f>G51+G58+G63</f>
        <v>8140.620000000001</v>
      </c>
      <c r="H50" s="61">
        <f>H51+H58+H63</f>
        <v>0</v>
      </c>
    </row>
    <row r="51" spans="1:9" s="141" customFormat="1" ht="48.75" customHeight="1">
      <c r="A51" s="29" t="s">
        <v>308</v>
      </c>
      <c r="B51" s="26" t="s">
        <v>161</v>
      </c>
      <c r="C51" s="26" t="s">
        <v>174</v>
      </c>
      <c r="D51" s="26" t="s">
        <v>23</v>
      </c>
      <c r="E51" s="26" t="s">
        <v>426</v>
      </c>
      <c r="F51" s="62">
        <f t="shared" si="2"/>
        <v>6459.920000000001</v>
      </c>
      <c r="G51" s="62">
        <f>G52+G54+G56</f>
        <v>6459.920000000001</v>
      </c>
      <c r="H51" s="62">
        <f>SUM(H52:H57)</f>
        <v>0</v>
      </c>
      <c r="I51" s="236"/>
    </row>
    <row r="52" spans="1:8" ht="95.25" customHeight="1">
      <c r="A52" s="25" t="s">
        <v>199</v>
      </c>
      <c r="B52" s="13" t="s">
        <v>161</v>
      </c>
      <c r="C52" s="13" t="s">
        <v>174</v>
      </c>
      <c r="D52" s="13" t="s">
        <v>23</v>
      </c>
      <c r="E52" s="13" t="s">
        <v>166</v>
      </c>
      <c r="F52" s="61">
        <f t="shared" si="2"/>
        <v>5591.120000000001</v>
      </c>
      <c r="G52" s="61">
        <f>G53</f>
        <v>5591.120000000001</v>
      </c>
      <c r="H52" s="61"/>
    </row>
    <row r="53" spans="1:8" ht="33" customHeight="1">
      <c r="A53" s="25" t="s">
        <v>201</v>
      </c>
      <c r="B53" s="13" t="s">
        <v>161</v>
      </c>
      <c r="C53" s="13" t="s">
        <v>174</v>
      </c>
      <c r="D53" s="13" t="s">
        <v>23</v>
      </c>
      <c r="E53" s="13" t="s">
        <v>200</v>
      </c>
      <c r="F53" s="61">
        <f t="shared" si="2"/>
        <v>5591.120000000001</v>
      </c>
      <c r="G53" s="61">
        <f>4284.5+12.7+1293.9+0.02</f>
        <v>5591.120000000001</v>
      </c>
      <c r="H53" s="61"/>
    </row>
    <row r="54" spans="1:8" ht="33" customHeight="1">
      <c r="A54" s="25" t="s">
        <v>202</v>
      </c>
      <c r="B54" s="13" t="s">
        <v>161</v>
      </c>
      <c r="C54" s="13" t="s">
        <v>174</v>
      </c>
      <c r="D54" s="13" t="s">
        <v>23</v>
      </c>
      <c r="E54" s="13" t="s">
        <v>170</v>
      </c>
      <c r="F54" s="61">
        <f t="shared" si="2"/>
        <v>860.8</v>
      </c>
      <c r="G54" s="61">
        <f>G55</f>
        <v>860.8</v>
      </c>
      <c r="H54" s="61"/>
    </row>
    <row r="55" spans="1:10" ht="48" customHeight="1">
      <c r="A55" s="25" t="s">
        <v>203</v>
      </c>
      <c r="B55" s="13" t="s">
        <v>161</v>
      </c>
      <c r="C55" s="13" t="s">
        <v>174</v>
      </c>
      <c r="D55" s="13" t="s">
        <v>23</v>
      </c>
      <c r="E55" s="13" t="s">
        <v>204</v>
      </c>
      <c r="F55" s="61">
        <f t="shared" si="2"/>
        <v>860.8</v>
      </c>
      <c r="G55" s="61">
        <f>860.8</f>
        <v>860.8</v>
      </c>
      <c r="H55" s="61"/>
      <c r="J55" s="146"/>
    </row>
    <row r="56" spans="1:8" ht="17.25" customHeight="1">
      <c r="A56" s="25" t="s">
        <v>207</v>
      </c>
      <c r="B56" s="13" t="s">
        <v>161</v>
      </c>
      <c r="C56" s="13" t="s">
        <v>174</v>
      </c>
      <c r="D56" s="13" t="s">
        <v>23</v>
      </c>
      <c r="E56" s="13" t="s">
        <v>208</v>
      </c>
      <c r="F56" s="61">
        <f t="shared" si="2"/>
        <v>8</v>
      </c>
      <c r="G56" s="61">
        <f>G57</f>
        <v>8</v>
      </c>
      <c r="H56" s="61"/>
    </row>
    <row r="57" spans="1:8" ht="17.25" customHeight="1">
      <c r="A57" s="25" t="s">
        <v>205</v>
      </c>
      <c r="B57" s="13" t="s">
        <v>161</v>
      </c>
      <c r="C57" s="13" t="s">
        <v>174</v>
      </c>
      <c r="D57" s="13" t="s">
        <v>23</v>
      </c>
      <c r="E57" s="13" t="s">
        <v>206</v>
      </c>
      <c r="F57" s="61">
        <f t="shared" si="2"/>
        <v>8</v>
      </c>
      <c r="G57" s="61">
        <v>8</v>
      </c>
      <c r="H57" s="61"/>
    </row>
    <row r="58" spans="1:9" s="141" customFormat="1" ht="48" customHeight="1">
      <c r="A58" s="29" t="s">
        <v>176</v>
      </c>
      <c r="B58" s="26" t="s">
        <v>161</v>
      </c>
      <c r="C58" s="26" t="s">
        <v>174</v>
      </c>
      <c r="D58" s="26" t="s">
        <v>23</v>
      </c>
      <c r="E58" s="26" t="s">
        <v>426</v>
      </c>
      <c r="F58" s="62">
        <f t="shared" si="2"/>
        <v>95.3</v>
      </c>
      <c r="G58" s="62">
        <f>G59+G61</f>
        <v>95.3</v>
      </c>
      <c r="H58" s="62"/>
      <c r="I58" s="153"/>
    </row>
    <row r="59" spans="1:8" ht="34.5" customHeight="1">
      <c r="A59" s="25" t="s">
        <v>202</v>
      </c>
      <c r="B59" s="13" t="s">
        <v>161</v>
      </c>
      <c r="C59" s="13" t="s">
        <v>174</v>
      </c>
      <c r="D59" s="13" t="s">
        <v>23</v>
      </c>
      <c r="E59" s="13" t="s">
        <v>170</v>
      </c>
      <c r="F59" s="61">
        <f t="shared" si="2"/>
        <v>93.3</v>
      </c>
      <c r="G59" s="61">
        <f>G60</f>
        <v>93.3</v>
      </c>
      <c r="H59" s="61"/>
    </row>
    <row r="60" spans="1:8" ht="45.75" customHeight="1">
      <c r="A60" s="25" t="s">
        <v>203</v>
      </c>
      <c r="B60" s="13" t="s">
        <v>161</v>
      </c>
      <c r="C60" s="13" t="s">
        <v>174</v>
      </c>
      <c r="D60" s="13" t="s">
        <v>23</v>
      </c>
      <c r="E60" s="13" t="s">
        <v>204</v>
      </c>
      <c r="F60" s="61">
        <f t="shared" si="2"/>
        <v>93.3</v>
      </c>
      <c r="G60" s="61">
        <v>93.3</v>
      </c>
      <c r="H60" s="61"/>
    </row>
    <row r="61" spans="1:8" ht="16.5" customHeight="1">
      <c r="A61" s="25" t="s">
        <v>207</v>
      </c>
      <c r="B61" s="13" t="s">
        <v>161</v>
      </c>
      <c r="C61" s="13" t="s">
        <v>174</v>
      </c>
      <c r="D61" s="13" t="s">
        <v>23</v>
      </c>
      <c r="E61" s="13" t="s">
        <v>208</v>
      </c>
      <c r="F61" s="61">
        <f t="shared" si="2"/>
        <v>2</v>
      </c>
      <c r="G61" s="61">
        <f>G62</f>
        <v>2</v>
      </c>
      <c r="H61" s="61"/>
    </row>
    <row r="62" spans="1:8" ht="17.25" customHeight="1">
      <c r="A62" s="57" t="s">
        <v>205</v>
      </c>
      <c r="B62" s="13" t="s">
        <v>161</v>
      </c>
      <c r="C62" s="13" t="s">
        <v>174</v>
      </c>
      <c r="D62" s="13" t="s">
        <v>23</v>
      </c>
      <c r="E62" s="13" t="s">
        <v>206</v>
      </c>
      <c r="F62" s="61">
        <f t="shared" si="2"/>
        <v>2</v>
      </c>
      <c r="G62" s="61">
        <v>2</v>
      </c>
      <c r="H62" s="61"/>
    </row>
    <row r="63" spans="1:8" s="141" customFormat="1" ht="16.5" customHeight="1">
      <c r="A63" s="29" t="s">
        <v>177</v>
      </c>
      <c r="B63" s="26" t="s">
        <v>161</v>
      </c>
      <c r="C63" s="26" t="s">
        <v>174</v>
      </c>
      <c r="D63" s="26" t="s">
        <v>24</v>
      </c>
      <c r="E63" s="26" t="s">
        <v>426</v>
      </c>
      <c r="F63" s="62">
        <f t="shared" si="2"/>
        <v>1585.4</v>
      </c>
      <c r="G63" s="62">
        <f>G65</f>
        <v>1585.4</v>
      </c>
      <c r="H63" s="62">
        <f>H65</f>
        <v>0</v>
      </c>
    </row>
    <row r="64" spans="1:9" ht="94.5" customHeight="1">
      <c r="A64" s="25" t="s">
        <v>199</v>
      </c>
      <c r="B64" s="13" t="s">
        <v>161</v>
      </c>
      <c r="C64" s="13" t="s">
        <v>174</v>
      </c>
      <c r="D64" s="13" t="s">
        <v>24</v>
      </c>
      <c r="E64" s="13" t="s">
        <v>166</v>
      </c>
      <c r="F64" s="61">
        <f t="shared" si="2"/>
        <v>1585.4</v>
      </c>
      <c r="G64" s="61">
        <f>G65</f>
        <v>1585.4</v>
      </c>
      <c r="H64" s="61"/>
      <c r="I64" s="237"/>
    </row>
    <row r="65" spans="1:8" ht="34.5" customHeight="1">
      <c r="A65" s="25" t="s">
        <v>201</v>
      </c>
      <c r="B65" s="13" t="s">
        <v>161</v>
      </c>
      <c r="C65" s="13" t="s">
        <v>174</v>
      </c>
      <c r="D65" s="13" t="s">
        <v>24</v>
      </c>
      <c r="E65" s="13" t="s">
        <v>200</v>
      </c>
      <c r="F65" s="61">
        <f t="shared" si="2"/>
        <v>1585.4</v>
      </c>
      <c r="G65" s="61">
        <v>1585.4</v>
      </c>
      <c r="H65" s="61"/>
    </row>
    <row r="66" spans="1:8" ht="18.75" customHeight="1" hidden="1">
      <c r="A66" s="25" t="s">
        <v>178</v>
      </c>
      <c r="B66" s="13" t="s">
        <v>161</v>
      </c>
      <c r="C66" s="13" t="s">
        <v>179</v>
      </c>
      <c r="D66" s="13" t="s">
        <v>425</v>
      </c>
      <c r="E66" s="13" t="s">
        <v>426</v>
      </c>
      <c r="F66" s="61">
        <f>G66+H66</f>
        <v>0</v>
      </c>
      <c r="G66" s="61">
        <f>G67</f>
        <v>0</v>
      </c>
      <c r="H66" s="61">
        <f>H67</f>
        <v>0</v>
      </c>
    </row>
    <row r="67" spans="1:8" ht="33" customHeight="1" hidden="1">
      <c r="A67" s="25" t="s">
        <v>180</v>
      </c>
      <c r="B67" s="13" t="s">
        <v>161</v>
      </c>
      <c r="C67" s="13" t="s">
        <v>179</v>
      </c>
      <c r="D67" s="13" t="s">
        <v>301</v>
      </c>
      <c r="E67" s="13" t="s">
        <v>426</v>
      </c>
      <c r="F67" s="61">
        <f t="shared" si="2"/>
        <v>0</v>
      </c>
      <c r="G67" s="61">
        <f>G69</f>
        <v>0</v>
      </c>
      <c r="H67" s="61">
        <f>H69</f>
        <v>0</v>
      </c>
    </row>
    <row r="68" spans="1:8" ht="16.5" customHeight="1" hidden="1">
      <c r="A68" s="25" t="s">
        <v>207</v>
      </c>
      <c r="B68" s="13" t="s">
        <v>161</v>
      </c>
      <c r="C68" s="13" t="s">
        <v>179</v>
      </c>
      <c r="D68" s="13" t="s">
        <v>301</v>
      </c>
      <c r="E68" s="13" t="s">
        <v>208</v>
      </c>
      <c r="F68" s="61">
        <f t="shared" si="2"/>
        <v>0</v>
      </c>
      <c r="G68" s="61">
        <f>G69</f>
        <v>0</v>
      </c>
      <c r="H68" s="61"/>
    </row>
    <row r="69" spans="1:8" ht="18.75" customHeight="1" hidden="1">
      <c r="A69" s="25" t="s">
        <v>209</v>
      </c>
      <c r="B69" s="13" t="s">
        <v>161</v>
      </c>
      <c r="C69" s="13" t="s">
        <v>179</v>
      </c>
      <c r="D69" s="13" t="s">
        <v>301</v>
      </c>
      <c r="E69" s="13" t="s">
        <v>210</v>
      </c>
      <c r="F69" s="61">
        <f t="shared" si="2"/>
        <v>0</v>
      </c>
      <c r="G69" s="61">
        <v>0</v>
      </c>
      <c r="H69" s="61"/>
    </row>
    <row r="70" spans="1:8" ht="39" customHeight="1" hidden="1">
      <c r="A70" s="58" t="s">
        <v>521</v>
      </c>
      <c r="B70" s="56" t="s">
        <v>161</v>
      </c>
      <c r="C70" s="56" t="s">
        <v>408</v>
      </c>
      <c r="D70" s="56" t="s">
        <v>337</v>
      </c>
      <c r="E70" s="56" t="s">
        <v>426</v>
      </c>
      <c r="F70" s="108">
        <f t="shared" si="2"/>
        <v>0</v>
      </c>
      <c r="G70" s="108">
        <f>G71</f>
        <v>0</v>
      </c>
      <c r="H70" s="108"/>
    </row>
    <row r="71" spans="1:8" ht="39" customHeight="1" hidden="1">
      <c r="A71" s="25" t="s">
        <v>522</v>
      </c>
      <c r="B71" s="13" t="s">
        <v>161</v>
      </c>
      <c r="C71" s="13" t="s">
        <v>408</v>
      </c>
      <c r="D71" s="13" t="s">
        <v>19</v>
      </c>
      <c r="E71" s="13" t="s">
        <v>426</v>
      </c>
      <c r="F71" s="61">
        <f t="shared" si="2"/>
        <v>0</v>
      </c>
      <c r="G71" s="61">
        <f>G72</f>
        <v>0</v>
      </c>
      <c r="H71" s="61"/>
    </row>
    <row r="72" spans="1:8" ht="39" customHeight="1" hidden="1">
      <c r="A72" s="25" t="s">
        <v>165</v>
      </c>
      <c r="B72" s="13" t="s">
        <v>161</v>
      </c>
      <c r="C72" s="13" t="s">
        <v>408</v>
      </c>
      <c r="D72" s="13" t="s">
        <v>20</v>
      </c>
      <c r="E72" s="13" t="s">
        <v>426</v>
      </c>
      <c r="F72" s="61">
        <f t="shared" si="2"/>
        <v>0</v>
      </c>
      <c r="G72" s="61">
        <f>G73</f>
        <v>0</v>
      </c>
      <c r="H72" s="61"/>
    </row>
    <row r="73" spans="1:8" ht="39" customHeight="1" hidden="1">
      <c r="A73" s="25" t="s">
        <v>523</v>
      </c>
      <c r="B73" s="13" t="s">
        <v>161</v>
      </c>
      <c r="C73" s="13" t="s">
        <v>408</v>
      </c>
      <c r="D73" s="13" t="s">
        <v>524</v>
      </c>
      <c r="E73" s="13" t="s">
        <v>426</v>
      </c>
      <c r="F73" s="61">
        <f t="shared" si="2"/>
        <v>0</v>
      </c>
      <c r="G73" s="61">
        <f>G74</f>
        <v>0</v>
      </c>
      <c r="H73" s="61"/>
    </row>
    <row r="74" spans="1:8" ht="39" customHeight="1" hidden="1">
      <c r="A74" s="25" t="s">
        <v>207</v>
      </c>
      <c r="B74" s="13" t="s">
        <v>161</v>
      </c>
      <c r="C74" s="13" t="s">
        <v>408</v>
      </c>
      <c r="D74" s="13" t="s">
        <v>524</v>
      </c>
      <c r="E74" s="13" t="s">
        <v>208</v>
      </c>
      <c r="F74" s="61">
        <f t="shared" si="2"/>
        <v>0</v>
      </c>
      <c r="G74" s="61">
        <f>G75</f>
        <v>0</v>
      </c>
      <c r="H74" s="61"/>
    </row>
    <row r="75" spans="1:8" ht="17.25" customHeight="1" hidden="1">
      <c r="A75" s="213" t="s">
        <v>577</v>
      </c>
      <c r="B75" s="13" t="s">
        <v>161</v>
      </c>
      <c r="C75" s="13" t="s">
        <v>408</v>
      </c>
      <c r="D75" s="13" t="s">
        <v>524</v>
      </c>
      <c r="E75" s="13" t="s">
        <v>578</v>
      </c>
      <c r="F75" s="61">
        <f t="shared" si="2"/>
        <v>0</v>
      </c>
      <c r="G75" s="61">
        <v>0</v>
      </c>
      <c r="H75" s="61"/>
    </row>
    <row r="76" spans="1:8" ht="19.5" customHeight="1">
      <c r="A76" s="58" t="s">
        <v>178</v>
      </c>
      <c r="B76" s="56" t="s">
        <v>161</v>
      </c>
      <c r="C76" s="56" t="s">
        <v>179</v>
      </c>
      <c r="D76" s="56" t="s">
        <v>337</v>
      </c>
      <c r="E76" s="56" t="s">
        <v>426</v>
      </c>
      <c r="F76" s="108">
        <f t="shared" si="2"/>
        <v>615.2710000000001</v>
      </c>
      <c r="G76" s="108">
        <f>G77</f>
        <v>615.2710000000001</v>
      </c>
      <c r="H76" s="108"/>
    </row>
    <row r="77" spans="1:8" ht="33.75" customHeight="1">
      <c r="A77" s="214" t="s">
        <v>164</v>
      </c>
      <c r="B77" s="13" t="s">
        <v>161</v>
      </c>
      <c r="C77" s="13" t="s">
        <v>179</v>
      </c>
      <c r="D77" s="79" t="s">
        <v>19</v>
      </c>
      <c r="E77" s="79" t="s">
        <v>426</v>
      </c>
      <c r="F77" s="61">
        <f t="shared" si="2"/>
        <v>615.2710000000001</v>
      </c>
      <c r="G77" s="61">
        <f>G78</f>
        <v>615.2710000000001</v>
      </c>
      <c r="H77" s="61"/>
    </row>
    <row r="78" spans="1:8" ht="49.5" customHeight="1">
      <c r="A78" s="214" t="s">
        <v>165</v>
      </c>
      <c r="B78" s="13" t="s">
        <v>161</v>
      </c>
      <c r="C78" s="13" t="s">
        <v>179</v>
      </c>
      <c r="D78" s="79" t="s">
        <v>20</v>
      </c>
      <c r="E78" s="79" t="s">
        <v>426</v>
      </c>
      <c r="F78" s="61">
        <f t="shared" si="2"/>
        <v>615.2710000000001</v>
      </c>
      <c r="G78" s="61">
        <f>G79</f>
        <v>615.2710000000001</v>
      </c>
      <c r="H78" s="61"/>
    </row>
    <row r="79" spans="1:8" ht="33" customHeight="1">
      <c r="A79" s="214" t="s">
        <v>579</v>
      </c>
      <c r="B79" s="13" t="s">
        <v>161</v>
      </c>
      <c r="C79" s="13" t="s">
        <v>179</v>
      </c>
      <c r="D79" s="13" t="s">
        <v>580</v>
      </c>
      <c r="E79" s="79" t="s">
        <v>426</v>
      </c>
      <c r="F79" s="61">
        <f t="shared" si="2"/>
        <v>615.2710000000001</v>
      </c>
      <c r="G79" s="61">
        <f>G80</f>
        <v>615.2710000000001</v>
      </c>
      <c r="H79" s="61"/>
    </row>
    <row r="80" spans="1:8" ht="20.25" customHeight="1">
      <c r="A80" s="214" t="s">
        <v>207</v>
      </c>
      <c r="B80" s="13" t="s">
        <v>161</v>
      </c>
      <c r="C80" s="13" t="s">
        <v>179</v>
      </c>
      <c r="D80" s="13" t="s">
        <v>580</v>
      </c>
      <c r="E80" s="79" t="s">
        <v>208</v>
      </c>
      <c r="F80" s="61">
        <f t="shared" si="2"/>
        <v>615.2710000000001</v>
      </c>
      <c r="G80" s="61">
        <f>G81</f>
        <v>615.2710000000001</v>
      </c>
      <c r="H80" s="61"/>
    </row>
    <row r="81" spans="1:8" ht="18" customHeight="1">
      <c r="A81" s="214" t="s">
        <v>209</v>
      </c>
      <c r="B81" s="13" t="s">
        <v>161</v>
      </c>
      <c r="C81" s="13" t="s">
        <v>179</v>
      </c>
      <c r="D81" s="13" t="s">
        <v>580</v>
      </c>
      <c r="E81" s="79" t="s">
        <v>210</v>
      </c>
      <c r="F81" s="61">
        <f t="shared" si="2"/>
        <v>615.2710000000001</v>
      </c>
      <c r="G81" s="61">
        <f>100-11.45-24.964+600-25.292-6.497-16.526</f>
        <v>615.2710000000001</v>
      </c>
      <c r="H81" s="61"/>
    </row>
    <row r="82" spans="1:12" ht="18.75" customHeight="1">
      <c r="A82" s="59" t="s">
        <v>373</v>
      </c>
      <c r="B82" s="17" t="s">
        <v>161</v>
      </c>
      <c r="C82" s="17" t="s">
        <v>181</v>
      </c>
      <c r="D82" s="17" t="s">
        <v>337</v>
      </c>
      <c r="E82" s="17" t="s">
        <v>426</v>
      </c>
      <c r="F82" s="110">
        <f t="shared" si="2"/>
        <v>11401.776880000001</v>
      </c>
      <c r="G82" s="110">
        <f>G83+G117+G150+G168+G106+G171+G174+G188+G191</f>
        <v>6060.436010000001</v>
      </c>
      <c r="H82" s="110">
        <f>H83+H117+H150+H168+H106+H140+H171+H188+H196</f>
        <v>5341.34087</v>
      </c>
      <c r="J82" s="142"/>
      <c r="K82" s="146"/>
      <c r="L82" s="146"/>
    </row>
    <row r="83" spans="1:8" ht="17.25" customHeight="1">
      <c r="A83" s="25" t="s">
        <v>182</v>
      </c>
      <c r="B83" s="13" t="s">
        <v>161</v>
      </c>
      <c r="C83" s="13" t="s">
        <v>181</v>
      </c>
      <c r="D83" s="13" t="s">
        <v>337</v>
      </c>
      <c r="E83" s="13" t="s">
        <v>426</v>
      </c>
      <c r="F83" s="61">
        <f t="shared" si="2"/>
        <v>4461.421</v>
      </c>
      <c r="G83" s="61">
        <f>G84+G89+G94+G99</f>
        <v>0</v>
      </c>
      <c r="H83" s="61">
        <f>H84+H89+H94+H99+H104+H114</f>
        <v>4461.421</v>
      </c>
    </row>
    <row r="84" spans="1:10" s="141" customFormat="1" ht="64.5" customHeight="1">
      <c r="A84" s="29" t="s">
        <v>183</v>
      </c>
      <c r="B84" s="26" t="s">
        <v>161</v>
      </c>
      <c r="C84" s="26" t="s">
        <v>181</v>
      </c>
      <c r="D84" s="26" t="s">
        <v>25</v>
      </c>
      <c r="E84" s="26" t="s">
        <v>426</v>
      </c>
      <c r="F84" s="62">
        <f t="shared" si="2"/>
        <v>794.861</v>
      </c>
      <c r="G84" s="62">
        <f>SUM(G85:G88)</f>
        <v>0</v>
      </c>
      <c r="H84" s="62">
        <f>H85+H87</f>
        <v>794.861</v>
      </c>
      <c r="J84" s="147"/>
    </row>
    <row r="85" spans="1:9" ht="96" customHeight="1">
      <c r="A85" s="25" t="s">
        <v>199</v>
      </c>
      <c r="B85" s="13" t="s">
        <v>161</v>
      </c>
      <c r="C85" s="13" t="s">
        <v>181</v>
      </c>
      <c r="D85" s="13" t="s">
        <v>25</v>
      </c>
      <c r="E85" s="13" t="s">
        <v>166</v>
      </c>
      <c r="F85" s="61">
        <f t="shared" si="2"/>
        <v>542.93</v>
      </c>
      <c r="G85" s="61"/>
      <c r="H85" s="61">
        <f>H86</f>
        <v>542.93</v>
      </c>
      <c r="I85" s="146"/>
    </row>
    <row r="86" spans="1:8" ht="33" customHeight="1">
      <c r="A86" s="49" t="s">
        <v>201</v>
      </c>
      <c r="B86" s="13" t="s">
        <v>161</v>
      </c>
      <c r="C86" s="13" t="s">
        <v>181</v>
      </c>
      <c r="D86" s="13" t="s">
        <v>25</v>
      </c>
      <c r="E86" s="13" t="s">
        <v>200</v>
      </c>
      <c r="F86" s="61">
        <f t="shared" si="2"/>
        <v>542.93</v>
      </c>
      <c r="G86" s="61"/>
      <c r="H86" s="61">
        <v>542.93</v>
      </c>
    </row>
    <row r="87" spans="1:8" ht="33.75" customHeight="1">
      <c r="A87" s="25" t="s">
        <v>202</v>
      </c>
      <c r="B87" s="13" t="s">
        <v>161</v>
      </c>
      <c r="C87" s="13" t="s">
        <v>181</v>
      </c>
      <c r="D87" s="13" t="s">
        <v>25</v>
      </c>
      <c r="E87" s="13" t="s">
        <v>170</v>
      </c>
      <c r="F87" s="61">
        <f t="shared" si="2"/>
        <v>251.931</v>
      </c>
      <c r="G87" s="61"/>
      <c r="H87" s="61">
        <f>H88</f>
        <v>251.931</v>
      </c>
    </row>
    <row r="88" spans="1:8" ht="48.75" customHeight="1">
      <c r="A88" s="49" t="s">
        <v>203</v>
      </c>
      <c r="B88" s="13" t="s">
        <v>161</v>
      </c>
      <c r="C88" s="13" t="s">
        <v>181</v>
      </c>
      <c r="D88" s="13" t="s">
        <v>25</v>
      </c>
      <c r="E88" s="13" t="s">
        <v>204</v>
      </c>
      <c r="F88" s="61">
        <f t="shared" si="2"/>
        <v>251.931</v>
      </c>
      <c r="G88" s="61"/>
      <c r="H88" s="61">
        <v>251.931</v>
      </c>
    </row>
    <row r="89" spans="1:10" s="154" customFormat="1" ht="48" customHeight="1">
      <c r="A89" s="29" t="s">
        <v>436</v>
      </c>
      <c r="B89" s="26" t="s">
        <v>161</v>
      </c>
      <c r="C89" s="26" t="s">
        <v>181</v>
      </c>
      <c r="D89" s="5" t="s">
        <v>884</v>
      </c>
      <c r="E89" s="26" t="s">
        <v>426</v>
      </c>
      <c r="F89" s="62">
        <f t="shared" si="2"/>
        <v>1197.7910000000002</v>
      </c>
      <c r="G89" s="62">
        <f>SUM(G90:G93)</f>
        <v>0</v>
      </c>
      <c r="H89" s="62">
        <f>H90+H92</f>
        <v>1197.7910000000002</v>
      </c>
      <c r="J89" s="155"/>
    </row>
    <row r="90" spans="1:8" s="157" customFormat="1" ht="96.75" customHeight="1">
      <c r="A90" s="25" t="s">
        <v>199</v>
      </c>
      <c r="B90" s="13" t="s">
        <v>161</v>
      </c>
      <c r="C90" s="13" t="s">
        <v>181</v>
      </c>
      <c r="D90" s="13" t="s">
        <v>884</v>
      </c>
      <c r="E90" s="13" t="s">
        <v>166</v>
      </c>
      <c r="F90" s="61">
        <f t="shared" si="2"/>
        <v>1139.911</v>
      </c>
      <c r="G90" s="110"/>
      <c r="H90" s="61">
        <f>H91</f>
        <v>1139.911</v>
      </c>
    </row>
    <row r="91" spans="1:8" ht="31.5" customHeight="1">
      <c r="A91" s="49" t="s">
        <v>201</v>
      </c>
      <c r="B91" s="13" t="s">
        <v>161</v>
      </c>
      <c r="C91" s="13" t="s">
        <v>181</v>
      </c>
      <c r="D91" s="13" t="s">
        <v>884</v>
      </c>
      <c r="E91" s="13" t="s">
        <v>200</v>
      </c>
      <c r="F91" s="61">
        <f t="shared" si="2"/>
        <v>1139.911</v>
      </c>
      <c r="G91" s="61"/>
      <c r="H91" s="61">
        <v>1139.911</v>
      </c>
    </row>
    <row r="92" spans="1:8" ht="33.75" customHeight="1">
      <c r="A92" s="25" t="s">
        <v>202</v>
      </c>
      <c r="B92" s="13" t="s">
        <v>161</v>
      </c>
      <c r="C92" s="13" t="s">
        <v>181</v>
      </c>
      <c r="D92" s="13" t="s">
        <v>884</v>
      </c>
      <c r="E92" s="13" t="s">
        <v>170</v>
      </c>
      <c r="F92" s="61">
        <f t="shared" si="2"/>
        <v>57.88</v>
      </c>
      <c r="G92" s="61"/>
      <c r="H92" s="61">
        <f>H93</f>
        <v>57.88</v>
      </c>
    </row>
    <row r="93" spans="1:8" ht="49.5" customHeight="1">
      <c r="A93" s="49" t="s">
        <v>203</v>
      </c>
      <c r="B93" s="13" t="s">
        <v>161</v>
      </c>
      <c r="C93" s="13" t="s">
        <v>181</v>
      </c>
      <c r="D93" s="13" t="s">
        <v>884</v>
      </c>
      <c r="E93" s="13" t="s">
        <v>204</v>
      </c>
      <c r="F93" s="61">
        <f t="shared" si="2"/>
        <v>57.88</v>
      </c>
      <c r="G93" s="61"/>
      <c r="H93" s="61">
        <v>57.88</v>
      </c>
    </row>
    <row r="94" spans="1:10" s="141" customFormat="1" ht="49.5" customHeight="1">
      <c r="A94" s="29" t="s">
        <v>184</v>
      </c>
      <c r="B94" s="26" t="s">
        <v>161</v>
      </c>
      <c r="C94" s="26" t="s">
        <v>181</v>
      </c>
      <c r="D94" s="26" t="s">
        <v>884</v>
      </c>
      <c r="E94" s="26" t="s">
        <v>426</v>
      </c>
      <c r="F94" s="62">
        <f t="shared" si="2"/>
        <v>766.4250000000001</v>
      </c>
      <c r="G94" s="62">
        <f>SUM(G95:G98)</f>
        <v>0</v>
      </c>
      <c r="H94" s="62">
        <f>H95+H97</f>
        <v>766.4250000000001</v>
      </c>
      <c r="J94" s="147"/>
    </row>
    <row r="95" spans="1:8" ht="97.5" customHeight="1">
      <c r="A95" s="25" t="s">
        <v>199</v>
      </c>
      <c r="B95" s="13" t="s">
        <v>161</v>
      </c>
      <c r="C95" s="13" t="s">
        <v>181</v>
      </c>
      <c r="D95" s="13" t="s">
        <v>884</v>
      </c>
      <c r="E95" s="13" t="s">
        <v>166</v>
      </c>
      <c r="F95" s="61">
        <f t="shared" si="2"/>
        <v>719.07</v>
      </c>
      <c r="G95" s="61"/>
      <c r="H95" s="61">
        <f>H96</f>
        <v>719.07</v>
      </c>
    </row>
    <row r="96" spans="1:8" ht="31.5" customHeight="1">
      <c r="A96" s="49" t="s">
        <v>201</v>
      </c>
      <c r="B96" s="13" t="s">
        <v>161</v>
      </c>
      <c r="C96" s="13" t="s">
        <v>181</v>
      </c>
      <c r="D96" s="13" t="s">
        <v>884</v>
      </c>
      <c r="E96" s="13" t="s">
        <v>200</v>
      </c>
      <c r="F96" s="61">
        <f t="shared" si="2"/>
        <v>719.07</v>
      </c>
      <c r="G96" s="61"/>
      <c r="H96" s="61">
        <v>719.07</v>
      </c>
    </row>
    <row r="97" spans="1:8" ht="35.25" customHeight="1">
      <c r="A97" s="25" t="s">
        <v>202</v>
      </c>
      <c r="B97" s="13" t="s">
        <v>161</v>
      </c>
      <c r="C97" s="13" t="s">
        <v>181</v>
      </c>
      <c r="D97" s="13" t="s">
        <v>884</v>
      </c>
      <c r="E97" s="13" t="s">
        <v>170</v>
      </c>
      <c r="F97" s="61">
        <f t="shared" si="2"/>
        <v>47.355</v>
      </c>
      <c r="G97" s="61"/>
      <c r="H97" s="61">
        <f>H98</f>
        <v>47.355</v>
      </c>
    </row>
    <row r="98" spans="1:8" ht="48" customHeight="1">
      <c r="A98" s="49" t="s">
        <v>203</v>
      </c>
      <c r="B98" s="13" t="s">
        <v>161</v>
      </c>
      <c r="C98" s="13" t="s">
        <v>181</v>
      </c>
      <c r="D98" s="13" t="s">
        <v>884</v>
      </c>
      <c r="E98" s="13" t="s">
        <v>204</v>
      </c>
      <c r="F98" s="61">
        <f t="shared" si="2"/>
        <v>47.355</v>
      </c>
      <c r="G98" s="61"/>
      <c r="H98" s="61">
        <v>47.355</v>
      </c>
    </row>
    <row r="99" spans="1:10" s="141" customFormat="1" ht="108.75" customHeight="1">
      <c r="A99" s="29" t="s">
        <v>26</v>
      </c>
      <c r="B99" s="26" t="s">
        <v>161</v>
      </c>
      <c r="C99" s="26" t="s">
        <v>181</v>
      </c>
      <c r="D99" s="26" t="s">
        <v>338</v>
      </c>
      <c r="E99" s="26" t="s">
        <v>426</v>
      </c>
      <c r="F99" s="62">
        <f t="shared" si="2"/>
        <v>1395.192</v>
      </c>
      <c r="G99" s="62">
        <f>SUM(G100:G103)</f>
        <v>0</v>
      </c>
      <c r="H99" s="62">
        <f>H100+H102</f>
        <v>1395.192</v>
      </c>
      <c r="I99" s="156"/>
      <c r="J99" s="156"/>
    </row>
    <row r="100" spans="1:10" ht="96" customHeight="1">
      <c r="A100" s="25" t="s">
        <v>199</v>
      </c>
      <c r="B100" s="13" t="s">
        <v>161</v>
      </c>
      <c r="C100" s="13" t="s">
        <v>181</v>
      </c>
      <c r="D100" s="13" t="s">
        <v>338</v>
      </c>
      <c r="E100" s="13" t="s">
        <v>166</v>
      </c>
      <c r="F100" s="61">
        <f t="shared" si="2"/>
        <v>1242.908</v>
      </c>
      <c r="G100" s="61"/>
      <c r="H100" s="61">
        <f>H101</f>
        <v>1242.908</v>
      </c>
      <c r="I100" s="238"/>
      <c r="J100" s="238"/>
    </row>
    <row r="101" spans="1:10" ht="31.5" customHeight="1">
      <c r="A101" s="49" t="s">
        <v>201</v>
      </c>
      <c r="B101" s="13" t="s">
        <v>161</v>
      </c>
      <c r="C101" s="13" t="s">
        <v>181</v>
      </c>
      <c r="D101" s="13" t="s">
        <v>338</v>
      </c>
      <c r="E101" s="13" t="s">
        <v>200</v>
      </c>
      <c r="F101" s="61">
        <f t="shared" si="2"/>
        <v>1242.908</v>
      </c>
      <c r="G101" s="61"/>
      <c r="H101" s="61">
        <f>1242.908</f>
        <v>1242.908</v>
      </c>
      <c r="I101" s="238"/>
      <c r="J101" s="238"/>
    </row>
    <row r="102" spans="1:10" ht="33" customHeight="1">
      <c r="A102" s="25" t="s">
        <v>202</v>
      </c>
      <c r="B102" s="13" t="s">
        <v>161</v>
      </c>
      <c r="C102" s="13" t="s">
        <v>181</v>
      </c>
      <c r="D102" s="13" t="s">
        <v>338</v>
      </c>
      <c r="E102" s="13" t="s">
        <v>170</v>
      </c>
      <c r="F102" s="61">
        <f t="shared" si="2"/>
        <v>152.284</v>
      </c>
      <c r="G102" s="61"/>
      <c r="H102" s="61">
        <f>H103</f>
        <v>152.284</v>
      </c>
      <c r="I102" s="238"/>
      <c r="J102" s="238"/>
    </row>
    <row r="103" spans="1:10" ht="45.75" customHeight="1">
      <c r="A103" s="49" t="s">
        <v>203</v>
      </c>
      <c r="B103" s="13" t="s">
        <v>161</v>
      </c>
      <c r="C103" s="13" t="s">
        <v>181</v>
      </c>
      <c r="D103" s="13" t="s">
        <v>338</v>
      </c>
      <c r="E103" s="13" t="s">
        <v>204</v>
      </c>
      <c r="F103" s="61">
        <f t="shared" si="2"/>
        <v>152.284</v>
      </c>
      <c r="G103" s="61"/>
      <c r="H103" s="61">
        <f>118.254+34.03</f>
        <v>152.284</v>
      </c>
      <c r="I103" s="238"/>
      <c r="J103" s="238"/>
    </row>
    <row r="104" spans="1:8" ht="35.25" customHeight="1">
      <c r="A104" s="49" t="s">
        <v>883</v>
      </c>
      <c r="B104" s="13" t="s">
        <v>161</v>
      </c>
      <c r="C104" s="13" t="s">
        <v>181</v>
      </c>
      <c r="D104" s="13" t="s">
        <v>885</v>
      </c>
      <c r="E104" s="13" t="s">
        <v>426</v>
      </c>
      <c r="F104" s="61">
        <f t="shared" si="2"/>
        <v>307.152</v>
      </c>
      <c r="G104" s="61"/>
      <c r="H104" s="61">
        <f>H105</f>
        <v>307.152</v>
      </c>
    </row>
    <row r="105" spans="1:8" ht="50.25" customHeight="1">
      <c r="A105" s="49" t="s">
        <v>203</v>
      </c>
      <c r="B105" s="13" t="s">
        <v>161</v>
      </c>
      <c r="C105" s="13" t="s">
        <v>181</v>
      </c>
      <c r="D105" s="13" t="s">
        <v>885</v>
      </c>
      <c r="E105" s="13" t="s">
        <v>204</v>
      </c>
      <c r="F105" s="61">
        <f t="shared" si="2"/>
        <v>307.152</v>
      </c>
      <c r="G105" s="61"/>
      <c r="H105" s="61">
        <v>307.152</v>
      </c>
    </row>
    <row r="106" spans="1:8" ht="18.75" customHeight="1" hidden="1">
      <c r="A106" s="60" t="s">
        <v>373</v>
      </c>
      <c r="B106" s="13" t="s">
        <v>161</v>
      </c>
      <c r="C106" s="13" t="s">
        <v>181</v>
      </c>
      <c r="D106" s="17" t="s">
        <v>337</v>
      </c>
      <c r="E106" s="17" t="s">
        <v>426</v>
      </c>
      <c r="F106" s="110">
        <f t="shared" si="2"/>
        <v>0</v>
      </c>
      <c r="G106" s="110">
        <f>G111+G108</f>
        <v>0</v>
      </c>
      <c r="H106" s="110">
        <f>H111+H108</f>
        <v>0</v>
      </c>
    </row>
    <row r="107" spans="1:8" s="141" customFormat="1" ht="81" customHeight="1" hidden="1">
      <c r="A107" s="239" t="s">
        <v>449</v>
      </c>
      <c r="B107" s="13" t="s">
        <v>161</v>
      </c>
      <c r="C107" s="13" t="s">
        <v>181</v>
      </c>
      <c r="D107" s="26" t="s">
        <v>37</v>
      </c>
      <c r="E107" s="26" t="s">
        <v>426</v>
      </c>
      <c r="F107" s="61">
        <f>G107+H107</f>
        <v>0</v>
      </c>
      <c r="G107" s="62">
        <f>G108</f>
        <v>0</v>
      </c>
      <c r="H107" s="108"/>
    </row>
    <row r="108" spans="1:8" ht="67.5" customHeight="1" hidden="1">
      <c r="A108" s="49" t="s">
        <v>441</v>
      </c>
      <c r="B108" s="13" t="s">
        <v>161</v>
      </c>
      <c r="C108" s="13" t="s">
        <v>181</v>
      </c>
      <c r="D108" s="13" t="s">
        <v>106</v>
      </c>
      <c r="E108" s="13" t="s">
        <v>226</v>
      </c>
      <c r="F108" s="61">
        <f t="shared" si="2"/>
        <v>0</v>
      </c>
      <c r="G108" s="61">
        <f>G109</f>
        <v>0</v>
      </c>
      <c r="H108" s="110"/>
    </row>
    <row r="109" spans="1:8" ht="51" customHeight="1" hidden="1">
      <c r="A109" s="49" t="s">
        <v>225</v>
      </c>
      <c r="B109" s="13" t="s">
        <v>161</v>
      </c>
      <c r="C109" s="13" t="s">
        <v>181</v>
      </c>
      <c r="D109" s="13" t="s">
        <v>106</v>
      </c>
      <c r="E109" s="13" t="s">
        <v>226</v>
      </c>
      <c r="F109" s="61">
        <f t="shared" si="2"/>
        <v>0</v>
      </c>
      <c r="G109" s="61">
        <f>G110</f>
        <v>0</v>
      </c>
      <c r="H109" s="110"/>
    </row>
    <row r="110" spans="1:8" ht="19.5" customHeight="1" hidden="1">
      <c r="A110" s="49" t="s">
        <v>440</v>
      </c>
      <c r="B110" s="13" t="s">
        <v>161</v>
      </c>
      <c r="C110" s="13" t="s">
        <v>181</v>
      </c>
      <c r="D110" s="13" t="s">
        <v>106</v>
      </c>
      <c r="E110" s="13" t="s">
        <v>133</v>
      </c>
      <c r="F110" s="61">
        <f t="shared" si="2"/>
        <v>0</v>
      </c>
      <c r="G110" s="61"/>
      <c r="H110" s="110"/>
    </row>
    <row r="111" spans="1:8" ht="81" customHeight="1" hidden="1">
      <c r="A111" s="240" t="s">
        <v>139</v>
      </c>
      <c r="B111" s="13" t="s">
        <v>161</v>
      </c>
      <c r="C111" s="13" t="s">
        <v>181</v>
      </c>
      <c r="D111" s="13" t="s">
        <v>481</v>
      </c>
      <c r="E111" s="13" t="s">
        <v>426</v>
      </c>
      <c r="F111" s="61">
        <f t="shared" si="2"/>
        <v>0</v>
      </c>
      <c r="G111" s="61">
        <f>G112</f>
        <v>0</v>
      </c>
      <c r="H111" s="61">
        <f>H112</f>
        <v>0</v>
      </c>
    </row>
    <row r="112" spans="1:8" ht="51.75" customHeight="1" hidden="1">
      <c r="A112" s="25" t="s">
        <v>225</v>
      </c>
      <c r="B112" s="13" t="s">
        <v>161</v>
      </c>
      <c r="C112" s="13" t="s">
        <v>181</v>
      </c>
      <c r="D112" s="13" t="s">
        <v>481</v>
      </c>
      <c r="E112" s="13" t="s">
        <v>226</v>
      </c>
      <c r="F112" s="61">
        <f t="shared" si="2"/>
        <v>0</v>
      </c>
      <c r="G112" s="61"/>
      <c r="H112" s="61">
        <f>H113</f>
        <v>0</v>
      </c>
    </row>
    <row r="113" spans="1:8" ht="17.25" customHeight="1" hidden="1">
      <c r="A113" s="25" t="s">
        <v>440</v>
      </c>
      <c r="B113" s="13" t="s">
        <v>161</v>
      </c>
      <c r="C113" s="13" t="s">
        <v>181</v>
      </c>
      <c r="D113" s="13" t="s">
        <v>481</v>
      </c>
      <c r="E113" s="13" t="s">
        <v>133</v>
      </c>
      <c r="F113" s="61">
        <f t="shared" si="2"/>
        <v>0</v>
      </c>
      <c r="G113" s="61">
        <v>0</v>
      </c>
      <c r="H113" s="61"/>
    </row>
    <row r="114" spans="1:8" ht="66.75" customHeight="1" hidden="1">
      <c r="A114" s="29" t="s">
        <v>807</v>
      </c>
      <c r="B114" s="26" t="s">
        <v>161</v>
      </c>
      <c r="C114" s="26" t="s">
        <v>181</v>
      </c>
      <c r="D114" s="26" t="s">
        <v>808</v>
      </c>
      <c r="E114" s="26" t="s">
        <v>426</v>
      </c>
      <c r="F114" s="62">
        <f>G114+H114</f>
        <v>0</v>
      </c>
      <c r="G114" s="62"/>
      <c r="H114" s="62">
        <f>H115</f>
        <v>0</v>
      </c>
    </row>
    <row r="115" spans="1:8" ht="78" customHeight="1" hidden="1">
      <c r="A115" s="25" t="s">
        <v>199</v>
      </c>
      <c r="B115" s="13" t="s">
        <v>161</v>
      </c>
      <c r="C115" s="13" t="s">
        <v>181</v>
      </c>
      <c r="D115" s="13" t="s">
        <v>808</v>
      </c>
      <c r="E115" s="13" t="s">
        <v>166</v>
      </c>
      <c r="F115" s="61">
        <f>G115+H115</f>
        <v>0</v>
      </c>
      <c r="G115" s="61"/>
      <c r="H115" s="61">
        <f>H116</f>
        <v>0</v>
      </c>
    </row>
    <row r="116" spans="1:8" ht="35.25" customHeight="1" hidden="1">
      <c r="A116" s="49" t="s">
        <v>201</v>
      </c>
      <c r="B116" s="13" t="s">
        <v>161</v>
      </c>
      <c r="C116" s="13" t="s">
        <v>181</v>
      </c>
      <c r="D116" s="13" t="s">
        <v>808</v>
      </c>
      <c r="E116" s="13" t="s">
        <v>200</v>
      </c>
      <c r="F116" s="61">
        <f>G116+H116</f>
        <v>0</v>
      </c>
      <c r="G116" s="61">
        <v>0</v>
      </c>
      <c r="H116" s="61">
        <v>0</v>
      </c>
    </row>
    <row r="117" spans="1:8" ht="34.5" customHeight="1">
      <c r="A117" s="25" t="s">
        <v>164</v>
      </c>
      <c r="B117" s="13" t="s">
        <v>161</v>
      </c>
      <c r="C117" s="13" t="s">
        <v>181</v>
      </c>
      <c r="D117" s="13" t="s">
        <v>19</v>
      </c>
      <c r="E117" s="13" t="s">
        <v>426</v>
      </c>
      <c r="F117" s="61">
        <f t="shared" si="2"/>
        <v>5952.436010000001</v>
      </c>
      <c r="G117" s="61">
        <f>G118</f>
        <v>5952.436010000001</v>
      </c>
      <c r="H117" s="61">
        <f>H118</f>
        <v>0</v>
      </c>
    </row>
    <row r="118" spans="1:8" ht="51" customHeight="1">
      <c r="A118" s="25" t="s">
        <v>165</v>
      </c>
      <c r="B118" s="13" t="s">
        <v>161</v>
      </c>
      <c r="C118" s="13" t="s">
        <v>181</v>
      </c>
      <c r="D118" s="13" t="s">
        <v>20</v>
      </c>
      <c r="E118" s="13" t="s">
        <v>426</v>
      </c>
      <c r="F118" s="61">
        <f t="shared" si="2"/>
        <v>5952.436010000001</v>
      </c>
      <c r="G118" s="61">
        <f>G119+G124+G127+G130+G135+G147</f>
        <v>5952.436010000001</v>
      </c>
      <c r="H118" s="61">
        <f>H119</f>
        <v>0</v>
      </c>
    </row>
    <row r="119" spans="1:10" s="141" customFormat="1" ht="49.5" customHeight="1">
      <c r="A119" s="29" t="s">
        <v>581</v>
      </c>
      <c r="B119" s="26" t="s">
        <v>161</v>
      </c>
      <c r="C119" s="26" t="s">
        <v>181</v>
      </c>
      <c r="D119" s="26" t="s">
        <v>23</v>
      </c>
      <c r="E119" s="26" t="s">
        <v>426</v>
      </c>
      <c r="F119" s="62">
        <f>G119+H119</f>
        <v>4080.6200000000003</v>
      </c>
      <c r="G119" s="62">
        <f>G120+G122</f>
        <v>4080.6200000000003</v>
      </c>
      <c r="H119" s="62">
        <f>SUM(H120:H123)</f>
        <v>0</v>
      </c>
      <c r="J119" s="241"/>
    </row>
    <row r="120" spans="1:8" ht="96" customHeight="1">
      <c r="A120" s="25" t="s">
        <v>199</v>
      </c>
      <c r="B120" s="13" t="s">
        <v>161</v>
      </c>
      <c r="C120" s="13" t="s">
        <v>181</v>
      </c>
      <c r="D120" s="13" t="s">
        <v>23</v>
      </c>
      <c r="E120" s="13" t="s">
        <v>166</v>
      </c>
      <c r="F120" s="61">
        <f t="shared" si="2"/>
        <v>3994.7200000000003</v>
      </c>
      <c r="G120" s="61">
        <f>G121</f>
        <v>3994.7200000000003</v>
      </c>
      <c r="H120" s="61"/>
    </row>
    <row r="121" spans="1:8" ht="34.5" customHeight="1">
      <c r="A121" s="49" t="s">
        <v>201</v>
      </c>
      <c r="B121" s="13" t="s">
        <v>161</v>
      </c>
      <c r="C121" s="13" t="s">
        <v>181</v>
      </c>
      <c r="D121" s="13" t="s">
        <v>23</v>
      </c>
      <c r="E121" s="13" t="s">
        <v>200</v>
      </c>
      <c r="F121" s="61">
        <f t="shared" si="2"/>
        <v>3994.7200000000003</v>
      </c>
      <c r="G121" s="61">
        <f>3025.9+55+913.82</f>
        <v>3994.7200000000003</v>
      </c>
      <c r="H121" s="61"/>
    </row>
    <row r="122" spans="1:8" ht="35.25" customHeight="1">
      <c r="A122" s="25" t="s">
        <v>202</v>
      </c>
      <c r="B122" s="13" t="s">
        <v>161</v>
      </c>
      <c r="C122" s="13" t="s">
        <v>181</v>
      </c>
      <c r="D122" s="13" t="s">
        <v>23</v>
      </c>
      <c r="E122" s="13" t="s">
        <v>170</v>
      </c>
      <c r="F122" s="61">
        <f t="shared" si="2"/>
        <v>85.90000000000009</v>
      </c>
      <c r="G122" s="61">
        <f>G123</f>
        <v>85.90000000000009</v>
      </c>
      <c r="H122" s="61"/>
    </row>
    <row r="123" spans="1:8" ht="49.5" customHeight="1">
      <c r="A123" s="49" t="s">
        <v>203</v>
      </c>
      <c r="B123" s="13" t="s">
        <v>161</v>
      </c>
      <c r="C123" s="13" t="s">
        <v>181</v>
      </c>
      <c r="D123" s="13" t="s">
        <v>23</v>
      </c>
      <c r="E123" s="13" t="s">
        <v>204</v>
      </c>
      <c r="F123" s="61">
        <f>G123+H123</f>
        <v>85.90000000000009</v>
      </c>
      <c r="G123" s="61">
        <f>4080.62-3994.72</f>
        <v>85.90000000000009</v>
      </c>
      <c r="H123" s="61"/>
    </row>
    <row r="124" spans="1:8" s="141" customFormat="1" ht="15.75" customHeight="1">
      <c r="A124" s="29" t="s">
        <v>211</v>
      </c>
      <c r="B124" s="26" t="s">
        <v>161</v>
      </c>
      <c r="C124" s="26" t="s">
        <v>181</v>
      </c>
      <c r="D124" s="26" t="s">
        <v>27</v>
      </c>
      <c r="E124" s="26" t="s">
        <v>426</v>
      </c>
      <c r="F124" s="62">
        <f>G124+H124</f>
        <v>2</v>
      </c>
      <c r="G124" s="62">
        <f>G125</f>
        <v>2</v>
      </c>
      <c r="H124" s="62">
        <f>H125</f>
        <v>0</v>
      </c>
    </row>
    <row r="125" spans="1:8" ht="15.75" customHeight="1">
      <c r="A125" s="25" t="s">
        <v>207</v>
      </c>
      <c r="B125" s="13" t="s">
        <v>161</v>
      </c>
      <c r="C125" s="13" t="s">
        <v>181</v>
      </c>
      <c r="D125" s="13" t="s">
        <v>27</v>
      </c>
      <c r="E125" s="13" t="s">
        <v>208</v>
      </c>
      <c r="F125" s="61">
        <f>G125+H125</f>
        <v>2</v>
      </c>
      <c r="G125" s="61">
        <f>G126</f>
        <v>2</v>
      </c>
      <c r="H125" s="61">
        <f>H126</f>
        <v>0</v>
      </c>
    </row>
    <row r="126" spans="1:8" ht="15.75" customHeight="1">
      <c r="A126" s="25" t="s">
        <v>211</v>
      </c>
      <c r="B126" s="13" t="s">
        <v>161</v>
      </c>
      <c r="C126" s="13" t="s">
        <v>181</v>
      </c>
      <c r="D126" s="13" t="s">
        <v>27</v>
      </c>
      <c r="E126" s="13" t="s">
        <v>212</v>
      </c>
      <c r="F126" s="61">
        <f>G126+H126</f>
        <v>2</v>
      </c>
      <c r="G126" s="61">
        <v>2</v>
      </c>
      <c r="H126" s="61"/>
    </row>
    <row r="127" spans="1:8" s="141" customFormat="1" ht="69.75" customHeight="1">
      <c r="A127" s="29" t="s">
        <v>385</v>
      </c>
      <c r="B127" s="26" t="s">
        <v>161</v>
      </c>
      <c r="C127" s="26" t="s">
        <v>181</v>
      </c>
      <c r="D127" s="26" t="s">
        <v>28</v>
      </c>
      <c r="E127" s="26" t="s">
        <v>426</v>
      </c>
      <c r="F127" s="62">
        <f t="shared" si="2"/>
        <v>750</v>
      </c>
      <c r="G127" s="62">
        <f>G128</f>
        <v>750</v>
      </c>
      <c r="H127" s="62">
        <f>H129</f>
        <v>0</v>
      </c>
    </row>
    <row r="128" spans="1:8" ht="35.25" customHeight="1">
      <c r="A128" s="25" t="s">
        <v>202</v>
      </c>
      <c r="B128" s="13" t="s">
        <v>161</v>
      </c>
      <c r="C128" s="13" t="s">
        <v>181</v>
      </c>
      <c r="D128" s="13" t="s">
        <v>28</v>
      </c>
      <c r="E128" s="13" t="s">
        <v>170</v>
      </c>
      <c r="F128" s="61">
        <f t="shared" si="2"/>
        <v>750</v>
      </c>
      <c r="G128" s="61">
        <f>G129</f>
        <v>750</v>
      </c>
      <c r="H128" s="61"/>
    </row>
    <row r="129" spans="1:8" ht="49.5" customHeight="1">
      <c r="A129" s="49" t="s">
        <v>203</v>
      </c>
      <c r="B129" s="13" t="s">
        <v>161</v>
      </c>
      <c r="C129" s="13" t="s">
        <v>181</v>
      </c>
      <c r="D129" s="13" t="s">
        <v>28</v>
      </c>
      <c r="E129" s="13" t="s">
        <v>204</v>
      </c>
      <c r="F129" s="61">
        <f t="shared" si="2"/>
        <v>750</v>
      </c>
      <c r="G129" s="61">
        <f>430+320</f>
        <v>750</v>
      </c>
      <c r="H129" s="61"/>
    </row>
    <row r="130" spans="1:8" ht="16.5" customHeight="1">
      <c r="A130" s="44" t="s">
        <v>533</v>
      </c>
      <c r="B130" s="26" t="s">
        <v>161</v>
      </c>
      <c r="C130" s="26" t="s">
        <v>181</v>
      </c>
      <c r="D130" s="26" t="s">
        <v>534</v>
      </c>
      <c r="E130" s="26" t="s">
        <v>426</v>
      </c>
      <c r="F130" s="62">
        <f aca="true" t="shared" si="3" ref="F130:F139">G130</f>
        <v>1035.0870100000002</v>
      </c>
      <c r="G130" s="62">
        <f>G131+G133</f>
        <v>1035.0870100000002</v>
      </c>
      <c r="H130" s="62"/>
    </row>
    <row r="131" spans="1:8" ht="34.5" customHeight="1">
      <c r="A131" s="25" t="s">
        <v>202</v>
      </c>
      <c r="B131" s="13" t="s">
        <v>161</v>
      </c>
      <c r="C131" s="13" t="s">
        <v>181</v>
      </c>
      <c r="D131" s="13" t="s">
        <v>534</v>
      </c>
      <c r="E131" s="13" t="s">
        <v>170</v>
      </c>
      <c r="F131" s="61">
        <f t="shared" si="3"/>
        <v>1035.0870100000002</v>
      </c>
      <c r="G131" s="61">
        <f>G132</f>
        <v>1035.0870100000002</v>
      </c>
      <c r="H131" s="61"/>
    </row>
    <row r="132" spans="1:8" ht="49.5" customHeight="1">
      <c r="A132" s="49" t="s">
        <v>203</v>
      </c>
      <c r="B132" s="13" t="s">
        <v>161</v>
      </c>
      <c r="C132" s="13" t="s">
        <v>181</v>
      </c>
      <c r="D132" s="13" t="s">
        <v>534</v>
      </c>
      <c r="E132" s="13" t="s">
        <v>204</v>
      </c>
      <c r="F132" s="61">
        <f t="shared" si="3"/>
        <v>1035.0870100000002</v>
      </c>
      <c r="G132" s="61">
        <f>1402.9-504.6-2+138.78701</f>
        <v>1035.0870100000002</v>
      </c>
      <c r="H132" s="61"/>
    </row>
    <row r="133" spans="1:8" ht="21.75" customHeight="1" hidden="1">
      <c r="A133" s="25" t="s">
        <v>207</v>
      </c>
      <c r="B133" s="13" t="s">
        <v>161</v>
      </c>
      <c r="C133" s="13" t="s">
        <v>181</v>
      </c>
      <c r="D133" s="13" t="s">
        <v>534</v>
      </c>
      <c r="E133" s="13" t="s">
        <v>208</v>
      </c>
      <c r="F133" s="61">
        <f t="shared" si="3"/>
        <v>0</v>
      </c>
      <c r="G133" s="61">
        <f>G134</f>
        <v>0</v>
      </c>
      <c r="H133" s="61"/>
    </row>
    <row r="134" spans="1:8" ht="21" customHeight="1" hidden="1">
      <c r="A134" s="57" t="s">
        <v>205</v>
      </c>
      <c r="B134" s="13" t="s">
        <v>161</v>
      </c>
      <c r="C134" s="13" t="s">
        <v>181</v>
      </c>
      <c r="D134" s="13" t="s">
        <v>534</v>
      </c>
      <c r="E134" s="13" t="s">
        <v>206</v>
      </c>
      <c r="F134" s="61">
        <f t="shared" si="3"/>
        <v>0</v>
      </c>
      <c r="G134" s="61"/>
      <c r="H134" s="61"/>
    </row>
    <row r="135" spans="1:8" s="141" customFormat="1" ht="18" customHeight="1" hidden="1">
      <c r="A135" s="180" t="s">
        <v>567</v>
      </c>
      <c r="B135" s="26" t="s">
        <v>161</v>
      </c>
      <c r="C135" s="26" t="s">
        <v>181</v>
      </c>
      <c r="D135" s="26" t="s">
        <v>568</v>
      </c>
      <c r="E135" s="26" t="s">
        <v>426</v>
      </c>
      <c r="F135" s="62">
        <f t="shared" si="3"/>
        <v>0</v>
      </c>
      <c r="G135" s="62">
        <f>G137+G138</f>
        <v>0</v>
      </c>
      <c r="H135" s="62"/>
    </row>
    <row r="136" spans="1:8" s="141" customFormat="1" ht="36.75" customHeight="1" hidden="1">
      <c r="A136" s="25" t="s">
        <v>202</v>
      </c>
      <c r="B136" s="13" t="s">
        <v>161</v>
      </c>
      <c r="C136" s="13" t="s">
        <v>181</v>
      </c>
      <c r="D136" s="13" t="s">
        <v>568</v>
      </c>
      <c r="E136" s="13" t="s">
        <v>170</v>
      </c>
      <c r="F136" s="61">
        <f t="shared" si="3"/>
        <v>0</v>
      </c>
      <c r="G136" s="61">
        <f>G137</f>
        <v>0</v>
      </c>
      <c r="H136" s="62"/>
    </row>
    <row r="137" spans="1:8" ht="48.75" customHeight="1" hidden="1">
      <c r="A137" s="49" t="s">
        <v>203</v>
      </c>
      <c r="B137" s="13" t="s">
        <v>161</v>
      </c>
      <c r="C137" s="13" t="s">
        <v>181</v>
      </c>
      <c r="D137" s="13" t="s">
        <v>568</v>
      </c>
      <c r="E137" s="13" t="s">
        <v>204</v>
      </c>
      <c r="F137" s="61">
        <f t="shared" si="3"/>
        <v>0</v>
      </c>
      <c r="G137" s="61"/>
      <c r="H137" s="61"/>
    </row>
    <row r="138" spans="1:8" ht="21" customHeight="1" hidden="1">
      <c r="A138" s="25" t="s">
        <v>207</v>
      </c>
      <c r="B138" s="13" t="s">
        <v>161</v>
      </c>
      <c r="C138" s="13" t="s">
        <v>181</v>
      </c>
      <c r="D138" s="13" t="s">
        <v>568</v>
      </c>
      <c r="E138" s="13" t="s">
        <v>208</v>
      </c>
      <c r="F138" s="61">
        <f t="shared" si="3"/>
        <v>0</v>
      </c>
      <c r="G138" s="61">
        <f>G139</f>
        <v>0</v>
      </c>
      <c r="H138" s="61"/>
    </row>
    <row r="139" spans="1:8" ht="15.75" customHeight="1" hidden="1">
      <c r="A139" s="57" t="s">
        <v>205</v>
      </c>
      <c r="B139" s="13" t="s">
        <v>161</v>
      </c>
      <c r="C139" s="13" t="s">
        <v>181</v>
      </c>
      <c r="D139" s="13" t="s">
        <v>568</v>
      </c>
      <c r="E139" s="13" t="s">
        <v>206</v>
      </c>
      <c r="F139" s="61">
        <f t="shared" si="3"/>
        <v>0</v>
      </c>
      <c r="G139" s="61"/>
      <c r="H139" s="61"/>
    </row>
    <row r="140" spans="1:10" s="157" customFormat="1" ht="81" customHeight="1">
      <c r="A140" s="58" t="s">
        <v>582</v>
      </c>
      <c r="B140" s="56" t="s">
        <v>161</v>
      </c>
      <c r="C140" s="56" t="s">
        <v>181</v>
      </c>
      <c r="D140" s="56" t="s">
        <v>337</v>
      </c>
      <c r="E140" s="56" t="s">
        <v>426</v>
      </c>
      <c r="F140" s="108">
        <f>G140+H140</f>
        <v>879.9198700000001</v>
      </c>
      <c r="G140" s="108">
        <v>0</v>
      </c>
      <c r="H140" s="108">
        <f>H141</f>
        <v>879.9198700000001</v>
      </c>
      <c r="I140" s="177"/>
      <c r="J140" s="178"/>
    </row>
    <row r="141" spans="1:9" ht="38.25" customHeight="1">
      <c r="A141" s="25" t="s">
        <v>522</v>
      </c>
      <c r="B141" s="13" t="s">
        <v>161</v>
      </c>
      <c r="C141" s="13" t="s">
        <v>181</v>
      </c>
      <c r="D141" s="13" t="s">
        <v>19</v>
      </c>
      <c r="E141" s="13" t="s">
        <v>426</v>
      </c>
      <c r="F141" s="61">
        <f aca="true" t="shared" si="4" ref="F141:F149">G141+H141</f>
        <v>879.9198700000001</v>
      </c>
      <c r="G141" s="61"/>
      <c r="H141" s="61">
        <f>H142</f>
        <v>879.9198700000001</v>
      </c>
      <c r="I141" s="142"/>
    </row>
    <row r="142" spans="1:11" ht="45.75" customHeight="1">
      <c r="A142" s="25" t="s">
        <v>165</v>
      </c>
      <c r="B142" s="13" t="s">
        <v>161</v>
      </c>
      <c r="C142" s="13" t="s">
        <v>181</v>
      </c>
      <c r="D142" s="13" t="s">
        <v>20</v>
      </c>
      <c r="E142" s="13" t="s">
        <v>426</v>
      </c>
      <c r="F142" s="61">
        <f t="shared" si="4"/>
        <v>879.9198700000001</v>
      </c>
      <c r="G142" s="61"/>
      <c r="H142" s="61">
        <f>H143+H145</f>
        <v>879.9198700000001</v>
      </c>
      <c r="I142" s="158"/>
      <c r="J142" s="158"/>
      <c r="K142" s="149"/>
    </row>
    <row r="143" spans="1:9" ht="91.5" customHeight="1">
      <c r="A143" s="25" t="s">
        <v>199</v>
      </c>
      <c r="B143" s="13" t="s">
        <v>161</v>
      </c>
      <c r="C143" s="13" t="s">
        <v>181</v>
      </c>
      <c r="D143" s="13" t="s">
        <v>583</v>
      </c>
      <c r="E143" s="13" t="s">
        <v>166</v>
      </c>
      <c r="F143" s="61">
        <f t="shared" si="4"/>
        <v>843.033</v>
      </c>
      <c r="G143" s="61">
        <v>0</v>
      </c>
      <c r="H143" s="61">
        <f>H144</f>
        <v>843.033</v>
      </c>
      <c r="I143" s="142"/>
    </row>
    <row r="144" spans="1:8" ht="32.25" customHeight="1">
      <c r="A144" s="25" t="s">
        <v>201</v>
      </c>
      <c r="B144" s="13" t="s">
        <v>161</v>
      </c>
      <c r="C144" s="13" t="s">
        <v>181</v>
      </c>
      <c r="D144" s="13" t="s">
        <v>583</v>
      </c>
      <c r="E144" s="13" t="s">
        <v>200</v>
      </c>
      <c r="F144" s="61">
        <f t="shared" si="4"/>
        <v>843.033</v>
      </c>
      <c r="G144" s="61"/>
      <c r="H144" s="61">
        <v>843.033</v>
      </c>
    </row>
    <row r="145" spans="1:8" ht="37.5" customHeight="1">
      <c r="A145" s="25" t="s">
        <v>202</v>
      </c>
      <c r="B145" s="13" t="s">
        <v>161</v>
      </c>
      <c r="C145" s="13" t="s">
        <v>181</v>
      </c>
      <c r="D145" s="13" t="s">
        <v>583</v>
      </c>
      <c r="E145" s="13" t="s">
        <v>170</v>
      </c>
      <c r="F145" s="61">
        <f t="shared" si="4"/>
        <v>36.88687</v>
      </c>
      <c r="G145" s="61">
        <v>0</v>
      </c>
      <c r="H145" s="61">
        <f>H146</f>
        <v>36.88687</v>
      </c>
    </row>
    <row r="146" spans="1:10" ht="49.5" customHeight="1">
      <c r="A146" s="49" t="s">
        <v>203</v>
      </c>
      <c r="B146" s="13" t="s">
        <v>161</v>
      </c>
      <c r="C146" s="13" t="s">
        <v>181</v>
      </c>
      <c r="D146" s="13" t="s">
        <v>583</v>
      </c>
      <c r="E146" s="13" t="s">
        <v>204</v>
      </c>
      <c r="F146" s="61">
        <f t="shared" si="4"/>
        <v>36.88687</v>
      </c>
      <c r="G146" s="61"/>
      <c r="H146" s="61">
        <v>36.88687</v>
      </c>
      <c r="J146" s="158"/>
    </row>
    <row r="147" spans="1:10" ht="45.75" customHeight="1">
      <c r="A147" s="44" t="s">
        <v>773</v>
      </c>
      <c r="B147" s="26" t="s">
        <v>161</v>
      </c>
      <c r="C147" s="26" t="s">
        <v>181</v>
      </c>
      <c r="D147" s="26" t="s">
        <v>774</v>
      </c>
      <c r="E147" s="26" t="s">
        <v>426</v>
      </c>
      <c r="F147" s="62">
        <f t="shared" si="4"/>
        <v>84.729</v>
      </c>
      <c r="G147" s="62">
        <f>G148</f>
        <v>84.729</v>
      </c>
      <c r="H147" s="62"/>
      <c r="J147" s="158"/>
    </row>
    <row r="148" spans="1:10" ht="35.25" customHeight="1">
      <c r="A148" s="25" t="s">
        <v>202</v>
      </c>
      <c r="B148" s="13" t="s">
        <v>161</v>
      </c>
      <c r="C148" s="13" t="s">
        <v>181</v>
      </c>
      <c r="D148" s="13" t="s">
        <v>774</v>
      </c>
      <c r="E148" s="13" t="s">
        <v>170</v>
      </c>
      <c r="F148" s="61">
        <f t="shared" si="4"/>
        <v>84.729</v>
      </c>
      <c r="G148" s="61">
        <f>G149</f>
        <v>84.729</v>
      </c>
      <c r="H148" s="61"/>
      <c r="J148" s="158"/>
    </row>
    <row r="149" spans="1:10" ht="45" customHeight="1">
      <c r="A149" s="49" t="s">
        <v>203</v>
      </c>
      <c r="B149" s="13" t="s">
        <v>161</v>
      </c>
      <c r="C149" s="13" t="s">
        <v>181</v>
      </c>
      <c r="D149" s="13" t="s">
        <v>774</v>
      </c>
      <c r="E149" s="13" t="s">
        <v>204</v>
      </c>
      <c r="F149" s="61">
        <f t="shared" si="4"/>
        <v>84.729</v>
      </c>
      <c r="G149" s="61">
        <f>11.45+24.964+25.292+6.497+16.526</f>
        <v>84.729</v>
      </c>
      <c r="H149" s="61"/>
      <c r="J149" s="158"/>
    </row>
    <row r="150" spans="1:8" s="141" customFormat="1" ht="50.25" customHeight="1">
      <c r="A150" s="29" t="s">
        <v>490</v>
      </c>
      <c r="B150" s="26" t="s">
        <v>161</v>
      </c>
      <c r="C150" s="26" t="s">
        <v>181</v>
      </c>
      <c r="D150" s="26" t="s">
        <v>38</v>
      </c>
      <c r="E150" s="26" t="s">
        <v>426</v>
      </c>
      <c r="F150" s="62">
        <f t="shared" si="2"/>
        <v>83</v>
      </c>
      <c r="G150" s="62">
        <f>G151+G154+G162+G165</f>
        <v>83</v>
      </c>
      <c r="H150" s="62">
        <f>H154+H165</f>
        <v>0</v>
      </c>
    </row>
    <row r="151" spans="1:8" s="159" customFormat="1" ht="35.25" customHeight="1" hidden="1">
      <c r="A151" s="30" t="s">
        <v>40</v>
      </c>
      <c r="B151" s="13" t="s">
        <v>161</v>
      </c>
      <c r="C151" s="13" t="s">
        <v>181</v>
      </c>
      <c r="D151" s="5" t="s">
        <v>39</v>
      </c>
      <c r="E151" s="13" t="s">
        <v>426</v>
      </c>
      <c r="F151" s="61">
        <f t="shared" si="2"/>
        <v>0</v>
      </c>
      <c r="G151" s="61">
        <f>G152</f>
        <v>0</v>
      </c>
      <c r="H151" s="111"/>
    </row>
    <row r="152" spans="1:8" ht="39" customHeight="1" hidden="1">
      <c r="A152" s="25" t="s">
        <v>202</v>
      </c>
      <c r="B152" s="13" t="s">
        <v>161</v>
      </c>
      <c r="C152" s="13" t="s">
        <v>181</v>
      </c>
      <c r="D152" s="5" t="s">
        <v>41</v>
      </c>
      <c r="E152" s="13" t="s">
        <v>170</v>
      </c>
      <c r="F152" s="61">
        <f t="shared" si="2"/>
        <v>0</v>
      </c>
      <c r="G152" s="61">
        <f>G153</f>
        <v>0</v>
      </c>
      <c r="H152" s="61"/>
    </row>
    <row r="153" spans="1:8" ht="47.25" customHeight="1" hidden="1">
      <c r="A153" s="49" t="s">
        <v>203</v>
      </c>
      <c r="B153" s="13" t="s">
        <v>161</v>
      </c>
      <c r="C153" s="13" t="s">
        <v>181</v>
      </c>
      <c r="D153" s="5" t="s">
        <v>42</v>
      </c>
      <c r="E153" s="13" t="s">
        <v>204</v>
      </c>
      <c r="F153" s="61">
        <f t="shared" si="2"/>
        <v>0</v>
      </c>
      <c r="G153" s="61"/>
      <c r="H153" s="61"/>
    </row>
    <row r="154" spans="1:8" ht="36" customHeight="1" hidden="1">
      <c r="A154" s="126" t="s">
        <v>312</v>
      </c>
      <c r="B154" s="13" t="s">
        <v>161</v>
      </c>
      <c r="C154" s="13" t="s">
        <v>181</v>
      </c>
      <c r="D154" s="5" t="s">
        <v>56</v>
      </c>
      <c r="E154" s="13" t="s">
        <v>426</v>
      </c>
      <c r="F154" s="61">
        <f>F155</f>
        <v>0</v>
      </c>
      <c r="G154" s="61">
        <f>G155</f>
        <v>0</v>
      </c>
      <c r="H154" s="61">
        <f>H155</f>
        <v>0</v>
      </c>
    </row>
    <row r="155" spans="1:8" ht="63.75" customHeight="1" hidden="1">
      <c r="A155" s="29" t="s">
        <v>705</v>
      </c>
      <c r="B155" s="26" t="s">
        <v>161</v>
      </c>
      <c r="C155" s="26" t="s">
        <v>181</v>
      </c>
      <c r="D155" s="26" t="s">
        <v>337</v>
      </c>
      <c r="E155" s="26" t="s">
        <v>426</v>
      </c>
      <c r="F155" s="62">
        <f>G155+H155</f>
        <v>0</v>
      </c>
      <c r="G155" s="62">
        <f>G159</f>
        <v>0</v>
      </c>
      <c r="H155" s="62">
        <f>H156</f>
        <v>0</v>
      </c>
    </row>
    <row r="156" spans="1:8" ht="94.5" customHeight="1" hidden="1">
      <c r="A156" s="25" t="s">
        <v>722</v>
      </c>
      <c r="B156" s="13" t="s">
        <v>161</v>
      </c>
      <c r="C156" s="13" t="s">
        <v>181</v>
      </c>
      <c r="D156" s="13" t="s">
        <v>711</v>
      </c>
      <c r="E156" s="13" t="s">
        <v>426</v>
      </c>
      <c r="F156" s="61">
        <f aca="true" t="shared" si="5" ref="F156:F161">G156+H156</f>
        <v>0</v>
      </c>
      <c r="G156" s="61"/>
      <c r="H156" s="61">
        <f>H157</f>
        <v>0</v>
      </c>
    </row>
    <row r="157" spans="1:8" ht="49.5" customHeight="1" hidden="1">
      <c r="A157" s="49" t="s">
        <v>621</v>
      </c>
      <c r="B157" s="13" t="s">
        <v>161</v>
      </c>
      <c r="C157" s="13" t="s">
        <v>181</v>
      </c>
      <c r="D157" s="13" t="s">
        <v>711</v>
      </c>
      <c r="E157" s="13" t="s">
        <v>622</v>
      </c>
      <c r="F157" s="61">
        <f t="shared" si="5"/>
        <v>0</v>
      </c>
      <c r="G157" s="61"/>
      <c r="H157" s="61">
        <f>H158</f>
        <v>0</v>
      </c>
    </row>
    <row r="158" spans="1:8" ht="16.5" customHeight="1" hidden="1">
      <c r="A158" s="49" t="s">
        <v>623</v>
      </c>
      <c r="B158" s="13" t="s">
        <v>161</v>
      </c>
      <c r="C158" s="13" t="s">
        <v>181</v>
      </c>
      <c r="D158" s="13" t="s">
        <v>711</v>
      </c>
      <c r="E158" s="13" t="s">
        <v>624</v>
      </c>
      <c r="F158" s="61">
        <f t="shared" si="5"/>
        <v>0</v>
      </c>
      <c r="G158" s="61"/>
      <c r="H158" s="61">
        <v>0</v>
      </c>
    </row>
    <row r="159" spans="1:8" ht="96" customHeight="1" hidden="1">
      <c r="A159" s="25" t="s">
        <v>723</v>
      </c>
      <c r="B159" s="13" t="s">
        <v>161</v>
      </c>
      <c r="C159" s="13" t="s">
        <v>181</v>
      </c>
      <c r="D159" s="13" t="s">
        <v>759</v>
      </c>
      <c r="E159" s="13" t="s">
        <v>426</v>
      </c>
      <c r="F159" s="61">
        <f t="shared" si="5"/>
        <v>0</v>
      </c>
      <c r="G159" s="61">
        <f>G160</f>
        <v>0</v>
      </c>
      <c r="H159" s="61"/>
    </row>
    <row r="160" spans="1:8" ht="50.25" customHeight="1" hidden="1">
      <c r="A160" s="49" t="s">
        <v>621</v>
      </c>
      <c r="B160" s="13" t="s">
        <v>161</v>
      </c>
      <c r="C160" s="13" t="s">
        <v>181</v>
      </c>
      <c r="D160" s="13" t="s">
        <v>759</v>
      </c>
      <c r="E160" s="13" t="s">
        <v>622</v>
      </c>
      <c r="F160" s="61">
        <f t="shared" si="5"/>
        <v>0</v>
      </c>
      <c r="G160" s="61">
        <f>G161</f>
        <v>0</v>
      </c>
      <c r="H160" s="61"/>
    </row>
    <row r="161" spans="1:8" ht="18" customHeight="1" hidden="1">
      <c r="A161" s="49" t="s">
        <v>623</v>
      </c>
      <c r="B161" s="13" t="s">
        <v>161</v>
      </c>
      <c r="C161" s="13" t="s">
        <v>181</v>
      </c>
      <c r="D161" s="13" t="s">
        <v>759</v>
      </c>
      <c r="E161" s="13" t="s">
        <v>624</v>
      </c>
      <c r="F161" s="61">
        <f t="shared" si="5"/>
        <v>0</v>
      </c>
      <c r="G161" s="61">
        <f>325-255-70</f>
        <v>0</v>
      </c>
      <c r="H161" s="61"/>
    </row>
    <row r="162" spans="1:8" ht="92.25" customHeight="1" hidden="1">
      <c r="A162" s="29" t="s">
        <v>721</v>
      </c>
      <c r="B162" s="26" t="s">
        <v>161</v>
      </c>
      <c r="C162" s="26" t="s">
        <v>181</v>
      </c>
      <c r="D162" s="26" t="s">
        <v>712</v>
      </c>
      <c r="E162" s="26" t="s">
        <v>426</v>
      </c>
      <c r="F162" s="62">
        <f>G162+H162</f>
        <v>0</v>
      </c>
      <c r="G162" s="62">
        <f>G163</f>
        <v>0</v>
      </c>
      <c r="H162" s="62"/>
    </row>
    <row r="163" spans="1:8" ht="36" customHeight="1" hidden="1">
      <c r="A163" s="25" t="s">
        <v>202</v>
      </c>
      <c r="B163" s="13" t="s">
        <v>161</v>
      </c>
      <c r="C163" s="13" t="s">
        <v>181</v>
      </c>
      <c r="D163" s="13" t="s">
        <v>712</v>
      </c>
      <c r="E163" s="13" t="s">
        <v>170</v>
      </c>
      <c r="F163" s="61">
        <f>G163+H163</f>
        <v>0</v>
      </c>
      <c r="G163" s="61">
        <f>G164</f>
        <v>0</v>
      </c>
      <c r="H163" s="61"/>
    </row>
    <row r="164" spans="1:8" ht="50.25" customHeight="1" hidden="1">
      <c r="A164" s="49" t="s">
        <v>203</v>
      </c>
      <c r="B164" s="13" t="s">
        <v>161</v>
      </c>
      <c r="C164" s="13" t="s">
        <v>181</v>
      </c>
      <c r="D164" s="13" t="s">
        <v>712</v>
      </c>
      <c r="E164" s="13" t="s">
        <v>204</v>
      </c>
      <c r="F164" s="61">
        <f>G164+H164</f>
        <v>0</v>
      </c>
      <c r="G164" s="61">
        <v>0</v>
      </c>
      <c r="H164" s="61"/>
    </row>
    <row r="165" spans="1:8" ht="36" customHeight="1">
      <c r="A165" s="30" t="s">
        <v>43</v>
      </c>
      <c r="B165" s="13" t="s">
        <v>161</v>
      </c>
      <c r="C165" s="13" t="s">
        <v>181</v>
      </c>
      <c r="D165" s="13" t="s">
        <v>44</v>
      </c>
      <c r="E165" s="13" t="s">
        <v>426</v>
      </c>
      <c r="F165" s="61">
        <f t="shared" si="2"/>
        <v>83</v>
      </c>
      <c r="G165" s="61">
        <f>G166</f>
        <v>83</v>
      </c>
      <c r="H165" s="61">
        <f>H167</f>
        <v>0</v>
      </c>
    </row>
    <row r="166" spans="1:8" ht="34.5" customHeight="1">
      <c r="A166" s="25" t="s">
        <v>202</v>
      </c>
      <c r="B166" s="13" t="s">
        <v>161</v>
      </c>
      <c r="C166" s="13" t="s">
        <v>181</v>
      </c>
      <c r="D166" s="13" t="s">
        <v>714</v>
      </c>
      <c r="E166" s="13" t="s">
        <v>170</v>
      </c>
      <c r="F166" s="61">
        <f t="shared" si="2"/>
        <v>83</v>
      </c>
      <c r="G166" s="61">
        <f>G167</f>
        <v>83</v>
      </c>
      <c r="H166" s="61"/>
    </row>
    <row r="167" spans="1:8" ht="48" customHeight="1">
      <c r="A167" s="49" t="s">
        <v>203</v>
      </c>
      <c r="B167" s="13" t="s">
        <v>161</v>
      </c>
      <c r="C167" s="13" t="s">
        <v>181</v>
      </c>
      <c r="D167" s="13" t="s">
        <v>714</v>
      </c>
      <c r="E167" s="13" t="s">
        <v>204</v>
      </c>
      <c r="F167" s="61">
        <f t="shared" si="2"/>
        <v>83</v>
      </c>
      <c r="G167" s="61">
        <v>83</v>
      </c>
      <c r="H167" s="61"/>
    </row>
    <row r="168" spans="1:8" s="141" customFormat="1" ht="63" customHeight="1">
      <c r="A168" s="29" t="s">
        <v>505</v>
      </c>
      <c r="B168" s="26" t="s">
        <v>161</v>
      </c>
      <c r="C168" s="26" t="s">
        <v>181</v>
      </c>
      <c r="D168" s="26" t="s">
        <v>45</v>
      </c>
      <c r="E168" s="26" t="s">
        <v>426</v>
      </c>
      <c r="F168" s="62">
        <f aca="true" t="shared" si="6" ref="F168:F345">G168+H168</f>
        <v>10</v>
      </c>
      <c r="G168" s="62">
        <f>G169</f>
        <v>10</v>
      </c>
      <c r="H168" s="62">
        <f>H170</f>
        <v>0</v>
      </c>
    </row>
    <row r="169" spans="1:8" ht="35.25" customHeight="1">
      <c r="A169" s="25" t="s">
        <v>202</v>
      </c>
      <c r="B169" s="13" t="s">
        <v>161</v>
      </c>
      <c r="C169" s="13" t="s">
        <v>181</v>
      </c>
      <c r="D169" s="13" t="s">
        <v>46</v>
      </c>
      <c r="E169" s="13" t="s">
        <v>170</v>
      </c>
      <c r="F169" s="61">
        <f t="shared" si="6"/>
        <v>10</v>
      </c>
      <c r="G169" s="61">
        <f>G170</f>
        <v>10</v>
      </c>
      <c r="H169" s="61"/>
    </row>
    <row r="170" spans="1:8" ht="50.25" customHeight="1">
      <c r="A170" s="49" t="s">
        <v>203</v>
      </c>
      <c r="B170" s="13" t="s">
        <v>161</v>
      </c>
      <c r="C170" s="13" t="s">
        <v>181</v>
      </c>
      <c r="D170" s="13" t="s">
        <v>47</v>
      </c>
      <c r="E170" s="13" t="s">
        <v>204</v>
      </c>
      <c r="F170" s="61">
        <f t="shared" si="6"/>
        <v>10</v>
      </c>
      <c r="G170" s="61">
        <v>10</v>
      </c>
      <c r="H170" s="61"/>
    </row>
    <row r="171" spans="1:8" s="141" customFormat="1" ht="48.75" customHeight="1" hidden="1">
      <c r="A171" s="44" t="s">
        <v>452</v>
      </c>
      <c r="B171" s="26" t="s">
        <v>161</v>
      </c>
      <c r="C171" s="26" t="s">
        <v>181</v>
      </c>
      <c r="D171" s="26" t="s">
        <v>48</v>
      </c>
      <c r="E171" s="26" t="s">
        <v>426</v>
      </c>
      <c r="F171" s="62">
        <f>G171+H171</f>
        <v>0</v>
      </c>
      <c r="G171" s="62">
        <f>G172</f>
        <v>0</v>
      </c>
      <c r="H171" s="62">
        <f>H172</f>
        <v>0</v>
      </c>
    </row>
    <row r="172" spans="1:8" ht="34.5" customHeight="1" hidden="1">
      <c r="A172" s="49" t="s">
        <v>202</v>
      </c>
      <c r="B172" s="13" t="s">
        <v>161</v>
      </c>
      <c r="C172" s="13" t="s">
        <v>181</v>
      </c>
      <c r="D172" s="13" t="s">
        <v>516</v>
      </c>
      <c r="E172" s="13" t="s">
        <v>170</v>
      </c>
      <c r="F172" s="61">
        <f>G172+H172</f>
        <v>0</v>
      </c>
      <c r="G172" s="61">
        <f>G173</f>
        <v>0</v>
      </c>
      <c r="H172" s="61">
        <f>H173</f>
        <v>0</v>
      </c>
    </row>
    <row r="173" spans="1:8" ht="49.5" customHeight="1" hidden="1">
      <c r="A173" s="49" t="s">
        <v>203</v>
      </c>
      <c r="B173" s="13" t="s">
        <v>161</v>
      </c>
      <c r="C173" s="13" t="s">
        <v>181</v>
      </c>
      <c r="D173" s="13" t="s">
        <v>516</v>
      </c>
      <c r="E173" s="13" t="s">
        <v>204</v>
      </c>
      <c r="F173" s="61">
        <f>G173+H173</f>
        <v>0</v>
      </c>
      <c r="G173" s="61"/>
      <c r="H173" s="61"/>
    </row>
    <row r="174" spans="1:8" ht="65.25" customHeight="1">
      <c r="A174" s="44" t="s">
        <v>865</v>
      </c>
      <c r="B174" s="26" t="s">
        <v>161</v>
      </c>
      <c r="C174" s="26" t="s">
        <v>181</v>
      </c>
      <c r="D174" s="26" t="s">
        <v>584</v>
      </c>
      <c r="E174" s="26" t="s">
        <v>426</v>
      </c>
      <c r="F174" s="62">
        <f t="shared" si="6"/>
        <v>15</v>
      </c>
      <c r="G174" s="62">
        <f>G175</f>
        <v>15</v>
      </c>
      <c r="H174" s="108"/>
    </row>
    <row r="175" spans="1:8" ht="49.5" customHeight="1">
      <c r="A175" s="49" t="s">
        <v>585</v>
      </c>
      <c r="B175" s="13" t="s">
        <v>161</v>
      </c>
      <c r="C175" s="13" t="s">
        <v>181</v>
      </c>
      <c r="D175" s="13" t="s">
        <v>586</v>
      </c>
      <c r="E175" s="13" t="s">
        <v>170</v>
      </c>
      <c r="F175" s="61">
        <f t="shared" si="6"/>
        <v>15</v>
      </c>
      <c r="G175" s="61">
        <f>G176</f>
        <v>15</v>
      </c>
      <c r="H175" s="61"/>
    </row>
    <row r="176" spans="1:8" ht="18.75" customHeight="1">
      <c r="A176" s="49" t="s">
        <v>587</v>
      </c>
      <c r="B176" s="13" t="s">
        <v>161</v>
      </c>
      <c r="C176" s="13" t="s">
        <v>181</v>
      </c>
      <c r="D176" s="13" t="s">
        <v>588</v>
      </c>
      <c r="E176" s="13" t="s">
        <v>204</v>
      </c>
      <c r="F176" s="61">
        <f t="shared" si="6"/>
        <v>15</v>
      </c>
      <c r="G176" s="61">
        <v>15</v>
      </c>
      <c r="H176" s="61"/>
    </row>
    <row r="177" spans="1:8" s="157" customFormat="1" ht="20.25" customHeight="1" hidden="1">
      <c r="A177" s="59" t="s">
        <v>388</v>
      </c>
      <c r="B177" s="17" t="s">
        <v>163</v>
      </c>
      <c r="C177" s="17" t="s">
        <v>162</v>
      </c>
      <c r="D177" s="17" t="s">
        <v>337</v>
      </c>
      <c r="E177" s="17" t="s">
        <v>426</v>
      </c>
      <c r="F177" s="110">
        <f>G177+H177</f>
        <v>0</v>
      </c>
      <c r="G177" s="110">
        <f>G178</f>
        <v>0</v>
      </c>
      <c r="H177" s="110">
        <f>H178</f>
        <v>0</v>
      </c>
    </row>
    <row r="178" spans="1:8" ht="17.25" customHeight="1" hidden="1">
      <c r="A178" s="25" t="s">
        <v>381</v>
      </c>
      <c r="B178" s="13" t="s">
        <v>163</v>
      </c>
      <c r="C178" s="13" t="s">
        <v>162</v>
      </c>
      <c r="D178" s="13" t="s">
        <v>337</v>
      </c>
      <c r="E178" s="13" t="s">
        <v>426</v>
      </c>
      <c r="F178" s="61">
        <f t="shared" si="6"/>
        <v>0</v>
      </c>
      <c r="G178" s="61">
        <f>G180</f>
        <v>0</v>
      </c>
      <c r="H178" s="61">
        <f>H179</f>
        <v>0</v>
      </c>
    </row>
    <row r="179" spans="1:8" ht="79.5" customHeight="1" hidden="1">
      <c r="A179" s="29" t="s">
        <v>570</v>
      </c>
      <c r="B179" s="13" t="s">
        <v>163</v>
      </c>
      <c r="C179" s="13" t="s">
        <v>162</v>
      </c>
      <c r="D179" s="26" t="s">
        <v>552</v>
      </c>
      <c r="E179" s="26" t="s">
        <v>426</v>
      </c>
      <c r="F179" s="62">
        <f t="shared" si="6"/>
        <v>0</v>
      </c>
      <c r="G179" s="62">
        <f>G181</f>
        <v>0</v>
      </c>
      <c r="H179" s="62">
        <f>H180</f>
        <v>0</v>
      </c>
    </row>
    <row r="180" spans="1:8" ht="48.75" customHeight="1" hidden="1">
      <c r="A180" s="25" t="s">
        <v>389</v>
      </c>
      <c r="B180" s="13" t="s">
        <v>163</v>
      </c>
      <c r="C180" s="13" t="s">
        <v>162</v>
      </c>
      <c r="D180" s="13" t="s">
        <v>548</v>
      </c>
      <c r="E180" s="13" t="s">
        <v>426</v>
      </c>
      <c r="F180" s="61">
        <f t="shared" si="6"/>
        <v>0</v>
      </c>
      <c r="G180" s="61">
        <f>G182</f>
        <v>0</v>
      </c>
      <c r="H180" s="61">
        <f>H181</f>
        <v>0</v>
      </c>
    </row>
    <row r="181" spans="1:8" ht="21" customHeight="1" hidden="1">
      <c r="A181" s="25" t="s">
        <v>213</v>
      </c>
      <c r="B181" s="13" t="s">
        <v>163</v>
      </c>
      <c r="C181" s="13" t="s">
        <v>162</v>
      </c>
      <c r="D181" s="13" t="s">
        <v>548</v>
      </c>
      <c r="E181" s="13" t="s">
        <v>214</v>
      </c>
      <c r="F181" s="61">
        <f t="shared" si="6"/>
        <v>0</v>
      </c>
      <c r="G181" s="61">
        <f>G182</f>
        <v>0</v>
      </c>
      <c r="H181" s="61">
        <f>H182</f>
        <v>0</v>
      </c>
    </row>
    <row r="182" spans="1:8" ht="17.25" customHeight="1" hidden="1">
      <c r="A182" s="25" t="s">
        <v>182</v>
      </c>
      <c r="B182" s="13" t="s">
        <v>163</v>
      </c>
      <c r="C182" s="13" t="s">
        <v>162</v>
      </c>
      <c r="D182" s="13" t="s">
        <v>548</v>
      </c>
      <c r="E182" s="13" t="s">
        <v>390</v>
      </c>
      <c r="F182" s="61">
        <f t="shared" si="6"/>
        <v>0</v>
      </c>
      <c r="G182" s="61">
        <v>0</v>
      </c>
      <c r="H182" s="61">
        <v>0</v>
      </c>
    </row>
    <row r="183" spans="1:8" s="157" customFormat="1" ht="48" customHeight="1">
      <c r="A183" s="59" t="s">
        <v>391</v>
      </c>
      <c r="B183" s="17" t="s">
        <v>168</v>
      </c>
      <c r="C183" s="17" t="s">
        <v>162</v>
      </c>
      <c r="D183" s="17" t="s">
        <v>337</v>
      </c>
      <c r="E183" s="17" t="s">
        <v>426</v>
      </c>
      <c r="F183" s="110">
        <f>G183+H183</f>
        <v>100</v>
      </c>
      <c r="G183" s="110">
        <f>G184</f>
        <v>100</v>
      </c>
      <c r="H183" s="110">
        <f>H184</f>
        <v>0</v>
      </c>
    </row>
    <row r="184" spans="1:8" ht="50.25" customHeight="1">
      <c r="A184" s="25" t="s">
        <v>392</v>
      </c>
      <c r="B184" s="13" t="s">
        <v>168</v>
      </c>
      <c r="C184" s="13" t="s">
        <v>393</v>
      </c>
      <c r="D184" s="13" t="s">
        <v>29</v>
      </c>
      <c r="E184" s="13" t="s">
        <v>426</v>
      </c>
      <c r="F184" s="61">
        <f t="shared" si="6"/>
        <v>100</v>
      </c>
      <c r="G184" s="61">
        <f>G185</f>
        <v>100</v>
      </c>
      <c r="H184" s="61">
        <f>H185</f>
        <v>0</v>
      </c>
    </row>
    <row r="185" spans="1:8" ht="50.25" customHeight="1">
      <c r="A185" s="25" t="s">
        <v>394</v>
      </c>
      <c r="B185" s="13" t="s">
        <v>168</v>
      </c>
      <c r="C185" s="13" t="s">
        <v>393</v>
      </c>
      <c r="D185" s="13" t="s">
        <v>29</v>
      </c>
      <c r="E185" s="13" t="s">
        <v>426</v>
      </c>
      <c r="F185" s="61">
        <f t="shared" si="6"/>
        <v>100</v>
      </c>
      <c r="G185" s="61">
        <f>G187</f>
        <v>100</v>
      </c>
      <c r="H185" s="61">
        <f>H187</f>
        <v>0</v>
      </c>
    </row>
    <row r="186" spans="1:8" ht="33.75" customHeight="1">
      <c r="A186" s="25" t="s">
        <v>202</v>
      </c>
      <c r="B186" s="13" t="s">
        <v>168</v>
      </c>
      <c r="C186" s="13" t="s">
        <v>393</v>
      </c>
      <c r="D186" s="13" t="s">
        <v>29</v>
      </c>
      <c r="E186" s="13" t="s">
        <v>170</v>
      </c>
      <c r="F186" s="61">
        <f t="shared" si="6"/>
        <v>100</v>
      </c>
      <c r="G186" s="61">
        <f>G187</f>
        <v>100</v>
      </c>
      <c r="H186" s="61"/>
    </row>
    <row r="187" spans="1:8" ht="50.25" customHeight="1">
      <c r="A187" s="49" t="s">
        <v>203</v>
      </c>
      <c r="B187" s="13" t="s">
        <v>168</v>
      </c>
      <c r="C187" s="13" t="s">
        <v>393</v>
      </c>
      <c r="D187" s="13" t="s">
        <v>29</v>
      </c>
      <c r="E187" s="13" t="s">
        <v>204</v>
      </c>
      <c r="F187" s="61">
        <f t="shared" si="6"/>
        <v>100</v>
      </c>
      <c r="G187" s="61">
        <v>100</v>
      </c>
      <c r="H187" s="61"/>
    </row>
    <row r="188" spans="1:8" ht="62.25" customHeight="1" hidden="1">
      <c r="A188" s="44" t="s">
        <v>791</v>
      </c>
      <c r="B188" s="26" t="s">
        <v>161</v>
      </c>
      <c r="C188" s="26" t="s">
        <v>181</v>
      </c>
      <c r="D188" s="26" t="s">
        <v>771</v>
      </c>
      <c r="E188" s="26" t="s">
        <v>426</v>
      </c>
      <c r="F188" s="62">
        <f>G188+H188</f>
        <v>0</v>
      </c>
      <c r="G188" s="62"/>
      <c r="H188" s="62">
        <f>H189</f>
        <v>0</v>
      </c>
    </row>
    <row r="189" spans="1:8" ht="97.5" customHeight="1" hidden="1">
      <c r="A189" s="25" t="s">
        <v>199</v>
      </c>
      <c r="B189" s="13" t="s">
        <v>161</v>
      </c>
      <c r="C189" s="13" t="s">
        <v>181</v>
      </c>
      <c r="D189" s="13" t="s">
        <v>771</v>
      </c>
      <c r="E189" s="13" t="s">
        <v>166</v>
      </c>
      <c r="F189" s="61">
        <f>G189+H189</f>
        <v>0</v>
      </c>
      <c r="G189" s="61"/>
      <c r="H189" s="61">
        <f>H190</f>
        <v>0</v>
      </c>
    </row>
    <row r="190" spans="1:8" ht="37.5" customHeight="1" hidden="1">
      <c r="A190" s="49" t="s">
        <v>201</v>
      </c>
      <c r="B190" s="13" t="s">
        <v>161</v>
      </c>
      <c r="C190" s="13" t="s">
        <v>181</v>
      </c>
      <c r="D190" s="13" t="s">
        <v>771</v>
      </c>
      <c r="E190" s="13" t="s">
        <v>200</v>
      </c>
      <c r="F190" s="61">
        <f>G190+H190</f>
        <v>0</v>
      </c>
      <c r="G190" s="61"/>
      <c r="H190" s="61">
        <v>0</v>
      </c>
    </row>
    <row r="191" spans="1:8" ht="79.5" customHeight="1" hidden="1">
      <c r="A191" s="44" t="s">
        <v>788</v>
      </c>
      <c r="B191" s="13" t="s">
        <v>161</v>
      </c>
      <c r="C191" s="13" t="s">
        <v>181</v>
      </c>
      <c r="D191" s="13" t="s">
        <v>772</v>
      </c>
      <c r="E191" s="13" t="s">
        <v>426</v>
      </c>
      <c r="F191" s="61">
        <f>G191</f>
        <v>0</v>
      </c>
      <c r="G191" s="61">
        <f>G192+G194</f>
        <v>0</v>
      </c>
      <c r="H191" s="61"/>
    </row>
    <row r="192" spans="1:8" ht="94.5" customHeight="1" hidden="1">
      <c r="A192" s="25" t="s">
        <v>199</v>
      </c>
      <c r="B192" s="13" t="s">
        <v>161</v>
      </c>
      <c r="C192" s="13" t="s">
        <v>181</v>
      </c>
      <c r="D192" s="13" t="s">
        <v>772</v>
      </c>
      <c r="E192" s="13" t="s">
        <v>166</v>
      </c>
      <c r="F192" s="61">
        <f>G192</f>
        <v>0</v>
      </c>
      <c r="G192" s="61">
        <f>G193</f>
        <v>0</v>
      </c>
      <c r="H192" s="61"/>
    </row>
    <row r="193" spans="1:8" ht="33" customHeight="1" hidden="1">
      <c r="A193" s="49" t="s">
        <v>201</v>
      </c>
      <c r="B193" s="13" t="s">
        <v>161</v>
      </c>
      <c r="C193" s="13" t="s">
        <v>181</v>
      </c>
      <c r="D193" s="13" t="s">
        <v>772</v>
      </c>
      <c r="E193" s="13" t="s">
        <v>200</v>
      </c>
      <c r="F193" s="61">
        <f>G193</f>
        <v>0</v>
      </c>
      <c r="G193" s="61">
        <v>0</v>
      </c>
      <c r="H193" s="61"/>
    </row>
    <row r="194" spans="1:8" ht="37.5" customHeight="1" hidden="1">
      <c r="A194" s="25" t="s">
        <v>202</v>
      </c>
      <c r="B194" s="13" t="s">
        <v>161</v>
      </c>
      <c r="C194" s="13" t="s">
        <v>181</v>
      </c>
      <c r="D194" s="13" t="s">
        <v>772</v>
      </c>
      <c r="E194" s="13" t="s">
        <v>170</v>
      </c>
      <c r="F194" s="61">
        <f>G194</f>
        <v>0</v>
      </c>
      <c r="G194" s="61">
        <f>G195</f>
        <v>0</v>
      </c>
      <c r="H194" s="61"/>
    </row>
    <row r="195" spans="1:8" ht="48" customHeight="1" hidden="1">
      <c r="A195" s="49" t="s">
        <v>203</v>
      </c>
      <c r="B195" s="13" t="s">
        <v>161</v>
      </c>
      <c r="C195" s="13" t="s">
        <v>181</v>
      </c>
      <c r="D195" s="13" t="s">
        <v>772</v>
      </c>
      <c r="E195" s="13" t="s">
        <v>204</v>
      </c>
      <c r="F195" s="61">
        <f>G195</f>
        <v>0</v>
      </c>
      <c r="G195" s="61">
        <v>0</v>
      </c>
      <c r="H195" s="61"/>
    </row>
    <row r="196" spans="1:8" ht="96" customHeight="1" hidden="1">
      <c r="A196" s="44" t="s">
        <v>789</v>
      </c>
      <c r="B196" s="13" t="s">
        <v>161</v>
      </c>
      <c r="C196" s="13" t="s">
        <v>181</v>
      </c>
      <c r="D196" s="26" t="s">
        <v>790</v>
      </c>
      <c r="E196" s="26" t="s">
        <v>426</v>
      </c>
      <c r="F196" s="62">
        <f aca="true" t="shared" si="7" ref="F196:F203">G196+H196</f>
        <v>0</v>
      </c>
      <c r="G196" s="62"/>
      <c r="H196" s="62">
        <f>H197</f>
        <v>0</v>
      </c>
    </row>
    <row r="197" spans="1:8" ht="31.5" customHeight="1" hidden="1">
      <c r="A197" s="25" t="s">
        <v>202</v>
      </c>
      <c r="B197" s="13" t="s">
        <v>161</v>
      </c>
      <c r="C197" s="13" t="s">
        <v>181</v>
      </c>
      <c r="D197" s="13" t="s">
        <v>790</v>
      </c>
      <c r="E197" s="13" t="s">
        <v>170</v>
      </c>
      <c r="F197" s="61">
        <f t="shared" si="7"/>
        <v>0</v>
      </c>
      <c r="G197" s="61"/>
      <c r="H197" s="61">
        <f>H198</f>
        <v>0</v>
      </c>
    </row>
    <row r="198" spans="1:8" ht="48" customHeight="1" hidden="1">
      <c r="A198" s="49" t="s">
        <v>203</v>
      </c>
      <c r="B198" s="13" t="s">
        <v>161</v>
      </c>
      <c r="C198" s="13" t="s">
        <v>181</v>
      </c>
      <c r="D198" s="13" t="s">
        <v>790</v>
      </c>
      <c r="E198" s="13" t="s">
        <v>204</v>
      </c>
      <c r="F198" s="61">
        <f t="shared" si="7"/>
        <v>0</v>
      </c>
      <c r="G198" s="61"/>
      <c r="H198" s="61">
        <v>0</v>
      </c>
    </row>
    <row r="199" spans="1:8" s="157" customFormat="1" ht="48" customHeight="1" hidden="1">
      <c r="A199" s="59" t="s">
        <v>391</v>
      </c>
      <c r="B199" s="17" t="s">
        <v>168</v>
      </c>
      <c r="C199" s="17" t="s">
        <v>162</v>
      </c>
      <c r="D199" s="17" t="s">
        <v>337</v>
      </c>
      <c r="E199" s="17" t="s">
        <v>426</v>
      </c>
      <c r="F199" s="110">
        <f t="shared" si="7"/>
        <v>0</v>
      </c>
      <c r="G199" s="110">
        <f>G200</f>
        <v>0</v>
      </c>
      <c r="H199" s="110">
        <f>H200</f>
        <v>0</v>
      </c>
    </row>
    <row r="200" spans="1:8" ht="50.25" customHeight="1" hidden="1">
      <c r="A200" s="25" t="s">
        <v>392</v>
      </c>
      <c r="B200" s="13" t="s">
        <v>168</v>
      </c>
      <c r="C200" s="13" t="s">
        <v>393</v>
      </c>
      <c r="D200" s="13" t="s">
        <v>337</v>
      </c>
      <c r="E200" s="13" t="s">
        <v>426</v>
      </c>
      <c r="F200" s="61">
        <f t="shared" si="7"/>
        <v>0</v>
      </c>
      <c r="G200" s="61">
        <f>G201</f>
        <v>0</v>
      </c>
      <c r="H200" s="61">
        <f>H201</f>
        <v>0</v>
      </c>
    </row>
    <row r="201" spans="1:8" ht="83.25" customHeight="1" hidden="1">
      <c r="A201" s="25" t="s">
        <v>805</v>
      </c>
      <c r="B201" s="13" t="s">
        <v>168</v>
      </c>
      <c r="C201" s="13" t="s">
        <v>393</v>
      </c>
      <c r="D201" s="13" t="s">
        <v>806</v>
      </c>
      <c r="E201" s="13" t="s">
        <v>426</v>
      </c>
      <c r="F201" s="61">
        <f t="shared" si="7"/>
        <v>0</v>
      </c>
      <c r="G201" s="61">
        <f>G203</f>
        <v>0</v>
      </c>
      <c r="H201" s="61">
        <f>H203</f>
        <v>0</v>
      </c>
    </row>
    <row r="202" spans="1:8" ht="33.75" customHeight="1" hidden="1">
      <c r="A202" s="25" t="s">
        <v>202</v>
      </c>
      <c r="B202" s="13" t="s">
        <v>168</v>
      </c>
      <c r="C202" s="13" t="s">
        <v>393</v>
      </c>
      <c r="D202" s="13" t="s">
        <v>806</v>
      </c>
      <c r="E202" s="13" t="s">
        <v>170</v>
      </c>
      <c r="F202" s="61">
        <f t="shared" si="7"/>
        <v>0</v>
      </c>
      <c r="G202" s="61">
        <f>G203</f>
        <v>0</v>
      </c>
      <c r="H202" s="61"/>
    </row>
    <row r="203" spans="1:8" ht="50.25" customHeight="1" hidden="1">
      <c r="A203" s="49" t="s">
        <v>203</v>
      </c>
      <c r="B203" s="13" t="s">
        <v>168</v>
      </c>
      <c r="C203" s="13" t="s">
        <v>393</v>
      </c>
      <c r="D203" s="13" t="s">
        <v>806</v>
      </c>
      <c r="E203" s="13" t="s">
        <v>204</v>
      </c>
      <c r="F203" s="61">
        <f t="shared" si="7"/>
        <v>0</v>
      </c>
      <c r="G203" s="61">
        <v>0</v>
      </c>
      <c r="H203" s="61"/>
    </row>
    <row r="204" spans="1:10" s="157" customFormat="1" ht="16.5" customHeight="1">
      <c r="A204" s="59" t="s">
        <v>395</v>
      </c>
      <c r="B204" s="17" t="s">
        <v>172</v>
      </c>
      <c r="C204" s="17" t="s">
        <v>162</v>
      </c>
      <c r="D204" s="17" t="s">
        <v>337</v>
      </c>
      <c r="E204" s="17" t="s">
        <v>426</v>
      </c>
      <c r="F204" s="110">
        <f t="shared" si="6"/>
        <v>29636.240299999998</v>
      </c>
      <c r="G204" s="110">
        <f>G209+G222+G205+G243</f>
        <v>26366.94229</v>
      </c>
      <c r="H204" s="110">
        <f>H209+H222+H205+H248</f>
        <v>3269.29801</v>
      </c>
      <c r="J204" s="178"/>
    </row>
    <row r="205" spans="1:8" s="141" customFormat="1" ht="16.5" customHeight="1">
      <c r="A205" s="29" t="s">
        <v>258</v>
      </c>
      <c r="B205" s="26" t="s">
        <v>172</v>
      </c>
      <c r="C205" s="26" t="s">
        <v>405</v>
      </c>
      <c r="D205" s="26" t="s">
        <v>337</v>
      </c>
      <c r="E205" s="26" t="s">
        <v>426</v>
      </c>
      <c r="F205" s="62">
        <f t="shared" si="6"/>
        <v>265.91093</v>
      </c>
      <c r="G205" s="62">
        <f>G206</f>
        <v>0</v>
      </c>
      <c r="H205" s="62">
        <f>H206</f>
        <v>265.91093</v>
      </c>
    </row>
    <row r="206" spans="1:8" ht="107.25" customHeight="1">
      <c r="A206" s="29" t="s">
        <v>735</v>
      </c>
      <c r="B206" s="26" t="s">
        <v>172</v>
      </c>
      <c r="C206" s="26" t="s">
        <v>405</v>
      </c>
      <c r="D206" s="26" t="s">
        <v>49</v>
      </c>
      <c r="E206" s="26" t="s">
        <v>426</v>
      </c>
      <c r="F206" s="62">
        <f t="shared" si="6"/>
        <v>265.91093</v>
      </c>
      <c r="G206" s="62"/>
      <c r="H206" s="62">
        <f>H207</f>
        <v>265.91093</v>
      </c>
    </row>
    <row r="207" spans="1:8" ht="35.25" customHeight="1">
      <c r="A207" s="25" t="s">
        <v>202</v>
      </c>
      <c r="B207" s="13" t="s">
        <v>172</v>
      </c>
      <c r="C207" s="13" t="s">
        <v>405</v>
      </c>
      <c r="D207" s="13" t="s">
        <v>49</v>
      </c>
      <c r="E207" s="13" t="s">
        <v>170</v>
      </c>
      <c r="F207" s="61">
        <f t="shared" si="6"/>
        <v>265.91093</v>
      </c>
      <c r="G207" s="61"/>
      <c r="H207" s="61">
        <f>H208</f>
        <v>265.91093</v>
      </c>
    </row>
    <row r="208" spans="1:8" ht="48" customHeight="1">
      <c r="A208" s="49" t="s">
        <v>203</v>
      </c>
      <c r="B208" s="13" t="s">
        <v>172</v>
      </c>
      <c r="C208" s="13" t="s">
        <v>405</v>
      </c>
      <c r="D208" s="13" t="s">
        <v>49</v>
      </c>
      <c r="E208" s="13" t="s">
        <v>204</v>
      </c>
      <c r="F208" s="61">
        <f t="shared" si="6"/>
        <v>265.91093</v>
      </c>
      <c r="G208" s="61"/>
      <c r="H208" s="61">
        <v>265.91093</v>
      </c>
    </row>
    <row r="209" spans="1:8" s="141" customFormat="1" ht="17.25" customHeight="1">
      <c r="A209" s="29" t="s">
        <v>433</v>
      </c>
      <c r="B209" s="26" t="s">
        <v>172</v>
      </c>
      <c r="C209" s="26" t="s">
        <v>396</v>
      </c>
      <c r="D209" s="26" t="s">
        <v>337</v>
      </c>
      <c r="E209" s="26" t="s">
        <v>426</v>
      </c>
      <c r="F209" s="62">
        <f t="shared" si="6"/>
        <v>2303.38708</v>
      </c>
      <c r="G209" s="62">
        <f>G210</f>
        <v>2300</v>
      </c>
      <c r="H209" s="62">
        <f>H211+H219</f>
        <v>3.38708</v>
      </c>
    </row>
    <row r="210" spans="1:8" s="141" customFormat="1" ht="96" customHeight="1">
      <c r="A210" s="29" t="s">
        <v>508</v>
      </c>
      <c r="B210" s="26" t="s">
        <v>172</v>
      </c>
      <c r="C210" s="26" t="s">
        <v>396</v>
      </c>
      <c r="D210" s="26" t="s">
        <v>488</v>
      </c>
      <c r="E210" s="26" t="s">
        <v>426</v>
      </c>
      <c r="F210" s="62">
        <f t="shared" si="6"/>
        <v>2300</v>
      </c>
      <c r="G210" s="62">
        <f>G211+G215</f>
        <v>2300</v>
      </c>
      <c r="H210" s="62"/>
    </row>
    <row r="211" spans="1:8" ht="18.75" customHeight="1">
      <c r="A211" s="25" t="s">
        <v>434</v>
      </c>
      <c r="B211" s="13" t="s">
        <v>172</v>
      </c>
      <c r="C211" s="13" t="s">
        <v>396</v>
      </c>
      <c r="D211" s="13" t="s">
        <v>509</v>
      </c>
      <c r="E211" s="13" t="s">
        <v>426</v>
      </c>
      <c r="F211" s="61">
        <f t="shared" si="6"/>
        <v>2300</v>
      </c>
      <c r="G211" s="61">
        <f>G212+G217</f>
        <v>2300</v>
      </c>
      <c r="H211" s="61">
        <f>H212</f>
        <v>0</v>
      </c>
    </row>
    <row r="212" spans="1:8" ht="68.25" customHeight="1">
      <c r="A212" s="25" t="s">
        <v>50</v>
      </c>
      <c r="B212" s="13" t="s">
        <v>172</v>
      </c>
      <c r="C212" s="13" t="s">
        <v>396</v>
      </c>
      <c r="D212" s="13" t="s">
        <v>509</v>
      </c>
      <c r="E212" s="13" t="s">
        <v>426</v>
      </c>
      <c r="F212" s="61">
        <f t="shared" si="6"/>
        <v>2296.175</v>
      </c>
      <c r="G212" s="61">
        <f>G213</f>
        <v>2296.175</v>
      </c>
      <c r="H212" s="61">
        <f>H214</f>
        <v>0</v>
      </c>
    </row>
    <row r="213" spans="1:8" ht="18.75" customHeight="1">
      <c r="A213" s="25" t="s">
        <v>207</v>
      </c>
      <c r="B213" s="13" t="s">
        <v>172</v>
      </c>
      <c r="C213" s="13" t="s">
        <v>396</v>
      </c>
      <c r="D213" s="13" t="s">
        <v>509</v>
      </c>
      <c r="E213" s="13" t="s">
        <v>208</v>
      </c>
      <c r="F213" s="61">
        <f t="shared" si="6"/>
        <v>2296.175</v>
      </c>
      <c r="G213" s="61">
        <f>G214</f>
        <v>2296.175</v>
      </c>
      <c r="H213" s="61"/>
    </row>
    <row r="214" spans="1:8" ht="49.5" customHeight="1">
      <c r="A214" s="25" t="s">
        <v>730</v>
      </c>
      <c r="B214" s="13" t="s">
        <v>172</v>
      </c>
      <c r="C214" s="13" t="s">
        <v>396</v>
      </c>
      <c r="D214" s="13" t="s">
        <v>509</v>
      </c>
      <c r="E214" s="13" t="s">
        <v>475</v>
      </c>
      <c r="F214" s="61">
        <f t="shared" si="6"/>
        <v>2296.175</v>
      </c>
      <c r="G214" s="61">
        <f>2300-3.825</f>
        <v>2296.175</v>
      </c>
      <c r="H214" s="61"/>
    </row>
    <row r="215" spans="1:8" ht="19.5" customHeight="1" hidden="1">
      <c r="A215" s="49" t="s">
        <v>213</v>
      </c>
      <c r="B215" s="13" t="s">
        <v>172</v>
      </c>
      <c r="C215" s="13" t="s">
        <v>396</v>
      </c>
      <c r="D215" s="13" t="s">
        <v>509</v>
      </c>
      <c r="E215" s="13" t="s">
        <v>214</v>
      </c>
      <c r="F215" s="61">
        <f t="shared" si="6"/>
        <v>0</v>
      </c>
      <c r="G215" s="61">
        <f>G216</f>
        <v>0</v>
      </c>
      <c r="H215" s="61"/>
    </row>
    <row r="216" spans="1:8" ht="18" customHeight="1" hidden="1">
      <c r="A216" s="49" t="s">
        <v>319</v>
      </c>
      <c r="B216" s="13" t="s">
        <v>172</v>
      </c>
      <c r="C216" s="13" t="s">
        <v>396</v>
      </c>
      <c r="D216" s="13" t="s">
        <v>509</v>
      </c>
      <c r="E216" s="13" t="s">
        <v>472</v>
      </c>
      <c r="F216" s="61">
        <f t="shared" si="6"/>
        <v>0</v>
      </c>
      <c r="G216" s="61">
        <v>0</v>
      </c>
      <c r="H216" s="61"/>
    </row>
    <row r="217" spans="1:8" ht="30.75" customHeight="1">
      <c r="A217" s="25" t="s">
        <v>202</v>
      </c>
      <c r="B217" s="13" t="s">
        <v>172</v>
      </c>
      <c r="C217" s="13" t="s">
        <v>396</v>
      </c>
      <c r="D217" s="13" t="s">
        <v>509</v>
      </c>
      <c r="E217" s="13" t="s">
        <v>170</v>
      </c>
      <c r="F217" s="61">
        <f>G217</f>
        <v>3.825</v>
      </c>
      <c r="G217" s="61">
        <f>G218</f>
        <v>3.825</v>
      </c>
      <c r="H217" s="61"/>
    </row>
    <row r="218" spans="1:8" ht="50.25" customHeight="1">
      <c r="A218" s="49" t="s">
        <v>203</v>
      </c>
      <c r="B218" s="13" t="s">
        <v>172</v>
      </c>
      <c r="C218" s="13" t="s">
        <v>396</v>
      </c>
      <c r="D218" s="13" t="s">
        <v>509</v>
      </c>
      <c r="E218" s="13" t="s">
        <v>204</v>
      </c>
      <c r="F218" s="61">
        <f>G218</f>
        <v>3.825</v>
      </c>
      <c r="G218" s="61">
        <v>3.825</v>
      </c>
      <c r="H218" s="61"/>
    </row>
    <row r="219" spans="1:8" ht="144" customHeight="1">
      <c r="A219" s="44" t="s">
        <v>589</v>
      </c>
      <c r="B219" s="26" t="s">
        <v>172</v>
      </c>
      <c r="C219" s="26" t="s">
        <v>396</v>
      </c>
      <c r="D219" s="26" t="s">
        <v>337</v>
      </c>
      <c r="E219" s="26" t="s">
        <v>426</v>
      </c>
      <c r="F219" s="62">
        <f>G219+H219</f>
        <v>3.38708</v>
      </c>
      <c r="G219" s="62"/>
      <c r="H219" s="62">
        <f>H220</f>
        <v>3.38708</v>
      </c>
    </row>
    <row r="220" spans="1:8" ht="36.75" customHeight="1">
      <c r="A220" s="25" t="s">
        <v>202</v>
      </c>
      <c r="B220" s="13" t="s">
        <v>172</v>
      </c>
      <c r="C220" s="13" t="s">
        <v>396</v>
      </c>
      <c r="D220" s="13" t="s">
        <v>590</v>
      </c>
      <c r="E220" s="13" t="s">
        <v>170</v>
      </c>
      <c r="F220" s="61">
        <f>G220+H220</f>
        <v>3.38708</v>
      </c>
      <c r="G220" s="61"/>
      <c r="H220" s="61">
        <f>H221</f>
        <v>3.38708</v>
      </c>
    </row>
    <row r="221" spans="1:8" ht="33.75" customHeight="1">
      <c r="A221" s="49" t="s">
        <v>203</v>
      </c>
      <c r="B221" s="13" t="s">
        <v>172</v>
      </c>
      <c r="C221" s="13" t="s">
        <v>396</v>
      </c>
      <c r="D221" s="13" t="s">
        <v>590</v>
      </c>
      <c r="E221" s="13" t="s">
        <v>204</v>
      </c>
      <c r="F221" s="61">
        <f>G221+H221</f>
        <v>3.38708</v>
      </c>
      <c r="G221" s="61"/>
      <c r="H221" s="61">
        <v>3.38708</v>
      </c>
    </row>
    <row r="222" spans="1:8" s="141" customFormat="1" ht="17.25" customHeight="1">
      <c r="A222" s="29" t="s">
        <v>397</v>
      </c>
      <c r="B222" s="26" t="s">
        <v>172</v>
      </c>
      <c r="C222" s="26" t="s">
        <v>393</v>
      </c>
      <c r="D222" s="26" t="s">
        <v>337</v>
      </c>
      <c r="E222" s="26" t="s">
        <v>426</v>
      </c>
      <c r="F222" s="62">
        <f t="shared" si="6"/>
        <v>27066.94229</v>
      </c>
      <c r="G222" s="62">
        <f>G223+G236</f>
        <v>24066.94229</v>
      </c>
      <c r="H222" s="62">
        <f>H223</f>
        <v>3000</v>
      </c>
    </row>
    <row r="223" spans="1:9" s="141" customFormat="1" ht="94.5" customHeight="1">
      <c r="A223" s="29" t="s">
        <v>508</v>
      </c>
      <c r="B223" s="26" t="s">
        <v>172</v>
      </c>
      <c r="C223" s="26" t="s">
        <v>393</v>
      </c>
      <c r="D223" s="26" t="s">
        <v>488</v>
      </c>
      <c r="E223" s="26" t="s">
        <v>426</v>
      </c>
      <c r="F223" s="62">
        <f t="shared" si="6"/>
        <v>26946.48429</v>
      </c>
      <c r="G223" s="62">
        <f>G224+G227+G231</f>
        <v>23946.48429</v>
      </c>
      <c r="H223" s="62">
        <f>H224+H231</f>
        <v>3000</v>
      </c>
      <c r="I223" s="147"/>
    </row>
    <row r="224" spans="1:9" ht="33.75" customHeight="1">
      <c r="A224" s="25" t="s">
        <v>398</v>
      </c>
      <c r="B224" s="13" t="s">
        <v>172</v>
      </c>
      <c r="C224" s="13" t="s">
        <v>393</v>
      </c>
      <c r="D224" s="13" t="s">
        <v>511</v>
      </c>
      <c r="E224" s="13" t="s">
        <v>426</v>
      </c>
      <c r="F224" s="61">
        <f aca="true" t="shared" si="8" ref="F224:F242">G224</f>
        <v>14490.181260000001</v>
      </c>
      <c r="G224" s="61">
        <f>G225</f>
        <v>14490.181260000001</v>
      </c>
      <c r="H224" s="61">
        <f>H226</f>
        <v>0</v>
      </c>
      <c r="I224" s="142"/>
    </row>
    <row r="225" spans="1:8" ht="35.25" customHeight="1">
      <c r="A225" s="25" t="s">
        <v>202</v>
      </c>
      <c r="B225" s="13" t="s">
        <v>172</v>
      </c>
      <c r="C225" s="13" t="s">
        <v>393</v>
      </c>
      <c r="D225" s="13" t="s">
        <v>511</v>
      </c>
      <c r="E225" s="13" t="s">
        <v>170</v>
      </c>
      <c r="F225" s="61">
        <f t="shared" si="8"/>
        <v>14490.181260000001</v>
      </c>
      <c r="G225" s="61">
        <f>G226</f>
        <v>14490.181260000001</v>
      </c>
      <c r="H225" s="61"/>
    </row>
    <row r="226" spans="1:8" ht="47.25" customHeight="1">
      <c r="A226" s="49" t="s">
        <v>203</v>
      </c>
      <c r="B226" s="13" t="s">
        <v>172</v>
      </c>
      <c r="C226" s="13" t="s">
        <v>393</v>
      </c>
      <c r="D226" s="13" t="s">
        <v>511</v>
      </c>
      <c r="E226" s="13" t="s">
        <v>204</v>
      </c>
      <c r="F226" s="61">
        <f t="shared" si="8"/>
        <v>14490.181260000001</v>
      </c>
      <c r="G226" s="61">
        <f>5217-30.30303+9986.48429+161.18502-282-562.18502</f>
        <v>14490.181260000001</v>
      </c>
      <c r="H226" s="61"/>
    </row>
    <row r="227" spans="1:8" ht="22.5" customHeight="1">
      <c r="A227" s="49" t="s">
        <v>213</v>
      </c>
      <c r="B227" s="13" t="s">
        <v>172</v>
      </c>
      <c r="C227" s="13" t="s">
        <v>393</v>
      </c>
      <c r="D227" s="13" t="s">
        <v>510</v>
      </c>
      <c r="E227" s="13" t="s">
        <v>214</v>
      </c>
      <c r="F227" s="61">
        <f t="shared" si="8"/>
        <v>9426</v>
      </c>
      <c r="G227" s="61">
        <f>G228+G229+G230</f>
        <v>9426</v>
      </c>
      <c r="H227" s="61"/>
    </row>
    <row r="228" spans="1:8" ht="15.75" customHeight="1">
      <c r="A228" s="49" t="s">
        <v>319</v>
      </c>
      <c r="B228" s="13" t="s">
        <v>172</v>
      </c>
      <c r="C228" s="13" t="s">
        <v>393</v>
      </c>
      <c r="D228" s="13" t="s">
        <v>510</v>
      </c>
      <c r="E228" s="13" t="s">
        <v>472</v>
      </c>
      <c r="F228" s="61">
        <f t="shared" si="8"/>
        <v>9426</v>
      </c>
      <c r="G228" s="61">
        <f>9542-161.18502-517+562.18502</f>
        <v>9426</v>
      </c>
      <c r="H228" s="143"/>
    </row>
    <row r="229" spans="1:8" ht="94.5" hidden="1">
      <c r="A229" s="49" t="s">
        <v>531</v>
      </c>
      <c r="B229" s="13" t="s">
        <v>172</v>
      </c>
      <c r="C229" s="13" t="s">
        <v>393</v>
      </c>
      <c r="D229" s="13" t="s">
        <v>532</v>
      </c>
      <c r="E229" s="13" t="s">
        <v>472</v>
      </c>
      <c r="F229" s="61">
        <f>G229</f>
        <v>0</v>
      </c>
      <c r="G229" s="61"/>
      <c r="H229" s="143"/>
    </row>
    <row r="230" spans="1:8" ht="110.25" hidden="1">
      <c r="A230" s="49" t="s">
        <v>535</v>
      </c>
      <c r="B230" s="13" t="s">
        <v>172</v>
      </c>
      <c r="C230" s="13" t="s">
        <v>393</v>
      </c>
      <c r="D230" s="13" t="s">
        <v>536</v>
      </c>
      <c r="E230" s="13" t="s">
        <v>472</v>
      </c>
      <c r="F230" s="61">
        <f>G230</f>
        <v>0</v>
      </c>
      <c r="G230" s="61"/>
      <c r="H230" s="143"/>
    </row>
    <row r="231" spans="1:8" ht="35.25" customHeight="1">
      <c r="A231" s="44" t="s">
        <v>743</v>
      </c>
      <c r="B231" s="26" t="s">
        <v>172</v>
      </c>
      <c r="C231" s="26" t="s">
        <v>393</v>
      </c>
      <c r="D231" s="26" t="s">
        <v>488</v>
      </c>
      <c r="E231" s="26" t="s">
        <v>426</v>
      </c>
      <c r="F231" s="62">
        <f>G231+H231</f>
        <v>3030.30303</v>
      </c>
      <c r="G231" s="62">
        <f>G233+G235</f>
        <v>30.30303</v>
      </c>
      <c r="H231" s="62">
        <f>H233+H235</f>
        <v>3000</v>
      </c>
    </row>
    <row r="232" spans="1:8" ht="35.25" customHeight="1">
      <c r="A232" s="25" t="s">
        <v>202</v>
      </c>
      <c r="B232" s="13" t="s">
        <v>172</v>
      </c>
      <c r="C232" s="13" t="s">
        <v>393</v>
      </c>
      <c r="D232" s="13" t="s">
        <v>737</v>
      </c>
      <c r="E232" s="13" t="s">
        <v>170</v>
      </c>
      <c r="F232" s="61">
        <f>G232+H232</f>
        <v>3000</v>
      </c>
      <c r="G232" s="61"/>
      <c r="H232" s="61">
        <f>H233</f>
        <v>3000</v>
      </c>
    </row>
    <row r="233" spans="1:8" ht="47.25">
      <c r="A233" s="49" t="s">
        <v>203</v>
      </c>
      <c r="B233" s="13" t="s">
        <v>172</v>
      </c>
      <c r="C233" s="13" t="s">
        <v>393</v>
      </c>
      <c r="D233" s="13" t="s">
        <v>737</v>
      </c>
      <c r="E233" s="13" t="s">
        <v>204</v>
      </c>
      <c r="F233" s="61">
        <f>G233+H233</f>
        <v>3000</v>
      </c>
      <c r="G233" s="61"/>
      <c r="H233" s="61">
        <v>3000</v>
      </c>
    </row>
    <row r="234" spans="1:8" ht="31.5">
      <c r="A234" s="25" t="s">
        <v>202</v>
      </c>
      <c r="B234" s="13" t="s">
        <v>172</v>
      </c>
      <c r="C234" s="13" t="s">
        <v>393</v>
      </c>
      <c r="D234" s="13" t="s">
        <v>762</v>
      </c>
      <c r="E234" s="13" t="s">
        <v>170</v>
      </c>
      <c r="F234" s="61">
        <f>G234</f>
        <v>30.30303</v>
      </c>
      <c r="G234" s="61">
        <f>G235</f>
        <v>30.30303</v>
      </c>
      <c r="H234" s="61"/>
    </row>
    <row r="235" spans="1:8" ht="47.25">
      <c r="A235" s="49" t="s">
        <v>203</v>
      </c>
      <c r="B235" s="13" t="s">
        <v>172</v>
      </c>
      <c r="C235" s="13" t="s">
        <v>393</v>
      </c>
      <c r="D235" s="13" t="s">
        <v>762</v>
      </c>
      <c r="E235" s="13" t="s">
        <v>204</v>
      </c>
      <c r="F235" s="61">
        <f>G235</f>
        <v>30.30303</v>
      </c>
      <c r="G235" s="61">
        <v>30.30303</v>
      </c>
      <c r="H235" s="143"/>
    </row>
    <row r="236" spans="1:8" ht="31.5">
      <c r="A236" s="44" t="s">
        <v>164</v>
      </c>
      <c r="B236" s="26" t="s">
        <v>172</v>
      </c>
      <c r="C236" s="26" t="s">
        <v>393</v>
      </c>
      <c r="D236" s="26" t="s">
        <v>19</v>
      </c>
      <c r="E236" s="26" t="s">
        <v>426</v>
      </c>
      <c r="F236" s="62">
        <f t="shared" si="8"/>
        <v>120.458</v>
      </c>
      <c r="G236" s="62">
        <f>G237</f>
        <v>120.458</v>
      </c>
      <c r="H236" s="144"/>
    </row>
    <row r="237" spans="1:8" ht="34.5" customHeight="1">
      <c r="A237" s="49" t="s">
        <v>165</v>
      </c>
      <c r="B237" s="13" t="s">
        <v>172</v>
      </c>
      <c r="C237" s="13" t="s">
        <v>393</v>
      </c>
      <c r="D237" s="13" t="s">
        <v>20</v>
      </c>
      <c r="E237" s="13" t="s">
        <v>426</v>
      </c>
      <c r="F237" s="61">
        <f t="shared" si="8"/>
        <v>120.458</v>
      </c>
      <c r="G237" s="61">
        <f>G238</f>
        <v>120.458</v>
      </c>
      <c r="H237" s="143"/>
    </row>
    <row r="238" spans="1:8" ht="20.25" customHeight="1">
      <c r="A238" s="25" t="s">
        <v>591</v>
      </c>
      <c r="B238" s="13" t="s">
        <v>172</v>
      </c>
      <c r="C238" s="13" t="s">
        <v>393</v>
      </c>
      <c r="D238" s="5" t="s">
        <v>592</v>
      </c>
      <c r="E238" s="13" t="s">
        <v>426</v>
      </c>
      <c r="F238" s="61">
        <f t="shared" si="8"/>
        <v>120.458</v>
      </c>
      <c r="G238" s="61">
        <f>G239+G241</f>
        <v>120.458</v>
      </c>
      <c r="H238" s="143"/>
    </row>
    <row r="239" spans="1:9" ht="24" customHeight="1" hidden="1">
      <c r="A239" s="25" t="s">
        <v>202</v>
      </c>
      <c r="B239" s="13" t="s">
        <v>172</v>
      </c>
      <c r="C239" s="13" t="s">
        <v>393</v>
      </c>
      <c r="D239" s="5" t="s">
        <v>592</v>
      </c>
      <c r="E239" s="13" t="s">
        <v>170</v>
      </c>
      <c r="F239" s="61">
        <f t="shared" si="8"/>
        <v>0</v>
      </c>
      <c r="G239" s="61">
        <f>G240</f>
        <v>0</v>
      </c>
      <c r="H239" s="143"/>
      <c r="I239" s="146"/>
    </row>
    <row r="240" spans="1:9" ht="29.25" customHeight="1" hidden="1">
      <c r="A240" s="49" t="s">
        <v>203</v>
      </c>
      <c r="B240" s="13" t="s">
        <v>172</v>
      </c>
      <c r="C240" s="13" t="s">
        <v>393</v>
      </c>
      <c r="D240" s="5" t="s">
        <v>592</v>
      </c>
      <c r="E240" s="13" t="s">
        <v>204</v>
      </c>
      <c r="F240" s="61">
        <f t="shared" si="8"/>
        <v>0</v>
      </c>
      <c r="G240" s="61">
        <v>0</v>
      </c>
      <c r="H240" s="143"/>
      <c r="I240" s="146"/>
    </row>
    <row r="241" spans="1:9" ht="22.5" customHeight="1">
      <c r="A241" s="25" t="s">
        <v>207</v>
      </c>
      <c r="B241" s="13" t="s">
        <v>172</v>
      </c>
      <c r="C241" s="13" t="s">
        <v>393</v>
      </c>
      <c r="D241" s="5" t="s">
        <v>592</v>
      </c>
      <c r="E241" s="13" t="s">
        <v>208</v>
      </c>
      <c r="F241" s="61">
        <f t="shared" si="8"/>
        <v>120.458</v>
      </c>
      <c r="G241" s="61">
        <f>G242</f>
        <v>120.458</v>
      </c>
      <c r="H241" s="143"/>
      <c r="I241" s="146"/>
    </row>
    <row r="242" spans="1:9" ht="19.5" customHeight="1">
      <c r="A242" s="57" t="s">
        <v>205</v>
      </c>
      <c r="B242" s="13" t="s">
        <v>172</v>
      </c>
      <c r="C242" s="13" t="s">
        <v>393</v>
      </c>
      <c r="D242" s="5" t="s">
        <v>592</v>
      </c>
      <c r="E242" s="13" t="s">
        <v>206</v>
      </c>
      <c r="F242" s="61">
        <f t="shared" si="8"/>
        <v>120.458</v>
      </c>
      <c r="G242" s="61">
        <f>80.3+40.158</f>
        <v>120.458</v>
      </c>
      <c r="H242" s="143"/>
      <c r="I242" s="146"/>
    </row>
    <row r="243" spans="1:8" ht="31.5" hidden="1">
      <c r="A243" s="44" t="s">
        <v>377</v>
      </c>
      <c r="B243" s="26" t="s">
        <v>172</v>
      </c>
      <c r="C243" s="26" t="s">
        <v>399</v>
      </c>
      <c r="D243" s="26" t="s">
        <v>337</v>
      </c>
      <c r="E243" s="26" t="s">
        <v>426</v>
      </c>
      <c r="F243" s="62">
        <f>G243+H243</f>
        <v>0</v>
      </c>
      <c r="G243" s="62">
        <f>G244</f>
        <v>0</v>
      </c>
      <c r="H243" s="130">
        <f>H244</f>
        <v>0</v>
      </c>
    </row>
    <row r="244" spans="1:8" ht="48.75" customHeight="1" hidden="1">
      <c r="A244" s="29" t="s">
        <v>485</v>
      </c>
      <c r="B244" s="26" t="s">
        <v>172</v>
      </c>
      <c r="C244" s="26" t="s">
        <v>399</v>
      </c>
      <c r="D244" s="26" t="s">
        <v>486</v>
      </c>
      <c r="E244" s="26" t="s">
        <v>426</v>
      </c>
      <c r="F244" s="62">
        <f t="shared" si="6"/>
        <v>0</v>
      </c>
      <c r="G244" s="62">
        <f>G245</f>
        <v>0</v>
      </c>
      <c r="H244" s="62">
        <f>H245</f>
        <v>0</v>
      </c>
    </row>
    <row r="245" spans="1:8" ht="113.25" customHeight="1" hidden="1">
      <c r="A245" s="25" t="s">
        <v>401</v>
      </c>
      <c r="B245" s="13" t="s">
        <v>172</v>
      </c>
      <c r="C245" s="13" t="s">
        <v>399</v>
      </c>
      <c r="D245" s="13" t="s">
        <v>487</v>
      </c>
      <c r="E245" s="13" t="s">
        <v>426</v>
      </c>
      <c r="F245" s="61">
        <f t="shared" si="6"/>
        <v>0</v>
      </c>
      <c r="G245" s="61">
        <f>G246</f>
        <v>0</v>
      </c>
      <c r="H245" s="61">
        <f>H247</f>
        <v>0</v>
      </c>
    </row>
    <row r="246" spans="1:8" ht="18.75" customHeight="1" hidden="1">
      <c r="A246" s="25" t="s">
        <v>207</v>
      </c>
      <c r="B246" s="13" t="s">
        <v>172</v>
      </c>
      <c r="C246" s="13" t="s">
        <v>399</v>
      </c>
      <c r="D246" s="13" t="s">
        <v>487</v>
      </c>
      <c r="E246" s="13" t="s">
        <v>208</v>
      </c>
      <c r="F246" s="61">
        <f t="shared" si="6"/>
        <v>0</v>
      </c>
      <c r="G246" s="61">
        <f>G247</f>
        <v>0</v>
      </c>
      <c r="H246" s="61"/>
    </row>
    <row r="247" spans="1:8" ht="62.25" customHeight="1" hidden="1">
      <c r="A247" s="25" t="s">
        <v>402</v>
      </c>
      <c r="B247" s="13" t="s">
        <v>172</v>
      </c>
      <c r="C247" s="13" t="s">
        <v>399</v>
      </c>
      <c r="D247" s="13" t="s">
        <v>487</v>
      </c>
      <c r="E247" s="13" t="s">
        <v>403</v>
      </c>
      <c r="F247" s="61">
        <f t="shared" si="6"/>
        <v>0</v>
      </c>
      <c r="G247" s="61">
        <v>0</v>
      </c>
      <c r="H247" s="61"/>
    </row>
    <row r="248" spans="1:8" ht="110.25" customHeight="1" hidden="1">
      <c r="A248" s="29"/>
      <c r="B248" s="26"/>
      <c r="C248" s="26"/>
      <c r="D248" s="26"/>
      <c r="E248" s="26"/>
      <c r="F248" s="62"/>
      <c r="G248" s="62"/>
      <c r="H248" s="62"/>
    </row>
    <row r="249" spans="1:8" ht="24" customHeight="1" hidden="1">
      <c r="A249" s="49"/>
      <c r="B249" s="13"/>
      <c r="C249" s="13"/>
      <c r="D249" s="13"/>
      <c r="E249" s="13"/>
      <c r="F249" s="61"/>
      <c r="G249" s="61"/>
      <c r="H249" s="61"/>
    </row>
    <row r="250" spans="1:8" ht="25.5" customHeight="1" hidden="1">
      <c r="A250" s="49"/>
      <c r="B250" s="13"/>
      <c r="C250" s="13"/>
      <c r="D250" s="13"/>
      <c r="E250" s="13"/>
      <c r="F250" s="61"/>
      <c r="G250" s="61"/>
      <c r="H250" s="61"/>
    </row>
    <row r="251" spans="1:10" s="157" customFormat="1" ht="32.25" customHeight="1">
      <c r="A251" s="59" t="s">
        <v>404</v>
      </c>
      <c r="B251" s="17" t="s">
        <v>405</v>
      </c>
      <c r="C251" s="17" t="s">
        <v>162</v>
      </c>
      <c r="D251" s="17" t="s">
        <v>337</v>
      </c>
      <c r="E251" s="17" t="s">
        <v>426</v>
      </c>
      <c r="F251" s="110">
        <f>G251+H251</f>
        <v>8848.713529999999</v>
      </c>
      <c r="G251" s="110">
        <f>G252+G285+G276</f>
        <v>7464.531999999999</v>
      </c>
      <c r="H251" s="110">
        <f>H252+H285+H276</f>
        <v>1384.18153</v>
      </c>
      <c r="J251" s="178"/>
    </row>
    <row r="252" spans="1:8" s="141" customFormat="1" ht="16.5" customHeight="1">
      <c r="A252" s="29" t="s">
        <v>378</v>
      </c>
      <c r="B252" s="26" t="s">
        <v>405</v>
      </c>
      <c r="C252" s="26" t="s">
        <v>163</v>
      </c>
      <c r="D252" s="26" t="s">
        <v>337</v>
      </c>
      <c r="E252" s="26" t="s">
        <v>426</v>
      </c>
      <c r="F252" s="62">
        <f t="shared" si="6"/>
        <v>2768.88629</v>
      </c>
      <c r="G252" s="62">
        <f>G253+G260+G263+G268+G273</f>
        <v>1386.3999999999999</v>
      </c>
      <c r="H252" s="62">
        <f>H253+H263</f>
        <v>1382.48629</v>
      </c>
    </row>
    <row r="253" spans="1:8" ht="17.25" customHeight="1">
      <c r="A253" s="25" t="s">
        <v>379</v>
      </c>
      <c r="B253" s="13" t="s">
        <v>405</v>
      </c>
      <c r="C253" s="13" t="s">
        <v>163</v>
      </c>
      <c r="D253" s="13" t="s">
        <v>33</v>
      </c>
      <c r="E253" s="13" t="s">
        <v>426</v>
      </c>
      <c r="F253" s="61">
        <f t="shared" si="6"/>
        <v>1174.8</v>
      </c>
      <c r="G253" s="61">
        <f>G254+G257</f>
        <v>1174.8</v>
      </c>
      <c r="H253" s="61">
        <f>H254</f>
        <v>0</v>
      </c>
    </row>
    <row r="254" spans="1:8" ht="33.75" customHeight="1">
      <c r="A254" s="25" t="s">
        <v>593</v>
      </c>
      <c r="B254" s="13" t="s">
        <v>405</v>
      </c>
      <c r="C254" s="13" t="s">
        <v>163</v>
      </c>
      <c r="D254" s="13" t="s">
        <v>33</v>
      </c>
      <c r="E254" s="13" t="s">
        <v>426</v>
      </c>
      <c r="F254" s="61">
        <f t="shared" si="6"/>
        <v>503.9</v>
      </c>
      <c r="G254" s="61">
        <f>G255</f>
        <v>503.9</v>
      </c>
      <c r="H254" s="61">
        <f>H256</f>
        <v>0</v>
      </c>
    </row>
    <row r="255" spans="1:8" ht="33.75" customHeight="1">
      <c r="A255" s="25" t="s">
        <v>202</v>
      </c>
      <c r="B255" s="13" t="s">
        <v>405</v>
      </c>
      <c r="C255" s="13" t="s">
        <v>163</v>
      </c>
      <c r="D255" s="13" t="s">
        <v>33</v>
      </c>
      <c r="E255" s="13" t="s">
        <v>170</v>
      </c>
      <c r="F255" s="61">
        <f t="shared" si="6"/>
        <v>503.9</v>
      </c>
      <c r="G255" s="61">
        <f>G256</f>
        <v>503.9</v>
      </c>
      <c r="H255" s="61"/>
    </row>
    <row r="256" spans="1:8" ht="48.75" customHeight="1">
      <c r="A256" s="49" t="s">
        <v>203</v>
      </c>
      <c r="B256" s="13" t="s">
        <v>405</v>
      </c>
      <c r="C256" s="13" t="s">
        <v>163</v>
      </c>
      <c r="D256" s="13" t="s">
        <v>33</v>
      </c>
      <c r="E256" s="13" t="s">
        <v>204</v>
      </c>
      <c r="F256" s="61">
        <f t="shared" si="6"/>
        <v>503.9</v>
      </c>
      <c r="G256" s="61">
        <v>503.9</v>
      </c>
      <c r="H256" s="61"/>
    </row>
    <row r="257" spans="1:8" ht="33" customHeight="1">
      <c r="A257" s="25" t="s">
        <v>507</v>
      </c>
      <c r="B257" s="13" t="s">
        <v>405</v>
      </c>
      <c r="C257" s="13" t="s">
        <v>163</v>
      </c>
      <c r="D257" s="13" t="s">
        <v>101</v>
      </c>
      <c r="E257" s="13" t="s">
        <v>426</v>
      </c>
      <c r="F257" s="61">
        <f t="shared" si="6"/>
        <v>670.9</v>
      </c>
      <c r="G257" s="61">
        <f>G258</f>
        <v>670.9</v>
      </c>
      <c r="H257" s="61"/>
    </row>
    <row r="258" spans="1:8" ht="31.5" customHeight="1">
      <c r="A258" s="25" t="s">
        <v>202</v>
      </c>
      <c r="B258" s="13" t="s">
        <v>405</v>
      </c>
      <c r="C258" s="13" t="s">
        <v>163</v>
      </c>
      <c r="D258" s="13" t="s">
        <v>101</v>
      </c>
      <c r="E258" s="13" t="s">
        <v>170</v>
      </c>
      <c r="F258" s="61">
        <f t="shared" si="6"/>
        <v>670.9</v>
      </c>
      <c r="G258" s="61">
        <f>G259</f>
        <v>670.9</v>
      </c>
      <c r="H258" s="61"/>
    </row>
    <row r="259" spans="1:8" ht="48" customHeight="1">
      <c r="A259" s="49" t="s">
        <v>203</v>
      </c>
      <c r="B259" s="13" t="s">
        <v>405</v>
      </c>
      <c r="C259" s="13" t="s">
        <v>163</v>
      </c>
      <c r="D259" s="13" t="s">
        <v>101</v>
      </c>
      <c r="E259" s="13" t="s">
        <v>204</v>
      </c>
      <c r="F259" s="61">
        <f t="shared" si="6"/>
        <v>670.9</v>
      </c>
      <c r="G259" s="61">
        <f>655.9+15</f>
        <v>670.9</v>
      </c>
      <c r="H259" s="61"/>
    </row>
    <row r="260" spans="1:8" ht="48" customHeight="1" hidden="1">
      <c r="A260" s="44" t="s">
        <v>773</v>
      </c>
      <c r="B260" s="26" t="s">
        <v>405</v>
      </c>
      <c r="C260" s="26" t="s">
        <v>163</v>
      </c>
      <c r="D260" s="26" t="s">
        <v>774</v>
      </c>
      <c r="E260" s="26" t="s">
        <v>426</v>
      </c>
      <c r="F260" s="62">
        <f t="shared" si="6"/>
        <v>0</v>
      </c>
      <c r="G260" s="62">
        <f>G261</f>
        <v>0</v>
      </c>
      <c r="H260" s="62"/>
    </row>
    <row r="261" spans="1:8" ht="36" customHeight="1" hidden="1">
      <c r="A261" s="25" t="s">
        <v>202</v>
      </c>
      <c r="B261" s="13" t="s">
        <v>405</v>
      </c>
      <c r="C261" s="13" t="s">
        <v>163</v>
      </c>
      <c r="D261" s="13" t="s">
        <v>774</v>
      </c>
      <c r="E261" s="13" t="s">
        <v>170</v>
      </c>
      <c r="F261" s="61">
        <f t="shared" si="6"/>
        <v>0</v>
      </c>
      <c r="G261" s="61">
        <f>G262</f>
        <v>0</v>
      </c>
      <c r="H261" s="61"/>
    </row>
    <row r="262" spans="1:8" ht="48" customHeight="1" hidden="1">
      <c r="A262" s="49" t="s">
        <v>203</v>
      </c>
      <c r="B262" s="13" t="s">
        <v>405</v>
      </c>
      <c r="C262" s="13" t="s">
        <v>163</v>
      </c>
      <c r="D262" s="13" t="s">
        <v>774</v>
      </c>
      <c r="E262" s="13" t="s">
        <v>204</v>
      </c>
      <c r="F262" s="61">
        <f t="shared" si="6"/>
        <v>0</v>
      </c>
      <c r="G262" s="61">
        <v>0</v>
      </c>
      <c r="H262" s="61"/>
    </row>
    <row r="263" spans="1:8" ht="81.75" customHeight="1">
      <c r="A263" s="29" t="s">
        <v>594</v>
      </c>
      <c r="B263" s="26" t="s">
        <v>405</v>
      </c>
      <c r="C263" s="26" t="s">
        <v>163</v>
      </c>
      <c r="D263" s="26" t="s">
        <v>595</v>
      </c>
      <c r="E263" s="26" t="s">
        <v>426</v>
      </c>
      <c r="F263" s="62">
        <f t="shared" si="6"/>
        <v>1412.48629</v>
      </c>
      <c r="G263" s="62">
        <f>G264</f>
        <v>30</v>
      </c>
      <c r="H263" s="62">
        <f>H264</f>
        <v>1382.48629</v>
      </c>
    </row>
    <row r="264" spans="1:8" ht="63" customHeight="1">
      <c r="A264" s="49" t="s">
        <v>596</v>
      </c>
      <c r="B264" s="13" t="s">
        <v>405</v>
      </c>
      <c r="C264" s="13" t="s">
        <v>163</v>
      </c>
      <c r="D264" s="13" t="s">
        <v>595</v>
      </c>
      <c r="E264" s="13" t="s">
        <v>426</v>
      </c>
      <c r="F264" s="61">
        <f t="shared" si="6"/>
        <v>1412.48629</v>
      </c>
      <c r="G264" s="61">
        <f>G265</f>
        <v>30</v>
      </c>
      <c r="H264" s="61">
        <f>H265</f>
        <v>1382.48629</v>
      </c>
    </row>
    <row r="265" spans="1:8" ht="24" customHeight="1">
      <c r="A265" s="25" t="s">
        <v>207</v>
      </c>
      <c r="B265" s="13" t="s">
        <v>405</v>
      </c>
      <c r="C265" s="13" t="s">
        <v>163</v>
      </c>
      <c r="D265" s="13" t="s">
        <v>595</v>
      </c>
      <c r="E265" s="13" t="s">
        <v>208</v>
      </c>
      <c r="F265" s="61">
        <f t="shared" si="6"/>
        <v>1412.48629</v>
      </c>
      <c r="G265" s="61">
        <f>G267</f>
        <v>30</v>
      </c>
      <c r="H265" s="61">
        <f>H266</f>
        <v>1382.48629</v>
      </c>
    </row>
    <row r="266" spans="1:8" ht="63" customHeight="1">
      <c r="A266" s="25" t="s">
        <v>731</v>
      </c>
      <c r="B266" s="13" t="s">
        <v>405</v>
      </c>
      <c r="C266" s="13" t="s">
        <v>163</v>
      </c>
      <c r="D266" s="13" t="s">
        <v>597</v>
      </c>
      <c r="E266" s="13" t="s">
        <v>475</v>
      </c>
      <c r="F266" s="61">
        <f t="shared" si="6"/>
        <v>1382.48629</v>
      </c>
      <c r="G266" s="61"/>
      <c r="H266" s="61">
        <v>1382.48629</v>
      </c>
    </row>
    <row r="267" spans="1:8" ht="63" customHeight="1">
      <c r="A267" s="25" t="s">
        <v>732</v>
      </c>
      <c r="B267" s="13" t="s">
        <v>405</v>
      </c>
      <c r="C267" s="13" t="s">
        <v>163</v>
      </c>
      <c r="D267" s="13" t="s">
        <v>761</v>
      </c>
      <c r="E267" s="13" t="s">
        <v>475</v>
      </c>
      <c r="F267" s="61">
        <f t="shared" si="6"/>
        <v>30</v>
      </c>
      <c r="G267" s="61">
        <f>20+10</f>
        <v>30</v>
      </c>
      <c r="H267" s="61"/>
    </row>
    <row r="268" spans="1:8" ht="33" customHeight="1">
      <c r="A268" s="44" t="s">
        <v>164</v>
      </c>
      <c r="B268" s="26" t="s">
        <v>405</v>
      </c>
      <c r="C268" s="26" t="s">
        <v>163</v>
      </c>
      <c r="D268" s="26" t="s">
        <v>19</v>
      </c>
      <c r="E268" s="26" t="s">
        <v>426</v>
      </c>
      <c r="F268" s="62">
        <f t="shared" si="6"/>
        <v>100</v>
      </c>
      <c r="G268" s="62">
        <f>G269</f>
        <v>100</v>
      </c>
      <c r="H268" s="62"/>
    </row>
    <row r="269" spans="1:8" ht="33" customHeight="1">
      <c r="A269" s="49" t="s">
        <v>165</v>
      </c>
      <c r="B269" s="13" t="s">
        <v>405</v>
      </c>
      <c r="C269" s="13" t="s">
        <v>163</v>
      </c>
      <c r="D269" s="13" t="s">
        <v>20</v>
      </c>
      <c r="E269" s="13" t="s">
        <v>426</v>
      </c>
      <c r="F269" s="61">
        <f t="shared" si="6"/>
        <v>100</v>
      </c>
      <c r="G269" s="61">
        <f>G270</f>
        <v>100</v>
      </c>
      <c r="H269" s="61"/>
    </row>
    <row r="270" spans="1:8" ht="114.75" customHeight="1">
      <c r="A270" s="40" t="s">
        <v>598</v>
      </c>
      <c r="B270" s="56" t="s">
        <v>405</v>
      </c>
      <c r="C270" s="56" t="s">
        <v>163</v>
      </c>
      <c r="D270" s="56" t="s">
        <v>599</v>
      </c>
      <c r="E270" s="56" t="s">
        <v>426</v>
      </c>
      <c r="F270" s="108">
        <f t="shared" si="6"/>
        <v>100</v>
      </c>
      <c r="G270" s="108">
        <f>G271</f>
        <v>100</v>
      </c>
      <c r="H270" s="108"/>
    </row>
    <row r="271" spans="1:8" ht="36" customHeight="1">
      <c r="A271" s="25" t="s">
        <v>202</v>
      </c>
      <c r="B271" s="13" t="s">
        <v>405</v>
      </c>
      <c r="C271" s="13" t="s">
        <v>163</v>
      </c>
      <c r="D271" s="13" t="s">
        <v>599</v>
      </c>
      <c r="E271" s="13" t="s">
        <v>170</v>
      </c>
      <c r="F271" s="61">
        <f t="shared" si="6"/>
        <v>100</v>
      </c>
      <c r="G271" s="61">
        <f>G272</f>
        <v>100</v>
      </c>
      <c r="H271" s="61"/>
    </row>
    <row r="272" spans="1:8" ht="48" customHeight="1">
      <c r="A272" s="49" t="s">
        <v>203</v>
      </c>
      <c r="B272" s="13" t="s">
        <v>405</v>
      </c>
      <c r="C272" s="13" t="s">
        <v>163</v>
      </c>
      <c r="D272" s="13" t="s">
        <v>599</v>
      </c>
      <c r="E272" s="13" t="s">
        <v>204</v>
      </c>
      <c r="F272" s="61">
        <f t="shared" si="6"/>
        <v>100</v>
      </c>
      <c r="G272" s="61">
        <f>250-150</f>
        <v>100</v>
      </c>
      <c r="H272" s="61"/>
    </row>
    <row r="273" spans="1:8" s="141" customFormat="1" ht="79.5" customHeight="1">
      <c r="A273" s="44" t="s">
        <v>551</v>
      </c>
      <c r="B273" s="26" t="s">
        <v>405</v>
      </c>
      <c r="C273" s="26" t="s">
        <v>163</v>
      </c>
      <c r="D273" s="26" t="s">
        <v>549</v>
      </c>
      <c r="E273" s="26" t="s">
        <v>426</v>
      </c>
      <c r="F273" s="62">
        <f t="shared" si="6"/>
        <v>81.6</v>
      </c>
      <c r="G273" s="62">
        <f>G274</f>
        <v>81.6</v>
      </c>
      <c r="H273" s="62"/>
    </row>
    <row r="274" spans="1:8" ht="39" customHeight="1">
      <c r="A274" s="25" t="s">
        <v>202</v>
      </c>
      <c r="B274" s="13" t="s">
        <v>405</v>
      </c>
      <c r="C274" s="13" t="s">
        <v>163</v>
      </c>
      <c r="D274" s="13" t="s">
        <v>691</v>
      </c>
      <c r="E274" s="13" t="s">
        <v>170</v>
      </c>
      <c r="F274" s="61">
        <f>G274</f>
        <v>81.6</v>
      </c>
      <c r="G274" s="61">
        <f>G275</f>
        <v>81.6</v>
      </c>
      <c r="H274" s="61"/>
    </row>
    <row r="275" spans="1:8" ht="48" customHeight="1">
      <c r="A275" s="49" t="s">
        <v>203</v>
      </c>
      <c r="B275" s="13" t="s">
        <v>405</v>
      </c>
      <c r="C275" s="13" t="s">
        <v>163</v>
      </c>
      <c r="D275" s="13" t="s">
        <v>691</v>
      </c>
      <c r="E275" s="13" t="s">
        <v>204</v>
      </c>
      <c r="F275" s="61">
        <f>G275</f>
        <v>81.6</v>
      </c>
      <c r="G275" s="61">
        <f>31.6+50</f>
        <v>81.6</v>
      </c>
      <c r="H275" s="61"/>
    </row>
    <row r="276" spans="1:8" s="141" customFormat="1" ht="17.25" customHeight="1">
      <c r="A276" s="44" t="s">
        <v>410</v>
      </c>
      <c r="B276" s="26" t="s">
        <v>405</v>
      </c>
      <c r="C276" s="26" t="s">
        <v>168</v>
      </c>
      <c r="D276" s="26" t="s">
        <v>337</v>
      </c>
      <c r="E276" s="26" t="s">
        <v>426</v>
      </c>
      <c r="F276" s="62">
        <f t="shared" si="6"/>
        <v>2422.002</v>
      </c>
      <c r="G276" s="62">
        <f>G277+G280</f>
        <v>2422.002</v>
      </c>
      <c r="H276" s="62">
        <f>H277+H280</f>
        <v>0</v>
      </c>
    </row>
    <row r="277" spans="1:8" ht="17.25" customHeight="1">
      <c r="A277" s="49" t="s">
        <v>411</v>
      </c>
      <c r="B277" s="13" t="s">
        <v>405</v>
      </c>
      <c r="C277" s="13" t="s">
        <v>168</v>
      </c>
      <c r="D277" s="13" t="s">
        <v>34</v>
      </c>
      <c r="E277" s="13" t="s">
        <v>426</v>
      </c>
      <c r="F277" s="61">
        <f t="shared" si="6"/>
        <v>75</v>
      </c>
      <c r="G277" s="61">
        <f>G278</f>
        <v>75</v>
      </c>
      <c r="H277" s="61">
        <f>H278</f>
        <v>0</v>
      </c>
    </row>
    <row r="278" spans="1:8" ht="34.5" customHeight="1">
      <c r="A278" s="25" t="s">
        <v>202</v>
      </c>
      <c r="B278" s="13" t="s">
        <v>405</v>
      </c>
      <c r="C278" s="13" t="s">
        <v>168</v>
      </c>
      <c r="D278" s="13" t="s">
        <v>34</v>
      </c>
      <c r="E278" s="13" t="s">
        <v>170</v>
      </c>
      <c r="F278" s="61">
        <f t="shared" si="6"/>
        <v>75</v>
      </c>
      <c r="G278" s="61">
        <f>G279</f>
        <v>75</v>
      </c>
      <c r="H278" s="61">
        <f>H279</f>
        <v>0</v>
      </c>
    </row>
    <row r="279" spans="1:8" ht="49.5" customHeight="1">
      <c r="A279" s="49" t="s">
        <v>203</v>
      </c>
      <c r="B279" s="13" t="s">
        <v>405</v>
      </c>
      <c r="C279" s="13" t="s">
        <v>168</v>
      </c>
      <c r="D279" s="13" t="s">
        <v>34</v>
      </c>
      <c r="E279" s="13" t="s">
        <v>204</v>
      </c>
      <c r="F279" s="61">
        <f t="shared" si="6"/>
        <v>75</v>
      </c>
      <c r="G279" s="61">
        <f>90-15</f>
        <v>75</v>
      </c>
      <c r="H279" s="61"/>
    </row>
    <row r="280" spans="1:8" ht="17.25" customHeight="1">
      <c r="A280" s="49" t="s">
        <v>412</v>
      </c>
      <c r="B280" s="13" t="s">
        <v>405</v>
      </c>
      <c r="C280" s="13" t="s">
        <v>168</v>
      </c>
      <c r="D280" s="13" t="s">
        <v>35</v>
      </c>
      <c r="E280" s="13" t="s">
        <v>426</v>
      </c>
      <c r="F280" s="61">
        <f t="shared" si="6"/>
        <v>2347.002</v>
      </c>
      <c r="G280" s="61">
        <f>G281+G283</f>
        <v>2347.002</v>
      </c>
      <c r="H280" s="61">
        <f>H281</f>
        <v>0</v>
      </c>
    </row>
    <row r="281" spans="1:8" ht="37.5" customHeight="1">
      <c r="A281" s="25" t="s">
        <v>202</v>
      </c>
      <c r="B281" s="13" t="s">
        <v>405</v>
      </c>
      <c r="C281" s="13" t="s">
        <v>168</v>
      </c>
      <c r="D281" s="13" t="s">
        <v>35</v>
      </c>
      <c r="E281" s="13" t="s">
        <v>170</v>
      </c>
      <c r="F281" s="61">
        <f t="shared" si="6"/>
        <v>2050.404</v>
      </c>
      <c r="G281" s="61">
        <f>G282</f>
        <v>2050.404</v>
      </c>
      <c r="H281" s="61">
        <f>H282</f>
        <v>0</v>
      </c>
    </row>
    <row r="282" spans="1:8" ht="48" customHeight="1">
      <c r="A282" s="49" t="s">
        <v>203</v>
      </c>
      <c r="B282" s="13" t="s">
        <v>405</v>
      </c>
      <c r="C282" s="13" t="s">
        <v>168</v>
      </c>
      <c r="D282" s="13" t="s">
        <v>35</v>
      </c>
      <c r="E282" s="13" t="s">
        <v>204</v>
      </c>
      <c r="F282" s="61">
        <f t="shared" si="6"/>
        <v>2050.404</v>
      </c>
      <c r="G282" s="61">
        <f>100+1950.4+0.004</f>
        <v>2050.404</v>
      </c>
      <c r="H282" s="61"/>
    </row>
    <row r="283" spans="1:8" ht="48" customHeight="1">
      <c r="A283" s="49" t="s">
        <v>621</v>
      </c>
      <c r="B283" s="13" t="s">
        <v>405</v>
      </c>
      <c r="C283" s="13" t="s">
        <v>168</v>
      </c>
      <c r="D283" s="13" t="s">
        <v>35</v>
      </c>
      <c r="E283" s="13" t="s">
        <v>622</v>
      </c>
      <c r="F283" s="61">
        <f>G283</f>
        <v>296.598</v>
      </c>
      <c r="G283" s="61">
        <f>G284</f>
        <v>296.598</v>
      </c>
      <c r="H283" s="61"/>
    </row>
    <row r="284" spans="1:8" ht="16.5" customHeight="1">
      <c r="A284" s="49" t="s">
        <v>623</v>
      </c>
      <c r="B284" s="13" t="s">
        <v>405</v>
      </c>
      <c r="C284" s="13" t="s">
        <v>168</v>
      </c>
      <c r="D284" s="13" t="s">
        <v>35</v>
      </c>
      <c r="E284" s="13" t="s">
        <v>624</v>
      </c>
      <c r="F284" s="61">
        <f>G284</f>
        <v>296.598</v>
      </c>
      <c r="G284" s="61">
        <v>296.598</v>
      </c>
      <c r="H284" s="61"/>
    </row>
    <row r="285" spans="1:8" ht="34.5" customHeight="1">
      <c r="A285" s="25" t="s">
        <v>382</v>
      </c>
      <c r="B285" s="13" t="s">
        <v>405</v>
      </c>
      <c r="C285" s="13" t="s">
        <v>405</v>
      </c>
      <c r="D285" s="13" t="s">
        <v>337</v>
      </c>
      <c r="E285" s="13" t="s">
        <v>426</v>
      </c>
      <c r="F285" s="61">
        <f t="shared" si="6"/>
        <v>3657.82524</v>
      </c>
      <c r="G285" s="61">
        <f>G286</f>
        <v>3656.13</v>
      </c>
      <c r="H285" s="61">
        <f>H286+H293</f>
        <v>1.69524</v>
      </c>
    </row>
    <row r="286" spans="1:8" ht="33.75" customHeight="1">
      <c r="A286" s="25" t="s">
        <v>164</v>
      </c>
      <c r="B286" s="13" t="s">
        <v>405</v>
      </c>
      <c r="C286" s="13" t="s">
        <v>405</v>
      </c>
      <c r="D286" s="13" t="s">
        <v>20</v>
      </c>
      <c r="E286" s="13" t="s">
        <v>426</v>
      </c>
      <c r="F286" s="61">
        <f t="shared" si="6"/>
        <v>3656.13</v>
      </c>
      <c r="G286" s="61">
        <f>G287</f>
        <v>3656.13</v>
      </c>
      <c r="H286" s="61">
        <f>H287</f>
        <v>0</v>
      </c>
    </row>
    <row r="287" spans="1:8" s="141" customFormat="1" ht="48" customHeight="1">
      <c r="A287" s="29" t="s">
        <v>165</v>
      </c>
      <c r="B287" s="26" t="s">
        <v>405</v>
      </c>
      <c r="C287" s="26" t="s">
        <v>405</v>
      </c>
      <c r="D287" s="26" t="s">
        <v>23</v>
      </c>
      <c r="E287" s="26" t="s">
        <v>426</v>
      </c>
      <c r="F287" s="62">
        <f t="shared" si="6"/>
        <v>3656.13</v>
      </c>
      <c r="G287" s="62">
        <f>G288</f>
        <v>3656.13</v>
      </c>
      <c r="H287" s="62">
        <f>H288</f>
        <v>0</v>
      </c>
    </row>
    <row r="288" spans="1:8" ht="48" customHeight="1">
      <c r="A288" s="25" t="s">
        <v>406</v>
      </c>
      <c r="B288" s="13" t="s">
        <v>405</v>
      </c>
      <c r="C288" s="13" t="s">
        <v>405</v>
      </c>
      <c r="D288" s="13" t="s">
        <v>23</v>
      </c>
      <c r="E288" s="13" t="s">
        <v>426</v>
      </c>
      <c r="F288" s="61">
        <f t="shared" si="6"/>
        <v>3656.13</v>
      </c>
      <c r="G288" s="61">
        <f>G289+G291</f>
        <v>3656.13</v>
      </c>
      <c r="H288" s="61">
        <f>SUM(H289:H292)</f>
        <v>0</v>
      </c>
    </row>
    <row r="289" spans="1:8" ht="96.75" customHeight="1">
      <c r="A289" s="25" t="s">
        <v>199</v>
      </c>
      <c r="B289" s="13" t="s">
        <v>405</v>
      </c>
      <c r="C289" s="13" t="s">
        <v>405</v>
      </c>
      <c r="D289" s="13" t="s">
        <v>23</v>
      </c>
      <c r="E289" s="13" t="s">
        <v>166</v>
      </c>
      <c r="F289" s="61">
        <f t="shared" si="6"/>
        <v>3582.5</v>
      </c>
      <c r="G289" s="61">
        <f>G290</f>
        <v>3582.5</v>
      </c>
      <c r="H289" s="61"/>
    </row>
    <row r="290" spans="1:8" ht="34.5" customHeight="1">
      <c r="A290" s="49" t="s">
        <v>201</v>
      </c>
      <c r="B290" s="13" t="s">
        <v>405</v>
      </c>
      <c r="C290" s="13" t="s">
        <v>405</v>
      </c>
      <c r="D290" s="13" t="s">
        <v>23</v>
      </c>
      <c r="E290" s="13" t="s">
        <v>200</v>
      </c>
      <c r="F290" s="61">
        <f t="shared" si="6"/>
        <v>3582.5</v>
      </c>
      <c r="G290" s="61">
        <f>2717+45+820.5</f>
        <v>3582.5</v>
      </c>
      <c r="H290" s="61"/>
    </row>
    <row r="291" spans="1:8" ht="32.25" customHeight="1">
      <c r="A291" s="25" t="s">
        <v>202</v>
      </c>
      <c r="B291" s="13" t="s">
        <v>405</v>
      </c>
      <c r="C291" s="13" t="s">
        <v>405</v>
      </c>
      <c r="D291" s="13" t="s">
        <v>23</v>
      </c>
      <c r="E291" s="13" t="s">
        <v>170</v>
      </c>
      <c r="F291" s="61">
        <f t="shared" si="6"/>
        <v>73.63</v>
      </c>
      <c r="G291" s="61">
        <f>G292</f>
        <v>73.63</v>
      </c>
      <c r="H291" s="61"/>
    </row>
    <row r="292" spans="1:8" ht="50.25" customHeight="1">
      <c r="A292" s="49" t="s">
        <v>203</v>
      </c>
      <c r="B292" s="13" t="s">
        <v>405</v>
      </c>
      <c r="C292" s="13" t="s">
        <v>405</v>
      </c>
      <c r="D292" s="13" t="s">
        <v>23</v>
      </c>
      <c r="E292" s="13" t="s">
        <v>204</v>
      </c>
      <c r="F292" s="61">
        <f t="shared" si="6"/>
        <v>73.63</v>
      </c>
      <c r="G292" s="61">
        <f>58.63+15</f>
        <v>73.63</v>
      </c>
      <c r="H292" s="61"/>
    </row>
    <row r="293" spans="1:8" s="141" customFormat="1" ht="78" customHeight="1">
      <c r="A293" s="44" t="s">
        <v>758</v>
      </c>
      <c r="B293" s="26" t="s">
        <v>405</v>
      </c>
      <c r="C293" s="26" t="s">
        <v>405</v>
      </c>
      <c r="D293" s="26" t="s">
        <v>36</v>
      </c>
      <c r="E293" s="26" t="s">
        <v>426</v>
      </c>
      <c r="F293" s="62">
        <f t="shared" si="6"/>
        <v>1.69524</v>
      </c>
      <c r="G293" s="62"/>
      <c r="H293" s="62">
        <f>H294+H296</f>
        <v>1.69524</v>
      </c>
    </row>
    <row r="294" spans="1:8" ht="94.5" customHeight="1">
      <c r="A294" s="49" t="s">
        <v>380</v>
      </c>
      <c r="B294" s="13" t="s">
        <v>405</v>
      </c>
      <c r="C294" s="13" t="s">
        <v>405</v>
      </c>
      <c r="D294" s="13" t="s">
        <v>36</v>
      </c>
      <c r="E294" s="13" t="s">
        <v>166</v>
      </c>
      <c r="F294" s="61">
        <f t="shared" si="6"/>
        <v>1.69524</v>
      </c>
      <c r="G294" s="61"/>
      <c r="H294" s="61">
        <f>H295</f>
        <v>1.69524</v>
      </c>
    </row>
    <row r="295" spans="1:8" ht="34.5" customHeight="1">
      <c r="A295" s="49" t="s">
        <v>201</v>
      </c>
      <c r="B295" s="13" t="s">
        <v>405</v>
      </c>
      <c r="C295" s="13" t="s">
        <v>405</v>
      </c>
      <c r="D295" s="13" t="s">
        <v>36</v>
      </c>
      <c r="E295" s="13" t="s">
        <v>200</v>
      </c>
      <c r="F295" s="61">
        <f t="shared" si="6"/>
        <v>1.69524</v>
      </c>
      <c r="G295" s="61"/>
      <c r="H295" s="61">
        <v>1.69524</v>
      </c>
    </row>
    <row r="296" spans="1:8" ht="34.5" customHeight="1" hidden="1">
      <c r="A296" s="49" t="s">
        <v>202</v>
      </c>
      <c r="B296" s="13" t="s">
        <v>405</v>
      </c>
      <c r="C296" s="13" t="s">
        <v>405</v>
      </c>
      <c r="D296" s="13" t="s">
        <v>36</v>
      </c>
      <c r="E296" s="13" t="s">
        <v>170</v>
      </c>
      <c r="F296" s="61">
        <f t="shared" si="6"/>
        <v>0</v>
      </c>
      <c r="G296" s="61"/>
      <c r="H296" s="61">
        <f>H297</f>
        <v>0</v>
      </c>
    </row>
    <row r="297" spans="1:8" ht="51" customHeight="1" hidden="1">
      <c r="A297" s="49" t="s">
        <v>203</v>
      </c>
      <c r="B297" s="13" t="s">
        <v>405</v>
      </c>
      <c r="C297" s="13" t="s">
        <v>405</v>
      </c>
      <c r="D297" s="13" t="s">
        <v>36</v>
      </c>
      <c r="E297" s="13" t="s">
        <v>204</v>
      </c>
      <c r="F297" s="61">
        <f t="shared" si="6"/>
        <v>0</v>
      </c>
      <c r="G297" s="61"/>
      <c r="H297" s="61">
        <v>0</v>
      </c>
    </row>
    <row r="298" spans="1:12" s="157" customFormat="1" ht="20.25" customHeight="1">
      <c r="A298" s="59" t="s">
        <v>407</v>
      </c>
      <c r="B298" s="17" t="s">
        <v>408</v>
      </c>
      <c r="C298" s="17" t="s">
        <v>162</v>
      </c>
      <c r="D298" s="17" t="s">
        <v>337</v>
      </c>
      <c r="E298" s="17" t="s">
        <v>426</v>
      </c>
      <c r="F298" s="110">
        <f>G298+H298</f>
        <v>407156.20059</v>
      </c>
      <c r="G298" s="110">
        <f>G299+G327+G361+G377+G398+G421+G403</f>
        <v>174808.83503999998</v>
      </c>
      <c r="H298" s="110">
        <f>H299+H327+H398+H421+H403+H377</f>
        <v>232347.36555000002</v>
      </c>
      <c r="J298" s="178"/>
      <c r="K298" s="160"/>
      <c r="L298" s="160"/>
    </row>
    <row r="299" spans="1:8" ht="18.75" customHeight="1">
      <c r="A299" s="25" t="s">
        <v>417</v>
      </c>
      <c r="B299" s="13" t="s">
        <v>408</v>
      </c>
      <c r="C299" s="13" t="s">
        <v>161</v>
      </c>
      <c r="D299" s="13" t="s">
        <v>337</v>
      </c>
      <c r="E299" s="13" t="s">
        <v>426</v>
      </c>
      <c r="F299" s="61">
        <f t="shared" si="6"/>
        <v>66515.672</v>
      </c>
      <c r="G299" s="61">
        <f>G300+G309+G318+G322</f>
        <v>28087.300000000003</v>
      </c>
      <c r="H299" s="61">
        <f>H315</f>
        <v>38428.372</v>
      </c>
    </row>
    <row r="300" spans="1:8" s="141" customFormat="1" ht="49.5" customHeight="1">
      <c r="A300" s="29" t="s">
        <v>490</v>
      </c>
      <c r="B300" s="26" t="s">
        <v>408</v>
      </c>
      <c r="C300" s="26" t="s">
        <v>161</v>
      </c>
      <c r="D300" s="26" t="s">
        <v>38</v>
      </c>
      <c r="E300" s="26" t="s">
        <v>426</v>
      </c>
      <c r="F300" s="62">
        <f t="shared" si="6"/>
        <v>27187.300000000003</v>
      </c>
      <c r="G300" s="62">
        <f>G301</f>
        <v>27187.300000000003</v>
      </c>
      <c r="H300" s="62">
        <f>H301</f>
        <v>0</v>
      </c>
    </row>
    <row r="301" spans="1:8" ht="48" customHeight="1">
      <c r="A301" s="30" t="s">
        <v>275</v>
      </c>
      <c r="B301" s="13" t="s">
        <v>408</v>
      </c>
      <c r="C301" s="13" t="s">
        <v>161</v>
      </c>
      <c r="D301" s="13" t="s">
        <v>51</v>
      </c>
      <c r="E301" s="13" t="s">
        <v>426</v>
      </c>
      <c r="F301" s="61">
        <f t="shared" si="6"/>
        <v>27187.300000000003</v>
      </c>
      <c r="G301" s="61">
        <f>G302+G304+G307</f>
        <v>27187.300000000003</v>
      </c>
      <c r="H301" s="61">
        <f>SUM(H303:H306)</f>
        <v>0</v>
      </c>
    </row>
    <row r="302" spans="1:8" ht="50.25" customHeight="1">
      <c r="A302" s="25" t="s">
        <v>225</v>
      </c>
      <c r="B302" s="13" t="s">
        <v>408</v>
      </c>
      <c r="C302" s="13" t="s">
        <v>161</v>
      </c>
      <c r="D302" s="13" t="s">
        <v>53</v>
      </c>
      <c r="E302" s="13" t="s">
        <v>226</v>
      </c>
      <c r="F302" s="61">
        <f t="shared" si="6"/>
        <v>400</v>
      </c>
      <c r="G302" s="61">
        <f>G303</f>
        <v>400</v>
      </c>
      <c r="H302" s="61">
        <f>H303</f>
        <v>0</v>
      </c>
    </row>
    <row r="303" spans="1:8" ht="19.5" customHeight="1">
      <c r="A303" s="25" t="s">
        <v>227</v>
      </c>
      <c r="B303" s="13" t="s">
        <v>408</v>
      </c>
      <c r="C303" s="13" t="s">
        <v>161</v>
      </c>
      <c r="D303" s="13" t="s">
        <v>52</v>
      </c>
      <c r="E303" s="13" t="s">
        <v>304</v>
      </c>
      <c r="F303" s="61">
        <f t="shared" si="6"/>
        <v>400</v>
      </c>
      <c r="G303" s="61">
        <f>200+200</f>
        <v>400</v>
      </c>
      <c r="H303" s="61"/>
    </row>
    <row r="304" spans="1:8" ht="96" customHeight="1">
      <c r="A304" s="25" t="s">
        <v>935</v>
      </c>
      <c r="B304" s="13" t="s">
        <v>408</v>
      </c>
      <c r="C304" s="13" t="s">
        <v>161</v>
      </c>
      <c r="D304" s="13" t="s">
        <v>53</v>
      </c>
      <c r="E304" s="13" t="s">
        <v>426</v>
      </c>
      <c r="F304" s="61">
        <f t="shared" si="6"/>
        <v>26707.300000000003</v>
      </c>
      <c r="G304" s="61">
        <f>G305</f>
        <v>26707.300000000003</v>
      </c>
      <c r="H304" s="61">
        <f>SUM(H305:H306)</f>
        <v>0</v>
      </c>
    </row>
    <row r="305" spans="1:8" ht="48" customHeight="1">
      <c r="A305" s="25" t="s">
        <v>225</v>
      </c>
      <c r="B305" s="13" t="s">
        <v>408</v>
      </c>
      <c r="C305" s="13" t="s">
        <v>161</v>
      </c>
      <c r="D305" s="13" t="s">
        <v>54</v>
      </c>
      <c r="E305" s="13" t="s">
        <v>226</v>
      </c>
      <c r="F305" s="61">
        <f t="shared" si="6"/>
        <v>26707.300000000003</v>
      </c>
      <c r="G305" s="61">
        <f>G306</f>
        <v>26707.300000000003</v>
      </c>
      <c r="H305" s="61"/>
    </row>
    <row r="306" spans="1:10" ht="15.75" customHeight="1">
      <c r="A306" s="25" t="s">
        <v>227</v>
      </c>
      <c r="B306" s="13" t="s">
        <v>408</v>
      </c>
      <c r="C306" s="13" t="s">
        <v>161</v>
      </c>
      <c r="D306" s="13" t="s">
        <v>54</v>
      </c>
      <c r="E306" s="13" t="s">
        <v>304</v>
      </c>
      <c r="F306" s="61">
        <f t="shared" si="6"/>
        <v>26707.300000000003</v>
      </c>
      <c r="G306" s="61">
        <f>21846.4+4500.9-1950.4+2310.4</f>
        <v>26707.300000000003</v>
      </c>
      <c r="H306" s="61"/>
      <c r="J306" s="146"/>
    </row>
    <row r="307" spans="1:10" ht="52.5" customHeight="1">
      <c r="A307" s="25" t="s">
        <v>225</v>
      </c>
      <c r="B307" s="13" t="s">
        <v>408</v>
      </c>
      <c r="C307" s="13" t="s">
        <v>161</v>
      </c>
      <c r="D307" s="13" t="s">
        <v>892</v>
      </c>
      <c r="E307" s="13" t="s">
        <v>226</v>
      </c>
      <c r="F307" s="61">
        <f>G307+H307</f>
        <v>80</v>
      </c>
      <c r="G307" s="61">
        <f>G308</f>
        <v>80</v>
      </c>
      <c r="H307" s="61">
        <f>H308</f>
        <v>0</v>
      </c>
      <c r="J307" s="146"/>
    </row>
    <row r="308" spans="1:10" ht="30.75" customHeight="1">
      <c r="A308" s="25" t="s">
        <v>895</v>
      </c>
      <c r="B308" s="13" t="s">
        <v>408</v>
      </c>
      <c r="C308" s="13" t="s">
        <v>161</v>
      </c>
      <c r="D308" s="13" t="s">
        <v>892</v>
      </c>
      <c r="E308" s="13" t="s">
        <v>304</v>
      </c>
      <c r="F308" s="61">
        <f>G308+H308</f>
        <v>80</v>
      </c>
      <c r="G308" s="61">
        <v>80</v>
      </c>
      <c r="H308" s="61"/>
      <c r="J308" s="146"/>
    </row>
    <row r="309" spans="1:8" ht="35.25" customHeight="1" hidden="1">
      <c r="A309" s="40" t="s">
        <v>600</v>
      </c>
      <c r="B309" s="56" t="s">
        <v>408</v>
      </c>
      <c r="C309" s="56" t="s">
        <v>161</v>
      </c>
      <c r="D309" s="56" t="s">
        <v>337</v>
      </c>
      <c r="E309" s="56" t="s">
        <v>426</v>
      </c>
      <c r="F309" s="108">
        <f>G309</f>
        <v>0</v>
      </c>
      <c r="G309" s="108">
        <f>G310</f>
        <v>0</v>
      </c>
      <c r="H309" s="108"/>
    </row>
    <row r="310" spans="1:8" ht="30" customHeight="1" hidden="1">
      <c r="A310" s="25" t="s">
        <v>601</v>
      </c>
      <c r="B310" s="13" t="s">
        <v>408</v>
      </c>
      <c r="C310" s="13" t="s">
        <v>161</v>
      </c>
      <c r="D310" s="13" t="s">
        <v>602</v>
      </c>
      <c r="E310" s="13" t="s">
        <v>426</v>
      </c>
      <c r="F310" s="61">
        <f>G310</f>
        <v>0</v>
      </c>
      <c r="G310" s="61">
        <f>G311</f>
        <v>0</v>
      </c>
      <c r="H310" s="61"/>
    </row>
    <row r="311" spans="1:8" ht="51" customHeight="1" hidden="1">
      <c r="A311" s="25" t="s">
        <v>225</v>
      </c>
      <c r="B311" s="13" t="s">
        <v>408</v>
      </c>
      <c r="C311" s="13" t="s">
        <v>161</v>
      </c>
      <c r="D311" s="13" t="s">
        <v>602</v>
      </c>
      <c r="E311" s="13" t="s">
        <v>226</v>
      </c>
      <c r="F311" s="61">
        <f>G311</f>
        <v>0</v>
      </c>
      <c r="G311" s="61">
        <f>G312</f>
        <v>0</v>
      </c>
      <c r="H311" s="61"/>
    </row>
    <row r="312" spans="1:8" ht="22.5" customHeight="1" hidden="1">
      <c r="A312" s="25" t="s">
        <v>227</v>
      </c>
      <c r="B312" s="13" t="s">
        <v>408</v>
      </c>
      <c r="C312" s="13" t="s">
        <v>161</v>
      </c>
      <c r="D312" s="13" t="s">
        <v>602</v>
      </c>
      <c r="E312" s="13" t="s">
        <v>304</v>
      </c>
      <c r="F312" s="61">
        <f>G312</f>
        <v>0</v>
      </c>
      <c r="G312" s="61"/>
      <c r="H312" s="61"/>
    </row>
    <row r="313" spans="1:8" ht="46.5" customHeight="1">
      <c r="A313" s="29" t="s">
        <v>490</v>
      </c>
      <c r="B313" s="26" t="s">
        <v>408</v>
      </c>
      <c r="C313" s="26" t="s">
        <v>161</v>
      </c>
      <c r="D313" s="26" t="s">
        <v>38</v>
      </c>
      <c r="E313" s="26" t="s">
        <v>426</v>
      </c>
      <c r="F313" s="62">
        <f>G313+H313</f>
        <v>38428.372</v>
      </c>
      <c r="G313" s="62">
        <v>0</v>
      </c>
      <c r="H313" s="62">
        <f>H314</f>
        <v>38428.372</v>
      </c>
    </row>
    <row r="314" spans="1:8" ht="54.75" customHeight="1">
      <c r="A314" s="30" t="s">
        <v>275</v>
      </c>
      <c r="B314" s="13" t="s">
        <v>408</v>
      </c>
      <c r="C314" s="13" t="s">
        <v>161</v>
      </c>
      <c r="D314" s="13" t="s">
        <v>51</v>
      </c>
      <c r="E314" s="13" t="s">
        <v>426</v>
      </c>
      <c r="F314" s="61">
        <f>G314+H314</f>
        <v>38428.372</v>
      </c>
      <c r="G314" s="61">
        <v>0</v>
      </c>
      <c r="H314" s="61">
        <f>H315</f>
        <v>38428.372</v>
      </c>
    </row>
    <row r="315" spans="1:8" s="141" customFormat="1" ht="81" customHeight="1">
      <c r="A315" s="29" t="s">
        <v>413</v>
      </c>
      <c r="B315" s="26" t="s">
        <v>408</v>
      </c>
      <c r="C315" s="161" t="s">
        <v>161</v>
      </c>
      <c r="D315" s="26" t="s">
        <v>55</v>
      </c>
      <c r="E315" s="26" t="s">
        <v>426</v>
      </c>
      <c r="F315" s="62">
        <f t="shared" si="6"/>
        <v>38428.372</v>
      </c>
      <c r="G315" s="62">
        <f>G316</f>
        <v>0</v>
      </c>
      <c r="H315" s="62">
        <f>H316</f>
        <v>38428.372</v>
      </c>
    </row>
    <row r="316" spans="1:8" ht="51" customHeight="1">
      <c r="A316" s="25" t="s">
        <v>225</v>
      </c>
      <c r="B316" s="13" t="s">
        <v>408</v>
      </c>
      <c r="C316" s="13" t="s">
        <v>161</v>
      </c>
      <c r="D316" s="13" t="s">
        <v>55</v>
      </c>
      <c r="E316" s="13" t="s">
        <v>226</v>
      </c>
      <c r="F316" s="61">
        <f t="shared" si="6"/>
        <v>38428.372</v>
      </c>
      <c r="G316" s="61">
        <v>0</v>
      </c>
      <c r="H316" s="61">
        <f>H317</f>
        <v>38428.372</v>
      </c>
    </row>
    <row r="317" spans="1:8" ht="18.75" customHeight="1">
      <c r="A317" s="25" t="s">
        <v>227</v>
      </c>
      <c r="B317" s="13" t="s">
        <v>408</v>
      </c>
      <c r="C317" s="13" t="s">
        <v>161</v>
      </c>
      <c r="D317" s="13" t="s">
        <v>55</v>
      </c>
      <c r="E317" s="13" t="s">
        <v>304</v>
      </c>
      <c r="F317" s="61">
        <f>G317+H317</f>
        <v>38428.372</v>
      </c>
      <c r="G317" s="61">
        <v>0</v>
      </c>
      <c r="H317" s="61">
        <v>38428.372</v>
      </c>
    </row>
    <row r="318" spans="1:8" ht="53.25" customHeight="1" hidden="1">
      <c r="A318" s="25" t="s">
        <v>887</v>
      </c>
      <c r="B318" s="13" t="s">
        <v>408</v>
      </c>
      <c r="C318" s="13" t="s">
        <v>161</v>
      </c>
      <c r="D318" s="13" t="s">
        <v>20</v>
      </c>
      <c r="E318" s="13" t="s">
        <v>426</v>
      </c>
      <c r="F318" s="61">
        <f>G318+H318</f>
        <v>0</v>
      </c>
      <c r="G318" s="61">
        <f>G319</f>
        <v>0</v>
      </c>
      <c r="H318" s="61">
        <f>H319</f>
        <v>0</v>
      </c>
    </row>
    <row r="319" spans="1:8" ht="61.5" customHeight="1" hidden="1">
      <c r="A319" s="25" t="s">
        <v>886</v>
      </c>
      <c r="B319" s="13" t="s">
        <v>408</v>
      </c>
      <c r="C319" s="13" t="s">
        <v>161</v>
      </c>
      <c r="D319" s="13" t="s">
        <v>20</v>
      </c>
      <c r="E319" s="13" t="s">
        <v>226</v>
      </c>
      <c r="F319" s="61">
        <f>F321</f>
        <v>0</v>
      </c>
      <c r="G319" s="61">
        <f>G321</f>
        <v>0</v>
      </c>
      <c r="H319" s="61">
        <f>H321</f>
        <v>0</v>
      </c>
    </row>
    <row r="320" spans="1:8" ht="27.75" customHeight="1" hidden="1">
      <c r="A320" s="25" t="s">
        <v>225</v>
      </c>
      <c r="B320" s="13" t="s">
        <v>408</v>
      </c>
      <c r="C320" s="13" t="s">
        <v>161</v>
      </c>
      <c r="D320" s="13" t="s">
        <v>20</v>
      </c>
      <c r="E320" s="13" t="s">
        <v>226</v>
      </c>
      <c r="F320" s="61"/>
      <c r="G320" s="61"/>
      <c r="H320" s="61"/>
    </row>
    <row r="321" spans="1:8" ht="18.75" customHeight="1" hidden="1">
      <c r="A321" s="25" t="s">
        <v>227</v>
      </c>
      <c r="B321" s="13" t="s">
        <v>408</v>
      </c>
      <c r="C321" s="13" t="s">
        <v>161</v>
      </c>
      <c r="D321" s="13" t="s">
        <v>20</v>
      </c>
      <c r="E321" s="13" t="s">
        <v>304</v>
      </c>
      <c r="F321" s="61">
        <f>G321+H321</f>
        <v>0</v>
      </c>
      <c r="G321" s="61"/>
      <c r="H321" s="61">
        <v>0</v>
      </c>
    </row>
    <row r="322" spans="1:8" ht="36.75" customHeight="1">
      <c r="A322" s="25" t="s">
        <v>164</v>
      </c>
      <c r="B322" s="13" t="s">
        <v>408</v>
      </c>
      <c r="C322" s="13" t="s">
        <v>161</v>
      </c>
      <c r="D322" s="13" t="s">
        <v>19</v>
      </c>
      <c r="E322" s="13" t="s">
        <v>426</v>
      </c>
      <c r="F322" s="61">
        <f>G322</f>
        <v>900</v>
      </c>
      <c r="G322" s="61">
        <f>G323</f>
        <v>900</v>
      </c>
      <c r="H322" s="61"/>
    </row>
    <row r="323" spans="1:8" ht="30.75" customHeight="1">
      <c r="A323" s="25" t="s">
        <v>165</v>
      </c>
      <c r="B323" s="13" t="s">
        <v>408</v>
      </c>
      <c r="C323" s="13" t="s">
        <v>161</v>
      </c>
      <c r="D323" s="13" t="s">
        <v>20</v>
      </c>
      <c r="E323" s="13" t="s">
        <v>426</v>
      </c>
      <c r="F323" s="61">
        <f>G323</f>
        <v>900</v>
      </c>
      <c r="G323" s="61">
        <f>G324</f>
        <v>900</v>
      </c>
      <c r="H323" s="61"/>
    </row>
    <row r="324" spans="1:8" ht="36.75" customHeight="1">
      <c r="A324" s="126" t="s">
        <v>661</v>
      </c>
      <c r="B324" s="13" t="s">
        <v>408</v>
      </c>
      <c r="C324" s="13" t="s">
        <v>161</v>
      </c>
      <c r="D324" s="13" t="s">
        <v>602</v>
      </c>
      <c r="E324" s="13" t="s">
        <v>426</v>
      </c>
      <c r="F324" s="61">
        <f>G324+H324</f>
        <v>900</v>
      </c>
      <c r="G324" s="125">
        <f>G325</f>
        <v>900</v>
      </c>
      <c r="H324" s="61"/>
    </row>
    <row r="325" spans="1:8" ht="30" customHeight="1">
      <c r="A325" s="25" t="s">
        <v>225</v>
      </c>
      <c r="B325" s="13" t="s">
        <v>408</v>
      </c>
      <c r="C325" s="13" t="s">
        <v>161</v>
      </c>
      <c r="D325" s="13" t="s">
        <v>602</v>
      </c>
      <c r="E325" s="13" t="s">
        <v>226</v>
      </c>
      <c r="F325" s="61">
        <f>G325+H325</f>
        <v>900</v>
      </c>
      <c r="G325" s="125">
        <f>G326</f>
        <v>900</v>
      </c>
      <c r="H325" s="61"/>
    </row>
    <row r="326" spans="1:8" ht="18.75" customHeight="1">
      <c r="A326" s="25" t="s">
        <v>227</v>
      </c>
      <c r="B326" s="13" t="s">
        <v>408</v>
      </c>
      <c r="C326" s="13" t="s">
        <v>161</v>
      </c>
      <c r="D326" s="13" t="s">
        <v>602</v>
      </c>
      <c r="E326" s="13" t="s">
        <v>304</v>
      </c>
      <c r="F326" s="61">
        <f>G326+H326</f>
        <v>900</v>
      </c>
      <c r="G326" s="125">
        <v>900</v>
      </c>
      <c r="H326" s="61"/>
    </row>
    <row r="327" spans="1:11" ht="17.25" customHeight="1">
      <c r="A327" s="25" t="s">
        <v>462</v>
      </c>
      <c r="B327" s="13" t="s">
        <v>408</v>
      </c>
      <c r="C327" s="13" t="s">
        <v>163</v>
      </c>
      <c r="D327" s="13" t="s">
        <v>337</v>
      </c>
      <c r="E327" s="13" t="s">
        <v>426</v>
      </c>
      <c r="F327" s="61">
        <f>G327+H327</f>
        <v>258209.19303999998</v>
      </c>
      <c r="G327" s="61">
        <f>G328+G374</f>
        <v>66752.87004</v>
      </c>
      <c r="H327" s="61">
        <f>H328+H361+H371</f>
        <v>191456.323</v>
      </c>
      <c r="K327" s="146"/>
    </row>
    <row r="328" spans="1:8" s="141" customFormat="1" ht="48" customHeight="1">
      <c r="A328" s="29" t="s">
        <v>490</v>
      </c>
      <c r="B328" s="26" t="s">
        <v>408</v>
      </c>
      <c r="C328" s="26" t="s">
        <v>163</v>
      </c>
      <c r="D328" s="26" t="s">
        <v>38</v>
      </c>
      <c r="E328" s="26" t="s">
        <v>426</v>
      </c>
      <c r="F328" s="62">
        <f t="shared" si="6"/>
        <v>66752.87004</v>
      </c>
      <c r="G328" s="62">
        <f>G329+G345+G352</f>
        <v>66752.87004</v>
      </c>
      <c r="H328" s="62">
        <f>H329+H333+H345+H349+H352</f>
        <v>0</v>
      </c>
    </row>
    <row r="329" spans="1:8" ht="41.25" customHeight="1">
      <c r="A329" s="30" t="s">
        <v>494</v>
      </c>
      <c r="B329" s="13" t="s">
        <v>408</v>
      </c>
      <c r="C329" s="13" t="s">
        <v>163</v>
      </c>
      <c r="D329" s="13" t="s">
        <v>56</v>
      </c>
      <c r="E329" s="13" t="s">
        <v>426</v>
      </c>
      <c r="F329" s="61">
        <f t="shared" si="6"/>
        <v>65183.870039999994</v>
      </c>
      <c r="G329" s="61">
        <f>G330+G333+G342+G336+G339</f>
        <v>65183.870039999994</v>
      </c>
      <c r="H329" s="61">
        <f>H330</f>
        <v>0</v>
      </c>
    </row>
    <row r="330" spans="1:8" ht="34.5" customHeight="1">
      <c r="A330" s="25" t="s">
        <v>271</v>
      </c>
      <c r="B330" s="13" t="s">
        <v>408</v>
      </c>
      <c r="C330" s="13" t="s">
        <v>163</v>
      </c>
      <c r="D330" s="13" t="s">
        <v>57</v>
      </c>
      <c r="E330" s="13" t="s">
        <v>426</v>
      </c>
      <c r="F330" s="61">
        <f t="shared" si="6"/>
        <v>1451.813</v>
      </c>
      <c r="G330" s="61">
        <f>G331</f>
        <v>1451.813</v>
      </c>
      <c r="H330" s="61">
        <f>H332</f>
        <v>0</v>
      </c>
    </row>
    <row r="331" spans="1:8" ht="50.25" customHeight="1">
      <c r="A331" s="25" t="s">
        <v>225</v>
      </c>
      <c r="B331" s="13" t="s">
        <v>408</v>
      </c>
      <c r="C331" s="13" t="s">
        <v>163</v>
      </c>
      <c r="D331" s="13" t="s">
        <v>58</v>
      </c>
      <c r="E331" s="13" t="s">
        <v>226</v>
      </c>
      <c r="F331" s="61">
        <f t="shared" si="6"/>
        <v>1451.813</v>
      </c>
      <c r="G331" s="61">
        <f>G332</f>
        <v>1451.813</v>
      </c>
      <c r="H331" s="61"/>
    </row>
    <row r="332" spans="1:8" ht="19.5" customHeight="1">
      <c r="A332" s="25" t="s">
        <v>227</v>
      </c>
      <c r="B332" s="13" t="s">
        <v>408</v>
      </c>
      <c r="C332" s="13" t="s">
        <v>163</v>
      </c>
      <c r="D332" s="13" t="s">
        <v>58</v>
      </c>
      <c r="E332" s="13" t="s">
        <v>304</v>
      </c>
      <c r="F332" s="61">
        <f t="shared" si="6"/>
        <v>1451.813</v>
      </c>
      <c r="G332" s="61">
        <f>700+100+393.313+48.5+210</f>
        <v>1451.813</v>
      </c>
      <c r="H332" s="61"/>
    </row>
    <row r="333" spans="1:8" ht="95.25" customHeight="1">
      <c r="A333" s="25" t="s">
        <v>934</v>
      </c>
      <c r="B333" s="13" t="s">
        <v>408</v>
      </c>
      <c r="C333" s="13" t="s">
        <v>163</v>
      </c>
      <c r="D333" s="13" t="s">
        <v>57</v>
      </c>
      <c r="E333" s="13" t="s">
        <v>426</v>
      </c>
      <c r="F333" s="61">
        <f t="shared" si="6"/>
        <v>63134.57775999999</v>
      </c>
      <c r="G333" s="61">
        <f>G334</f>
        <v>63134.57775999999</v>
      </c>
      <c r="H333" s="61">
        <f>SUM(H334:H335)</f>
        <v>0</v>
      </c>
    </row>
    <row r="334" spans="1:8" ht="49.5" customHeight="1">
      <c r="A334" s="25" t="s">
        <v>225</v>
      </c>
      <c r="B334" s="13" t="s">
        <v>408</v>
      </c>
      <c r="C334" s="13" t="s">
        <v>163</v>
      </c>
      <c r="D334" s="13" t="s">
        <v>59</v>
      </c>
      <c r="E334" s="13" t="s">
        <v>226</v>
      </c>
      <c r="F334" s="61">
        <f t="shared" si="6"/>
        <v>63134.57775999999</v>
      </c>
      <c r="G334" s="61">
        <f>G335</f>
        <v>63134.57775999999</v>
      </c>
      <c r="H334" s="61"/>
    </row>
    <row r="335" spans="1:8" ht="19.5" customHeight="1">
      <c r="A335" s="25" t="s">
        <v>227</v>
      </c>
      <c r="B335" s="13" t="s">
        <v>408</v>
      </c>
      <c r="C335" s="13" t="s">
        <v>163</v>
      </c>
      <c r="D335" s="13" t="s">
        <v>59</v>
      </c>
      <c r="E335" s="13" t="s">
        <v>304</v>
      </c>
      <c r="F335" s="61">
        <f t="shared" si="6"/>
        <v>63134.57775999999</v>
      </c>
      <c r="G335" s="61">
        <f>53288.5+0.03321+7299.18953-2500+30.30302-287.5+4678.14+625.912</f>
        <v>63134.57775999999</v>
      </c>
      <c r="H335" s="61"/>
    </row>
    <row r="336" spans="1:8" ht="84" customHeight="1">
      <c r="A336" s="25" t="s">
        <v>721</v>
      </c>
      <c r="B336" s="13" t="s">
        <v>408</v>
      </c>
      <c r="C336" s="13" t="s">
        <v>163</v>
      </c>
      <c r="D336" s="13" t="s">
        <v>712</v>
      </c>
      <c r="E336" s="13" t="s">
        <v>426</v>
      </c>
      <c r="F336" s="61">
        <f>G336</f>
        <v>107</v>
      </c>
      <c r="G336" s="61">
        <f>G337</f>
        <v>107</v>
      </c>
      <c r="H336" s="61"/>
    </row>
    <row r="337" spans="1:8" ht="52.5" customHeight="1">
      <c r="A337" s="25" t="s">
        <v>225</v>
      </c>
      <c r="B337" s="13" t="s">
        <v>408</v>
      </c>
      <c r="C337" s="13" t="s">
        <v>163</v>
      </c>
      <c r="D337" s="13" t="s">
        <v>712</v>
      </c>
      <c r="E337" s="13" t="s">
        <v>226</v>
      </c>
      <c r="F337" s="61">
        <f>G337</f>
        <v>107</v>
      </c>
      <c r="G337" s="61">
        <f>G338</f>
        <v>107</v>
      </c>
      <c r="H337" s="61"/>
    </row>
    <row r="338" spans="1:8" ht="19.5" customHeight="1">
      <c r="A338" s="25" t="s">
        <v>227</v>
      </c>
      <c r="B338" s="13" t="s">
        <v>408</v>
      </c>
      <c r="C338" s="13" t="s">
        <v>163</v>
      </c>
      <c r="D338" s="13" t="s">
        <v>712</v>
      </c>
      <c r="E338" s="13" t="s">
        <v>304</v>
      </c>
      <c r="F338" s="61">
        <f>G338</f>
        <v>107</v>
      </c>
      <c r="G338" s="61">
        <f>76+100-69</f>
        <v>107</v>
      </c>
      <c r="H338" s="61"/>
    </row>
    <row r="339" spans="1:8" ht="50.25" customHeight="1">
      <c r="A339" s="25" t="s">
        <v>896</v>
      </c>
      <c r="B339" s="13" t="s">
        <v>408</v>
      </c>
      <c r="C339" s="13" t="s">
        <v>163</v>
      </c>
      <c r="D339" s="13" t="s">
        <v>890</v>
      </c>
      <c r="E339" s="13" t="s">
        <v>426</v>
      </c>
      <c r="F339" s="61">
        <f>G339+H339</f>
        <v>372</v>
      </c>
      <c r="G339" s="61">
        <f>G340</f>
        <v>372</v>
      </c>
      <c r="H339" s="61">
        <f>H340</f>
        <v>0</v>
      </c>
    </row>
    <row r="340" spans="1:8" ht="48.75" customHeight="1">
      <c r="A340" s="25" t="s">
        <v>225</v>
      </c>
      <c r="B340" s="13" t="s">
        <v>408</v>
      </c>
      <c r="C340" s="13" t="s">
        <v>163</v>
      </c>
      <c r="D340" s="13" t="s">
        <v>890</v>
      </c>
      <c r="E340" s="13" t="s">
        <v>226</v>
      </c>
      <c r="F340" s="61">
        <f>G340+H340</f>
        <v>372</v>
      </c>
      <c r="G340" s="61">
        <f>G341</f>
        <v>372</v>
      </c>
      <c r="H340" s="61">
        <f>H341</f>
        <v>0</v>
      </c>
    </row>
    <row r="341" spans="1:8" ht="19.5" customHeight="1">
      <c r="A341" s="25" t="s">
        <v>227</v>
      </c>
      <c r="B341" s="13" t="s">
        <v>408</v>
      </c>
      <c r="C341" s="13" t="s">
        <v>163</v>
      </c>
      <c r="D341" s="13" t="s">
        <v>890</v>
      </c>
      <c r="E341" s="13" t="s">
        <v>304</v>
      </c>
      <c r="F341" s="61">
        <f>G341+H341</f>
        <v>372</v>
      </c>
      <c r="G341" s="61">
        <v>372</v>
      </c>
      <c r="H341" s="61"/>
    </row>
    <row r="342" spans="1:8" ht="30" customHeight="1">
      <c r="A342" s="25" t="s">
        <v>826</v>
      </c>
      <c r="B342" s="13" t="s">
        <v>408</v>
      </c>
      <c r="C342" s="13" t="s">
        <v>163</v>
      </c>
      <c r="D342" s="5" t="s">
        <v>827</v>
      </c>
      <c r="E342" s="13" t="s">
        <v>426</v>
      </c>
      <c r="F342" s="61">
        <f t="shared" si="6"/>
        <v>118.47928</v>
      </c>
      <c r="G342" s="61">
        <f>G343</f>
        <v>118.47928</v>
      </c>
      <c r="H342" s="61">
        <f>H343</f>
        <v>0</v>
      </c>
    </row>
    <row r="343" spans="1:8" ht="51" customHeight="1">
      <c r="A343" s="25" t="s">
        <v>225</v>
      </c>
      <c r="B343" s="13" t="s">
        <v>408</v>
      </c>
      <c r="C343" s="13" t="s">
        <v>163</v>
      </c>
      <c r="D343" s="5" t="s">
        <v>827</v>
      </c>
      <c r="E343" s="13" t="s">
        <v>226</v>
      </c>
      <c r="F343" s="61">
        <f t="shared" si="6"/>
        <v>118.47928</v>
      </c>
      <c r="G343" s="61">
        <f>G344</f>
        <v>118.47928</v>
      </c>
      <c r="H343" s="61">
        <f>H344</f>
        <v>0</v>
      </c>
    </row>
    <row r="344" spans="1:8" ht="25.5" customHeight="1">
      <c r="A344" s="25" t="s">
        <v>227</v>
      </c>
      <c r="B344" s="13" t="s">
        <v>408</v>
      </c>
      <c r="C344" s="13" t="s">
        <v>163</v>
      </c>
      <c r="D344" s="5" t="s">
        <v>827</v>
      </c>
      <c r="E344" s="13" t="s">
        <v>304</v>
      </c>
      <c r="F344" s="61">
        <f t="shared" si="6"/>
        <v>118.47928</v>
      </c>
      <c r="G344" s="61">
        <f>50+68.47928</f>
        <v>118.47928</v>
      </c>
      <c r="H344" s="125">
        <v>0</v>
      </c>
    </row>
    <row r="345" spans="1:8" ht="33" customHeight="1">
      <c r="A345" s="30" t="s">
        <v>276</v>
      </c>
      <c r="B345" s="13" t="s">
        <v>408</v>
      </c>
      <c r="C345" s="13" t="s">
        <v>163</v>
      </c>
      <c r="D345" s="13" t="s">
        <v>60</v>
      </c>
      <c r="E345" s="13" t="s">
        <v>426</v>
      </c>
      <c r="F345" s="61">
        <f t="shared" si="6"/>
        <v>1569</v>
      </c>
      <c r="G345" s="61">
        <f>G346+G349</f>
        <v>1569</v>
      </c>
      <c r="H345" s="61">
        <f>H346+H349</f>
        <v>0</v>
      </c>
    </row>
    <row r="346" spans="1:8" ht="32.25" customHeight="1">
      <c r="A346" s="29" t="s">
        <v>277</v>
      </c>
      <c r="B346" s="13" t="s">
        <v>408</v>
      </c>
      <c r="C346" s="13" t="s">
        <v>163</v>
      </c>
      <c r="D346" s="13" t="s">
        <v>61</v>
      </c>
      <c r="E346" s="13" t="s">
        <v>426</v>
      </c>
      <c r="F346" s="61">
        <f aca="true" t="shared" si="9" ref="F346:F482">G346+H346</f>
        <v>250</v>
      </c>
      <c r="G346" s="61">
        <f>G347</f>
        <v>250</v>
      </c>
      <c r="H346" s="61">
        <f>H348</f>
        <v>0</v>
      </c>
    </row>
    <row r="347" spans="1:8" ht="48.75" customHeight="1">
      <c r="A347" s="25" t="s">
        <v>225</v>
      </c>
      <c r="B347" s="13" t="s">
        <v>408</v>
      </c>
      <c r="C347" s="13" t="s">
        <v>163</v>
      </c>
      <c r="D347" s="13" t="s">
        <v>62</v>
      </c>
      <c r="E347" s="13" t="s">
        <v>226</v>
      </c>
      <c r="F347" s="61">
        <f t="shared" si="9"/>
        <v>250</v>
      </c>
      <c r="G347" s="61">
        <f>G348</f>
        <v>250</v>
      </c>
      <c r="H347" s="61"/>
    </row>
    <row r="348" spans="1:8" ht="15.75" customHeight="1">
      <c r="A348" s="25" t="s">
        <v>227</v>
      </c>
      <c r="B348" s="13" t="s">
        <v>408</v>
      </c>
      <c r="C348" s="13" t="s">
        <v>163</v>
      </c>
      <c r="D348" s="13" t="s">
        <v>62</v>
      </c>
      <c r="E348" s="13" t="s">
        <v>304</v>
      </c>
      <c r="F348" s="61">
        <f t="shared" si="9"/>
        <v>250</v>
      </c>
      <c r="G348" s="61">
        <v>250</v>
      </c>
      <c r="H348" s="61"/>
    </row>
    <row r="349" spans="1:8" ht="33" customHeight="1">
      <c r="A349" s="29" t="s">
        <v>272</v>
      </c>
      <c r="B349" s="13" t="s">
        <v>408</v>
      </c>
      <c r="C349" s="13" t="s">
        <v>163</v>
      </c>
      <c r="D349" s="13" t="s">
        <v>61</v>
      </c>
      <c r="E349" s="13" t="s">
        <v>426</v>
      </c>
      <c r="F349" s="61">
        <f t="shared" si="9"/>
        <v>1319</v>
      </c>
      <c r="G349" s="61">
        <f>G350</f>
        <v>1319</v>
      </c>
      <c r="H349" s="61">
        <f>H351</f>
        <v>0</v>
      </c>
    </row>
    <row r="350" spans="1:8" ht="50.25" customHeight="1">
      <c r="A350" s="25" t="s">
        <v>225</v>
      </c>
      <c r="B350" s="13" t="s">
        <v>408</v>
      </c>
      <c r="C350" s="13" t="s">
        <v>163</v>
      </c>
      <c r="D350" s="13" t="s">
        <v>63</v>
      </c>
      <c r="E350" s="13" t="s">
        <v>226</v>
      </c>
      <c r="F350" s="61">
        <f t="shared" si="9"/>
        <v>1319</v>
      </c>
      <c r="G350" s="61">
        <f>G351</f>
        <v>1319</v>
      </c>
      <c r="H350" s="61"/>
    </row>
    <row r="351" spans="1:8" ht="21.75" customHeight="1">
      <c r="A351" s="25" t="s">
        <v>227</v>
      </c>
      <c r="B351" s="13" t="s">
        <v>408</v>
      </c>
      <c r="C351" s="13" t="s">
        <v>163</v>
      </c>
      <c r="D351" s="13" t="s">
        <v>63</v>
      </c>
      <c r="E351" s="13" t="s">
        <v>304</v>
      </c>
      <c r="F351" s="61">
        <f t="shared" si="9"/>
        <v>1319</v>
      </c>
      <c r="G351" s="61">
        <f>750+500+69</f>
        <v>1319</v>
      </c>
      <c r="H351" s="61"/>
    </row>
    <row r="352" spans="1:8" ht="33" customHeight="1" hidden="1">
      <c r="A352" s="30" t="s">
        <v>306</v>
      </c>
      <c r="B352" s="13" t="s">
        <v>408</v>
      </c>
      <c r="C352" s="13" t="s">
        <v>163</v>
      </c>
      <c r="D352" s="13" t="s">
        <v>64</v>
      </c>
      <c r="E352" s="13" t="s">
        <v>426</v>
      </c>
      <c r="F352" s="61">
        <f t="shared" si="9"/>
        <v>0</v>
      </c>
      <c r="G352" s="61">
        <f>G353</f>
        <v>0</v>
      </c>
      <c r="H352" s="61">
        <f>H353+H356+H358</f>
        <v>0</v>
      </c>
    </row>
    <row r="353" spans="1:8" ht="33.75" customHeight="1" hidden="1">
      <c r="A353" s="25" t="s">
        <v>140</v>
      </c>
      <c r="B353" s="13" t="s">
        <v>408</v>
      </c>
      <c r="C353" s="13" t="s">
        <v>163</v>
      </c>
      <c r="D353" s="13" t="s">
        <v>65</v>
      </c>
      <c r="E353" s="13" t="s">
        <v>426</v>
      </c>
      <c r="F353" s="61">
        <f t="shared" si="9"/>
        <v>0</v>
      </c>
      <c r="G353" s="61">
        <f>G354</f>
        <v>0</v>
      </c>
      <c r="H353" s="61"/>
    </row>
    <row r="354" spans="1:8" ht="50.25" customHeight="1" hidden="1">
      <c r="A354" s="25" t="s">
        <v>225</v>
      </c>
      <c r="B354" s="13" t="s">
        <v>408</v>
      </c>
      <c r="C354" s="13" t="s">
        <v>163</v>
      </c>
      <c r="D354" s="13" t="s">
        <v>65</v>
      </c>
      <c r="E354" s="13" t="s">
        <v>226</v>
      </c>
      <c r="F354" s="61">
        <f t="shared" si="9"/>
        <v>0</v>
      </c>
      <c r="G354" s="61">
        <f>G355+G356+G357+G358</f>
        <v>0</v>
      </c>
      <c r="H354" s="61"/>
    </row>
    <row r="355" spans="1:8" ht="35.25" customHeight="1" hidden="1">
      <c r="A355" s="25" t="s">
        <v>135</v>
      </c>
      <c r="B355" s="13" t="s">
        <v>408</v>
      </c>
      <c r="C355" s="13" t="s">
        <v>163</v>
      </c>
      <c r="D355" s="13" t="s">
        <v>66</v>
      </c>
      <c r="E355" s="13" t="s">
        <v>304</v>
      </c>
      <c r="F355" s="61">
        <f t="shared" si="9"/>
        <v>0</v>
      </c>
      <c r="G355" s="61"/>
      <c r="H355" s="61"/>
    </row>
    <row r="356" spans="1:8" ht="31.5" hidden="1">
      <c r="A356" s="25" t="s">
        <v>136</v>
      </c>
      <c r="B356" s="13" t="s">
        <v>408</v>
      </c>
      <c r="C356" s="13" t="s">
        <v>163</v>
      </c>
      <c r="D356" s="13" t="s">
        <v>67</v>
      </c>
      <c r="E356" s="13" t="s">
        <v>304</v>
      </c>
      <c r="F356" s="61">
        <f t="shared" si="9"/>
        <v>0</v>
      </c>
      <c r="G356" s="61"/>
      <c r="H356" s="145"/>
    </row>
    <row r="357" spans="1:8" ht="31.5" customHeight="1" hidden="1">
      <c r="A357" s="25" t="s">
        <v>228</v>
      </c>
      <c r="B357" s="13" t="s">
        <v>408</v>
      </c>
      <c r="C357" s="13" t="s">
        <v>163</v>
      </c>
      <c r="D357" s="13" t="s">
        <v>68</v>
      </c>
      <c r="E357" s="13" t="s">
        <v>304</v>
      </c>
      <c r="F357" s="61">
        <f t="shared" si="9"/>
        <v>0</v>
      </c>
      <c r="G357" s="61"/>
      <c r="H357" s="61"/>
    </row>
    <row r="358" spans="1:8" ht="34.5" customHeight="1" hidden="1">
      <c r="A358" s="25" t="s">
        <v>229</v>
      </c>
      <c r="B358" s="13" t="s">
        <v>408</v>
      </c>
      <c r="C358" s="13" t="s">
        <v>163</v>
      </c>
      <c r="D358" s="13" t="s">
        <v>69</v>
      </c>
      <c r="E358" s="13" t="s">
        <v>304</v>
      </c>
      <c r="F358" s="61">
        <f t="shared" si="9"/>
        <v>0</v>
      </c>
      <c r="G358" s="61"/>
      <c r="H358" s="61"/>
    </row>
    <row r="359" spans="1:8" ht="48.75" customHeight="1">
      <c r="A359" s="29" t="s">
        <v>491</v>
      </c>
      <c r="B359" s="26" t="s">
        <v>408</v>
      </c>
      <c r="C359" s="26" t="s">
        <v>163</v>
      </c>
      <c r="D359" s="26" t="s">
        <v>38</v>
      </c>
      <c r="E359" s="26" t="s">
        <v>426</v>
      </c>
      <c r="F359" s="61">
        <f t="shared" si="9"/>
        <v>179405.323</v>
      </c>
      <c r="G359" s="61">
        <f>G360</f>
        <v>0</v>
      </c>
      <c r="H359" s="61">
        <f>H360</f>
        <v>179405.323</v>
      </c>
    </row>
    <row r="360" spans="1:8" ht="32.25" customHeight="1">
      <c r="A360" s="30" t="s">
        <v>494</v>
      </c>
      <c r="B360" s="13" t="s">
        <v>408</v>
      </c>
      <c r="C360" s="13" t="s">
        <v>163</v>
      </c>
      <c r="D360" s="13" t="s">
        <v>56</v>
      </c>
      <c r="E360" s="13" t="s">
        <v>426</v>
      </c>
      <c r="F360" s="61">
        <f t="shared" si="9"/>
        <v>179405.323</v>
      </c>
      <c r="G360" s="61">
        <f>G361</f>
        <v>0</v>
      </c>
      <c r="H360" s="61">
        <f>H361</f>
        <v>179405.323</v>
      </c>
    </row>
    <row r="361" spans="1:8" s="141" customFormat="1" ht="16.5" customHeight="1">
      <c r="A361" s="29" t="s">
        <v>182</v>
      </c>
      <c r="B361" s="26" t="s">
        <v>408</v>
      </c>
      <c r="C361" s="26" t="s">
        <v>163</v>
      </c>
      <c r="D361" s="26" t="s">
        <v>38</v>
      </c>
      <c r="E361" s="26" t="s">
        <v>426</v>
      </c>
      <c r="F361" s="62">
        <f t="shared" si="9"/>
        <v>179405.323</v>
      </c>
      <c r="G361" s="62">
        <f>G362+G368</f>
        <v>0</v>
      </c>
      <c r="H361" s="62">
        <f>H362+H365+H368</f>
        <v>179405.323</v>
      </c>
    </row>
    <row r="362" spans="1:8" s="141" customFormat="1" ht="47.25" customHeight="1">
      <c r="A362" s="29" t="s">
        <v>606</v>
      </c>
      <c r="B362" s="26" t="s">
        <v>408</v>
      </c>
      <c r="C362" s="26" t="s">
        <v>163</v>
      </c>
      <c r="D362" s="26" t="s">
        <v>56</v>
      </c>
      <c r="E362" s="26" t="s">
        <v>426</v>
      </c>
      <c r="F362" s="62">
        <f t="shared" si="9"/>
        <v>7270.9</v>
      </c>
      <c r="G362" s="62">
        <f>G363</f>
        <v>0</v>
      </c>
      <c r="H362" s="62">
        <f>H363</f>
        <v>7270.9</v>
      </c>
    </row>
    <row r="363" spans="1:8" ht="49.5" customHeight="1">
      <c r="A363" s="25" t="s">
        <v>225</v>
      </c>
      <c r="B363" s="13" t="s">
        <v>408</v>
      </c>
      <c r="C363" s="13" t="s">
        <v>163</v>
      </c>
      <c r="D363" s="13" t="s">
        <v>607</v>
      </c>
      <c r="E363" s="13" t="s">
        <v>226</v>
      </c>
      <c r="F363" s="61">
        <f t="shared" si="9"/>
        <v>7270.9</v>
      </c>
      <c r="G363" s="61"/>
      <c r="H363" s="61">
        <f>H364</f>
        <v>7270.9</v>
      </c>
    </row>
    <row r="364" spans="1:8" ht="18" customHeight="1">
      <c r="A364" s="25" t="s">
        <v>227</v>
      </c>
      <c r="B364" s="13" t="s">
        <v>408</v>
      </c>
      <c r="C364" s="13" t="s">
        <v>163</v>
      </c>
      <c r="D364" s="13" t="s">
        <v>607</v>
      </c>
      <c r="E364" s="13" t="s">
        <v>304</v>
      </c>
      <c r="F364" s="61">
        <f t="shared" si="9"/>
        <v>7270.9</v>
      </c>
      <c r="G364" s="61"/>
      <c r="H364" s="61">
        <v>7270.9</v>
      </c>
    </row>
    <row r="365" spans="1:8" ht="80.25" customHeight="1">
      <c r="A365" s="29" t="s">
        <v>809</v>
      </c>
      <c r="B365" s="26" t="s">
        <v>408</v>
      </c>
      <c r="C365" s="26" t="s">
        <v>163</v>
      </c>
      <c r="D365" s="26" t="s">
        <v>810</v>
      </c>
      <c r="E365" s="26" t="s">
        <v>426</v>
      </c>
      <c r="F365" s="62">
        <f>G365+H365</f>
        <v>10876.6</v>
      </c>
      <c r="G365" s="62">
        <v>0</v>
      </c>
      <c r="H365" s="62">
        <f>H366</f>
        <v>10876.6</v>
      </c>
    </row>
    <row r="366" spans="1:8" ht="45" customHeight="1">
      <c r="A366" s="25" t="s">
        <v>225</v>
      </c>
      <c r="B366" s="13" t="s">
        <v>408</v>
      </c>
      <c r="C366" s="13" t="s">
        <v>163</v>
      </c>
      <c r="D366" s="13" t="s">
        <v>810</v>
      </c>
      <c r="E366" s="13" t="s">
        <v>226</v>
      </c>
      <c r="F366" s="61">
        <f>G366+H366</f>
        <v>10876.6</v>
      </c>
      <c r="G366" s="61"/>
      <c r="H366" s="61">
        <f>H367</f>
        <v>10876.6</v>
      </c>
    </row>
    <row r="367" spans="1:8" ht="15" customHeight="1">
      <c r="A367" s="25" t="s">
        <v>227</v>
      </c>
      <c r="B367" s="13" t="s">
        <v>408</v>
      </c>
      <c r="C367" s="13" t="s">
        <v>163</v>
      </c>
      <c r="D367" s="13" t="s">
        <v>810</v>
      </c>
      <c r="E367" s="13" t="s">
        <v>304</v>
      </c>
      <c r="F367" s="61">
        <f>G367+H367</f>
        <v>10876.6</v>
      </c>
      <c r="G367" s="61"/>
      <c r="H367" s="61">
        <f>18147.5-7270.9</f>
        <v>10876.6</v>
      </c>
    </row>
    <row r="368" spans="1:8" s="141" customFormat="1" ht="80.25" customHeight="1">
      <c r="A368" s="29" t="s">
        <v>197</v>
      </c>
      <c r="B368" s="26" t="s">
        <v>408</v>
      </c>
      <c r="C368" s="26" t="s">
        <v>163</v>
      </c>
      <c r="D368" s="26" t="s">
        <v>56</v>
      </c>
      <c r="E368" s="26" t="s">
        <v>426</v>
      </c>
      <c r="F368" s="62">
        <f t="shared" si="9"/>
        <v>161257.823</v>
      </c>
      <c r="G368" s="62">
        <f>G369</f>
        <v>0</v>
      </c>
      <c r="H368" s="62">
        <f>H369</f>
        <v>161257.823</v>
      </c>
    </row>
    <row r="369" spans="1:8" ht="48.75" customHeight="1">
      <c r="A369" s="25" t="s">
        <v>225</v>
      </c>
      <c r="B369" s="13" t="s">
        <v>408</v>
      </c>
      <c r="C369" s="13" t="s">
        <v>163</v>
      </c>
      <c r="D369" s="13" t="s">
        <v>70</v>
      </c>
      <c r="E369" s="13" t="s">
        <v>226</v>
      </c>
      <c r="F369" s="61">
        <f t="shared" si="9"/>
        <v>161257.823</v>
      </c>
      <c r="G369" s="61"/>
      <c r="H369" s="61">
        <f>H370</f>
        <v>161257.823</v>
      </c>
    </row>
    <row r="370" spans="1:8" ht="17.25" customHeight="1">
      <c r="A370" s="25" t="s">
        <v>227</v>
      </c>
      <c r="B370" s="13" t="s">
        <v>408</v>
      </c>
      <c r="C370" s="13" t="s">
        <v>163</v>
      </c>
      <c r="D370" s="13" t="s">
        <v>70</v>
      </c>
      <c r="E370" s="13" t="s">
        <v>304</v>
      </c>
      <c r="F370" s="61">
        <f t="shared" si="9"/>
        <v>161257.823</v>
      </c>
      <c r="G370" s="61"/>
      <c r="H370" s="61">
        <v>161257.823</v>
      </c>
    </row>
    <row r="371" spans="1:8" ht="97.5" customHeight="1">
      <c r="A371" s="29" t="s">
        <v>803</v>
      </c>
      <c r="B371" s="26" t="s">
        <v>408</v>
      </c>
      <c r="C371" s="26" t="s">
        <v>163</v>
      </c>
      <c r="D371" s="26" t="s">
        <v>811</v>
      </c>
      <c r="E371" s="26" t="s">
        <v>426</v>
      </c>
      <c r="F371" s="62">
        <f aca="true" t="shared" si="10" ref="F371:F378">G371+H371</f>
        <v>12051</v>
      </c>
      <c r="G371" s="62">
        <v>0</v>
      </c>
      <c r="H371" s="62">
        <f>H372</f>
        <v>12051</v>
      </c>
    </row>
    <row r="372" spans="1:8" ht="45.75" customHeight="1">
      <c r="A372" s="25" t="s">
        <v>225</v>
      </c>
      <c r="B372" s="13" t="s">
        <v>408</v>
      </c>
      <c r="C372" s="13" t="s">
        <v>163</v>
      </c>
      <c r="D372" s="13" t="s">
        <v>811</v>
      </c>
      <c r="E372" s="13" t="s">
        <v>226</v>
      </c>
      <c r="F372" s="61">
        <f t="shared" si="10"/>
        <v>12051</v>
      </c>
      <c r="G372" s="61"/>
      <c r="H372" s="61">
        <f>H373</f>
        <v>12051</v>
      </c>
    </row>
    <row r="373" spans="1:8" ht="17.25" customHeight="1">
      <c r="A373" s="25" t="s">
        <v>227</v>
      </c>
      <c r="B373" s="13" t="s">
        <v>408</v>
      </c>
      <c r="C373" s="13" t="s">
        <v>163</v>
      </c>
      <c r="D373" s="13" t="s">
        <v>811</v>
      </c>
      <c r="E373" s="13" t="s">
        <v>304</v>
      </c>
      <c r="F373" s="61">
        <f t="shared" si="10"/>
        <v>12051</v>
      </c>
      <c r="G373" s="61"/>
      <c r="H373" s="61">
        <v>12051</v>
      </c>
    </row>
    <row r="374" spans="1:8" ht="60" customHeight="1" hidden="1">
      <c r="A374" s="25" t="s">
        <v>888</v>
      </c>
      <c r="B374" s="13" t="s">
        <v>408</v>
      </c>
      <c r="C374" s="13" t="s">
        <v>163</v>
      </c>
      <c r="D374" s="11" t="s">
        <v>20</v>
      </c>
      <c r="E374" s="26" t="s">
        <v>426</v>
      </c>
      <c r="F374" s="61">
        <f t="shared" si="10"/>
        <v>0</v>
      </c>
      <c r="G374" s="61">
        <f>G375</f>
        <v>0</v>
      </c>
      <c r="H374" s="61">
        <f>H375</f>
        <v>0</v>
      </c>
    </row>
    <row r="375" spans="1:8" ht="72" customHeight="1" hidden="1">
      <c r="A375" s="25" t="s">
        <v>886</v>
      </c>
      <c r="B375" s="13" t="s">
        <v>408</v>
      </c>
      <c r="C375" s="13" t="s">
        <v>163</v>
      </c>
      <c r="D375" s="11" t="s">
        <v>20</v>
      </c>
      <c r="E375" s="13" t="s">
        <v>226</v>
      </c>
      <c r="F375" s="61">
        <f t="shared" si="10"/>
        <v>0</v>
      </c>
      <c r="G375" s="61">
        <f>G376</f>
        <v>0</v>
      </c>
      <c r="H375" s="61">
        <f>H376</f>
        <v>0</v>
      </c>
    </row>
    <row r="376" spans="1:8" ht="17.25" customHeight="1" hidden="1">
      <c r="A376" s="25" t="s">
        <v>227</v>
      </c>
      <c r="B376" s="13" t="s">
        <v>408</v>
      </c>
      <c r="C376" s="13" t="s">
        <v>163</v>
      </c>
      <c r="D376" s="11" t="s">
        <v>20</v>
      </c>
      <c r="E376" s="13" t="s">
        <v>304</v>
      </c>
      <c r="F376" s="61">
        <f t="shared" si="10"/>
        <v>0</v>
      </c>
      <c r="G376" s="61">
        <v>0</v>
      </c>
      <c r="H376" s="61"/>
    </row>
    <row r="377" spans="1:10" ht="20.25" customHeight="1">
      <c r="A377" s="29" t="s">
        <v>608</v>
      </c>
      <c r="B377" s="26" t="s">
        <v>408</v>
      </c>
      <c r="C377" s="26" t="s">
        <v>168</v>
      </c>
      <c r="D377" s="26" t="s">
        <v>337</v>
      </c>
      <c r="E377" s="26" t="s">
        <v>426</v>
      </c>
      <c r="F377" s="62">
        <f t="shared" si="10"/>
        <v>28217.679999999997</v>
      </c>
      <c r="G377" s="62">
        <f>G378</f>
        <v>28217.679999999997</v>
      </c>
      <c r="H377" s="62">
        <f>H378</f>
        <v>0</v>
      </c>
      <c r="J377" s="146"/>
    </row>
    <row r="378" spans="1:9" s="141" customFormat="1" ht="48.75" customHeight="1">
      <c r="A378" s="29" t="s">
        <v>491</v>
      </c>
      <c r="B378" s="26" t="s">
        <v>408</v>
      </c>
      <c r="C378" s="26" t="s">
        <v>168</v>
      </c>
      <c r="D378" s="26" t="s">
        <v>38</v>
      </c>
      <c r="E378" s="26" t="s">
        <v>426</v>
      </c>
      <c r="F378" s="62">
        <f t="shared" si="10"/>
        <v>28217.679999999997</v>
      </c>
      <c r="G378" s="62">
        <f>G379+G388</f>
        <v>28217.679999999997</v>
      </c>
      <c r="H378" s="62">
        <f>H388</f>
        <v>0</v>
      </c>
      <c r="I378" s="147"/>
    </row>
    <row r="379" spans="1:8" ht="33.75" customHeight="1">
      <c r="A379" s="30" t="s">
        <v>306</v>
      </c>
      <c r="B379" s="13" t="s">
        <v>408</v>
      </c>
      <c r="C379" s="13" t="s">
        <v>168</v>
      </c>
      <c r="D379" s="13" t="s">
        <v>64</v>
      </c>
      <c r="E379" s="13" t="s">
        <v>426</v>
      </c>
      <c r="F379" s="61">
        <f t="shared" si="9"/>
        <v>28217.679999999997</v>
      </c>
      <c r="G379" s="61">
        <f>G380</f>
        <v>28217.679999999997</v>
      </c>
      <c r="H379" s="61"/>
    </row>
    <row r="380" spans="1:8" ht="30" customHeight="1">
      <c r="A380" s="25" t="s">
        <v>140</v>
      </c>
      <c r="B380" s="13" t="s">
        <v>408</v>
      </c>
      <c r="C380" s="13" t="s">
        <v>168</v>
      </c>
      <c r="D380" s="13" t="s">
        <v>65</v>
      </c>
      <c r="E380" s="13" t="s">
        <v>426</v>
      </c>
      <c r="F380" s="61">
        <f t="shared" si="9"/>
        <v>28217.679999999997</v>
      </c>
      <c r="G380" s="61">
        <f>G381</f>
        <v>28217.679999999997</v>
      </c>
      <c r="H380" s="61"/>
    </row>
    <row r="381" spans="1:8" ht="52.5" customHeight="1">
      <c r="A381" s="25" t="s">
        <v>225</v>
      </c>
      <c r="B381" s="13" t="s">
        <v>408</v>
      </c>
      <c r="C381" s="13" t="s">
        <v>168</v>
      </c>
      <c r="D381" s="13" t="s">
        <v>65</v>
      </c>
      <c r="E381" s="13" t="s">
        <v>226</v>
      </c>
      <c r="F381" s="61">
        <f t="shared" si="9"/>
        <v>28217.679999999997</v>
      </c>
      <c r="G381" s="61">
        <f>G382+G383+G385+G386+G387+G384+G397</f>
        <v>28217.679999999997</v>
      </c>
      <c r="H381" s="61"/>
    </row>
    <row r="382" spans="1:8" ht="36" customHeight="1">
      <c r="A382" s="25" t="s">
        <v>912</v>
      </c>
      <c r="B382" s="13" t="s">
        <v>408</v>
      </c>
      <c r="C382" s="13" t="s">
        <v>168</v>
      </c>
      <c r="D382" s="13" t="s">
        <v>913</v>
      </c>
      <c r="E382" s="13" t="s">
        <v>304</v>
      </c>
      <c r="F382" s="61">
        <f>G382</f>
        <v>800</v>
      </c>
      <c r="G382" s="61">
        <v>800</v>
      </c>
      <c r="H382" s="61"/>
    </row>
    <row r="383" spans="1:9" ht="34.5" customHeight="1">
      <c r="A383" s="25" t="s">
        <v>135</v>
      </c>
      <c r="B383" s="13" t="s">
        <v>408</v>
      </c>
      <c r="C383" s="13" t="s">
        <v>168</v>
      </c>
      <c r="D383" s="13" t="s">
        <v>66</v>
      </c>
      <c r="E383" s="13" t="s">
        <v>304</v>
      </c>
      <c r="F383" s="61">
        <f t="shared" si="9"/>
        <v>5301.3</v>
      </c>
      <c r="G383" s="61">
        <f>3819.1+1302.2+180</f>
        <v>5301.3</v>
      </c>
      <c r="H383" s="61"/>
      <c r="I383" s="146"/>
    </row>
    <row r="384" spans="1:9" ht="47.25" customHeight="1">
      <c r="A384" s="25" t="s">
        <v>894</v>
      </c>
      <c r="B384" s="13" t="s">
        <v>408</v>
      </c>
      <c r="C384" s="13" t="s">
        <v>168</v>
      </c>
      <c r="D384" s="13" t="s">
        <v>893</v>
      </c>
      <c r="E384" s="13" t="s">
        <v>304</v>
      </c>
      <c r="F384" s="61">
        <f t="shared" si="9"/>
        <v>48</v>
      </c>
      <c r="G384" s="61">
        <v>48</v>
      </c>
      <c r="H384" s="61"/>
      <c r="I384" s="146"/>
    </row>
    <row r="385" spans="1:9" ht="31.5" customHeight="1">
      <c r="A385" s="25" t="s">
        <v>929</v>
      </c>
      <c r="B385" s="13" t="s">
        <v>408</v>
      </c>
      <c r="C385" s="13" t="s">
        <v>168</v>
      </c>
      <c r="D385" s="13" t="s">
        <v>67</v>
      </c>
      <c r="E385" s="13" t="s">
        <v>304</v>
      </c>
      <c r="F385" s="61">
        <f t="shared" si="9"/>
        <v>11530.98</v>
      </c>
      <c r="G385" s="61">
        <f>8578.88+2555.1+617-220</f>
        <v>11530.98</v>
      </c>
      <c r="H385" s="61"/>
      <c r="I385" s="146"/>
    </row>
    <row r="386" spans="1:9" ht="36" customHeight="1">
      <c r="A386" s="25" t="s">
        <v>228</v>
      </c>
      <c r="B386" s="13" t="s">
        <v>408</v>
      </c>
      <c r="C386" s="13" t="s">
        <v>168</v>
      </c>
      <c r="D386" s="13" t="s">
        <v>68</v>
      </c>
      <c r="E386" s="13" t="s">
        <v>304</v>
      </c>
      <c r="F386" s="61">
        <f t="shared" si="9"/>
        <v>7071.46</v>
      </c>
      <c r="G386" s="61">
        <f>4998.16+1893.3+180</f>
        <v>7071.46</v>
      </c>
      <c r="H386" s="61"/>
      <c r="I386" s="146"/>
    </row>
    <row r="387" spans="1:9" ht="34.5" customHeight="1">
      <c r="A387" s="25" t="s">
        <v>229</v>
      </c>
      <c r="B387" s="13" t="s">
        <v>408</v>
      </c>
      <c r="C387" s="13" t="s">
        <v>168</v>
      </c>
      <c r="D387" s="13" t="s">
        <v>69</v>
      </c>
      <c r="E387" s="13" t="s">
        <v>304</v>
      </c>
      <c r="F387" s="61">
        <f t="shared" si="9"/>
        <v>3245.9399999999996</v>
      </c>
      <c r="G387" s="61">
        <f>2235.64+910.3+100</f>
        <v>3245.9399999999996</v>
      </c>
      <c r="H387" s="61"/>
      <c r="I387" s="146"/>
    </row>
    <row r="388" spans="1:9" ht="80.25" customHeight="1" hidden="1">
      <c r="A388" s="40" t="s">
        <v>629</v>
      </c>
      <c r="B388" s="13" t="s">
        <v>408</v>
      </c>
      <c r="C388" s="13" t="s">
        <v>168</v>
      </c>
      <c r="D388" s="13" t="s">
        <v>913</v>
      </c>
      <c r="E388" s="56" t="s">
        <v>426</v>
      </c>
      <c r="F388" s="108">
        <f>G388+H388</f>
        <v>0</v>
      </c>
      <c r="G388" s="108">
        <f>G389+G391</f>
        <v>0</v>
      </c>
      <c r="H388" s="108">
        <f>H389</f>
        <v>0</v>
      </c>
      <c r="I388" s="146"/>
    </row>
    <row r="389" spans="1:9" ht="88.5" customHeight="1" hidden="1">
      <c r="A389" s="25" t="s">
        <v>647</v>
      </c>
      <c r="B389" s="13" t="s">
        <v>408</v>
      </c>
      <c r="C389" s="13" t="s">
        <v>168</v>
      </c>
      <c r="D389" s="13" t="s">
        <v>931</v>
      </c>
      <c r="E389" s="13" t="s">
        <v>426</v>
      </c>
      <c r="F389" s="61">
        <f>G389+H389</f>
        <v>0</v>
      </c>
      <c r="G389" s="61">
        <f>G390</f>
        <v>0</v>
      </c>
      <c r="H389" s="61">
        <f>H390</f>
        <v>0</v>
      </c>
      <c r="I389" s="146"/>
    </row>
    <row r="390" spans="1:9" ht="23.25" customHeight="1" hidden="1">
      <c r="A390" s="25" t="s">
        <v>227</v>
      </c>
      <c r="B390" s="13" t="s">
        <v>408</v>
      </c>
      <c r="C390" s="13" t="s">
        <v>168</v>
      </c>
      <c r="D390" s="13" t="s">
        <v>932</v>
      </c>
      <c r="E390" s="13" t="s">
        <v>226</v>
      </c>
      <c r="F390" s="61">
        <f>G390+H390</f>
        <v>0</v>
      </c>
      <c r="G390" s="61">
        <v>0</v>
      </c>
      <c r="H390" s="61">
        <v>0</v>
      </c>
      <c r="I390" s="146"/>
    </row>
    <row r="391" spans="1:9" ht="111.75" customHeight="1" hidden="1">
      <c r="A391" s="25" t="s">
        <v>630</v>
      </c>
      <c r="B391" s="13" t="s">
        <v>408</v>
      </c>
      <c r="C391" s="13" t="s">
        <v>168</v>
      </c>
      <c r="D391" s="13" t="s">
        <v>933</v>
      </c>
      <c r="E391" s="13" t="s">
        <v>226</v>
      </c>
      <c r="F391" s="61">
        <f aca="true" t="shared" si="11" ref="F391:F396">G391</f>
        <v>0</v>
      </c>
      <c r="G391" s="61">
        <f>G392</f>
        <v>0</v>
      </c>
      <c r="H391" s="61">
        <f>H392</f>
        <v>0</v>
      </c>
      <c r="I391" s="146"/>
    </row>
    <row r="392" spans="1:9" ht="24" customHeight="1" hidden="1">
      <c r="A392" s="25" t="s">
        <v>227</v>
      </c>
      <c r="B392" s="13" t="s">
        <v>408</v>
      </c>
      <c r="C392" s="13" t="s">
        <v>168</v>
      </c>
      <c r="D392" s="13" t="s">
        <v>936</v>
      </c>
      <c r="E392" s="13" t="s">
        <v>304</v>
      </c>
      <c r="F392" s="61">
        <f t="shared" si="11"/>
        <v>0</v>
      </c>
      <c r="G392" s="61">
        <v>0</v>
      </c>
      <c r="H392" s="61">
        <v>0</v>
      </c>
      <c r="I392" s="146"/>
    </row>
    <row r="393" spans="1:9" ht="1.5" customHeight="1" hidden="1">
      <c r="A393" s="40" t="s">
        <v>600</v>
      </c>
      <c r="B393" s="13" t="s">
        <v>408</v>
      </c>
      <c r="C393" s="13" t="s">
        <v>168</v>
      </c>
      <c r="D393" s="13" t="s">
        <v>937</v>
      </c>
      <c r="E393" s="56" t="s">
        <v>426</v>
      </c>
      <c r="F393" s="108">
        <f t="shared" si="11"/>
        <v>0</v>
      </c>
      <c r="G393" s="108">
        <f>G394</f>
        <v>0</v>
      </c>
      <c r="H393" s="108"/>
      <c r="I393" s="146"/>
    </row>
    <row r="394" spans="1:9" ht="34.5" customHeight="1" hidden="1">
      <c r="A394" s="25" t="s">
        <v>609</v>
      </c>
      <c r="B394" s="13" t="s">
        <v>408</v>
      </c>
      <c r="C394" s="13" t="s">
        <v>168</v>
      </c>
      <c r="D394" s="13" t="s">
        <v>938</v>
      </c>
      <c r="E394" s="13" t="s">
        <v>426</v>
      </c>
      <c r="F394" s="61">
        <f t="shared" si="11"/>
        <v>0</v>
      </c>
      <c r="G394" s="61">
        <f>G395</f>
        <v>0</v>
      </c>
      <c r="H394" s="61"/>
      <c r="I394" s="146"/>
    </row>
    <row r="395" spans="1:9" ht="47.25" customHeight="1" hidden="1">
      <c r="A395" s="25" t="s">
        <v>225</v>
      </c>
      <c r="B395" s="13" t="s">
        <v>408</v>
      </c>
      <c r="C395" s="13" t="s">
        <v>168</v>
      </c>
      <c r="D395" s="13" t="s">
        <v>939</v>
      </c>
      <c r="E395" s="13" t="s">
        <v>226</v>
      </c>
      <c r="F395" s="61">
        <f t="shared" si="11"/>
        <v>0</v>
      </c>
      <c r="G395" s="61">
        <f>G396</f>
        <v>0</v>
      </c>
      <c r="H395" s="61"/>
      <c r="I395" s="146"/>
    </row>
    <row r="396" spans="1:9" ht="23.25" customHeight="1" hidden="1">
      <c r="A396" s="25" t="s">
        <v>227</v>
      </c>
      <c r="B396" s="13" t="s">
        <v>408</v>
      </c>
      <c r="C396" s="13" t="s">
        <v>168</v>
      </c>
      <c r="D396" s="13" t="s">
        <v>940</v>
      </c>
      <c r="E396" s="13" t="s">
        <v>304</v>
      </c>
      <c r="F396" s="61">
        <f t="shared" si="11"/>
        <v>0</v>
      </c>
      <c r="G396" s="61"/>
      <c r="H396" s="61"/>
      <c r="I396" s="146"/>
    </row>
    <row r="397" spans="1:9" ht="81.75" customHeight="1">
      <c r="A397" s="25" t="s">
        <v>930</v>
      </c>
      <c r="B397" s="13" t="s">
        <v>408</v>
      </c>
      <c r="C397" s="13" t="s">
        <v>168</v>
      </c>
      <c r="D397" s="13" t="s">
        <v>931</v>
      </c>
      <c r="E397" s="13" t="s">
        <v>304</v>
      </c>
      <c r="F397" s="61">
        <f>G397</f>
        <v>220</v>
      </c>
      <c r="G397" s="61">
        <v>220</v>
      </c>
      <c r="H397" s="61"/>
      <c r="I397" s="146"/>
    </row>
    <row r="398" spans="1:8" s="141" customFormat="1" ht="48.75" customHeight="1">
      <c r="A398" s="29" t="s">
        <v>491</v>
      </c>
      <c r="B398" s="26" t="s">
        <v>408</v>
      </c>
      <c r="C398" s="26" t="s">
        <v>405</v>
      </c>
      <c r="D398" s="26" t="s">
        <v>38</v>
      </c>
      <c r="E398" s="26" t="s">
        <v>426</v>
      </c>
      <c r="F398" s="62">
        <f t="shared" si="9"/>
        <v>50</v>
      </c>
      <c r="G398" s="62">
        <f>G399</f>
        <v>50</v>
      </c>
      <c r="H398" s="62">
        <f>H399</f>
        <v>0</v>
      </c>
    </row>
    <row r="399" spans="1:8" ht="32.25" customHeight="1">
      <c r="A399" s="30" t="s">
        <v>400</v>
      </c>
      <c r="B399" s="13" t="s">
        <v>408</v>
      </c>
      <c r="C399" s="13" t="s">
        <v>405</v>
      </c>
      <c r="D399" s="13" t="s">
        <v>71</v>
      </c>
      <c r="E399" s="13" t="s">
        <v>426</v>
      </c>
      <c r="F399" s="61">
        <f t="shared" si="9"/>
        <v>50</v>
      </c>
      <c r="G399" s="61">
        <f>G400</f>
        <v>50</v>
      </c>
      <c r="H399" s="61">
        <f>H400</f>
        <v>0</v>
      </c>
    </row>
    <row r="400" spans="1:8" ht="32.25" customHeight="1">
      <c r="A400" s="25" t="s">
        <v>273</v>
      </c>
      <c r="B400" s="13" t="s">
        <v>408</v>
      </c>
      <c r="C400" s="13" t="s">
        <v>405</v>
      </c>
      <c r="D400" s="13" t="s">
        <v>72</v>
      </c>
      <c r="E400" s="13" t="s">
        <v>426</v>
      </c>
      <c r="F400" s="61">
        <f t="shared" si="9"/>
        <v>50</v>
      </c>
      <c r="G400" s="61">
        <f>G401</f>
        <v>50</v>
      </c>
      <c r="H400" s="61">
        <f>H402</f>
        <v>0</v>
      </c>
    </row>
    <row r="401" spans="1:8" ht="49.5" customHeight="1">
      <c r="A401" s="25" t="s">
        <v>225</v>
      </c>
      <c r="B401" s="13" t="s">
        <v>408</v>
      </c>
      <c r="C401" s="13" t="s">
        <v>405</v>
      </c>
      <c r="D401" s="13" t="s">
        <v>72</v>
      </c>
      <c r="E401" s="13" t="s">
        <v>226</v>
      </c>
      <c r="F401" s="61">
        <f t="shared" si="9"/>
        <v>50</v>
      </c>
      <c r="G401" s="61">
        <f>G402</f>
        <v>50</v>
      </c>
      <c r="H401" s="61"/>
    </row>
    <row r="402" spans="1:8" ht="20.25" customHeight="1">
      <c r="A402" s="25" t="s">
        <v>227</v>
      </c>
      <c r="B402" s="13" t="s">
        <v>408</v>
      </c>
      <c r="C402" s="13" t="s">
        <v>405</v>
      </c>
      <c r="D402" s="13" t="s">
        <v>72</v>
      </c>
      <c r="E402" s="13" t="s">
        <v>304</v>
      </c>
      <c r="F402" s="61">
        <f t="shared" si="9"/>
        <v>50</v>
      </c>
      <c r="G402" s="61">
        <f>30+20</f>
        <v>50</v>
      </c>
      <c r="H402" s="61"/>
    </row>
    <row r="403" spans="1:8" ht="20.25" customHeight="1">
      <c r="A403" s="29" t="s">
        <v>725</v>
      </c>
      <c r="B403" s="26" t="s">
        <v>408</v>
      </c>
      <c r="C403" s="26" t="s">
        <v>408</v>
      </c>
      <c r="D403" s="26" t="s">
        <v>337</v>
      </c>
      <c r="E403" s="26" t="s">
        <v>426</v>
      </c>
      <c r="F403" s="62">
        <f>G403+H403</f>
        <v>643.72055</v>
      </c>
      <c r="G403" s="62">
        <f>G404</f>
        <v>46.898</v>
      </c>
      <c r="H403" s="62">
        <f>H404</f>
        <v>596.82255</v>
      </c>
    </row>
    <row r="404" spans="1:8" ht="49.5" customHeight="1">
      <c r="A404" s="29" t="s">
        <v>491</v>
      </c>
      <c r="B404" s="26" t="s">
        <v>408</v>
      </c>
      <c r="C404" s="26" t="s">
        <v>408</v>
      </c>
      <c r="D404" s="26" t="s">
        <v>38</v>
      </c>
      <c r="E404" s="26" t="s">
        <v>426</v>
      </c>
      <c r="F404" s="61">
        <f t="shared" si="9"/>
        <v>643.72055</v>
      </c>
      <c r="G404" s="61">
        <f>G405+G411</f>
        <v>46.898</v>
      </c>
      <c r="H404" s="61">
        <f>H405+H411</f>
        <v>596.82255</v>
      </c>
    </row>
    <row r="405" spans="1:8" ht="33.75" customHeight="1">
      <c r="A405" s="30" t="s">
        <v>479</v>
      </c>
      <c r="B405" s="13" t="s">
        <v>408</v>
      </c>
      <c r="C405" s="13" t="s">
        <v>408</v>
      </c>
      <c r="D405" s="13" t="s">
        <v>73</v>
      </c>
      <c r="E405" s="13" t="s">
        <v>426</v>
      </c>
      <c r="F405" s="61">
        <f t="shared" si="9"/>
        <v>643.72055</v>
      </c>
      <c r="G405" s="61">
        <f>G406+G418</f>
        <v>46.898</v>
      </c>
      <c r="H405" s="61">
        <f>H406</f>
        <v>596.82255</v>
      </c>
    </row>
    <row r="406" spans="1:8" s="141" customFormat="1" ht="65.25" customHeight="1">
      <c r="A406" s="29" t="s">
        <v>757</v>
      </c>
      <c r="B406" s="26" t="s">
        <v>408</v>
      </c>
      <c r="C406" s="26" t="s">
        <v>408</v>
      </c>
      <c r="D406" s="26" t="s">
        <v>73</v>
      </c>
      <c r="E406" s="26" t="s">
        <v>426</v>
      </c>
      <c r="F406" s="62">
        <f t="shared" si="9"/>
        <v>596.82255</v>
      </c>
      <c r="G406" s="62"/>
      <c r="H406" s="62">
        <f>H407+H409</f>
        <v>596.82255</v>
      </c>
    </row>
    <row r="407" spans="1:8" ht="33" customHeight="1">
      <c r="A407" s="49" t="s">
        <v>216</v>
      </c>
      <c r="B407" s="13" t="s">
        <v>408</v>
      </c>
      <c r="C407" s="13" t="s">
        <v>408</v>
      </c>
      <c r="D407" s="13" t="s">
        <v>74</v>
      </c>
      <c r="E407" s="13" t="s">
        <v>171</v>
      </c>
      <c r="F407" s="61">
        <f>G407+H407</f>
        <v>0</v>
      </c>
      <c r="G407" s="61"/>
      <c r="H407" s="61">
        <f>H408</f>
        <v>0</v>
      </c>
    </row>
    <row r="408" spans="1:8" ht="33" customHeight="1">
      <c r="A408" s="49" t="s">
        <v>217</v>
      </c>
      <c r="B408" s="13" t="s">
        <v>408</v>
      </c>
      <c r="C408" s="13" t="s">
        <v>408</v>
      </c>
      <c r="D408" s="13" t="s">
        <v>74</v>
      </c>
      <c r="E408" s="13" t="s">
        <v>218</v>
      </c>
      <c r="F408" s="61">
        <f>G408+H408</f>
        <v>0</v>
      </c>
      <c r="G408" s="61"/>
      <c r="H408" s="61"/>
    </row>
    <row r="409" spans="1:8" ht="48.75" customHeight="1">
      <c r="A409" s="49" t="s">
        <v>225</v>
      </c>
      <c r="B409" s="13" t="s">
        <v>408</v>
      </c>
      <c r="C409" s="13" t="s">
        <v>408</v>
      </c>
      <c r="D409" s="13" t="s">
        <v>74</v>
      </c>
      <c r="E409" s="13" t="s">
        <v>226</v>
      </c>
      <c r="F409" s="61">
        <f t="shared" si="9"/>
        <v>596.82255</v>
      </c>
      <c r="G409" s="61"/>
      <c r="H409" s="61">
        <f>H410</f>
        <v>596.82255</v>
      </c>
    </row>
    <row r="410" spans="1:8" ht="17.25" customHeight="1">
      <c r="A410" s="49" t="s">
        <v>227</v>
      </c>
      <c r="B410" s="13" t="s">
        <v>408</v>
      </c>
      <c r="C410" s="13" t="s">
        <v>408</v>
      </c>
      <c r="D410" s="13" t="s">
        <v>74</v>
      </c>
      <c r="E410" s="13" t="s">
        <v>304</v>
      </c>
      <c r="F410" s="61">
        <f t="shared" si="9"/>
        <v>596.82255</v>
      </c>
      <c r="G410" s="61"/>
      <c r="H410" s="61">
        <f>896.82255-300</f>
        <v>596.82255</v>
      </c>
    </row>
    <row r="411" spans="1:9" ht="51" customHeight="1" hidden="1">
      <c r="A411" s="40" t="s">
        <v>695</v>
      </c>
      <c r="B411" s="13" t="s">
        <v>408</v>
      </c>
      <c r="C411" s="13" t="s">
        <v>408</v>
      </c>
      <c r="D411" s="56" t="s">
        <v>337</v>
      </c>
      <c r="E411" s="56" t="s">
        <v>426</v>
      </c>
      <c r="F411" s="108">
        <f aca="true" t="shared" si="12" ref="F411:F417">G411+H411</f>
        <v>0</v>
      </c>
      <c r="G411" s="108">
        <f>G415</f>
        <v>0</v>
      </c>
      <c r="H411" s="108">
        <f>H412</f>
        <v>0</v>
      </c>
      <c r="I411" s="146"/>
    </row>
    <row r="412" spans="1:9" ht="82.5" customHeight="1" hidden="1">
      <c r="A412" s="25" t="s">
        <v>706</v>
      </c>
      <c r="B412" s="13" t="s">
        <v>408</v>
      </c>
      <c r="C412" s="13" t="s">
        <v>408</v>
      </c>
      <c r="D412" s="13" t="s">
        <v>715</v>
      </c>
      <c r="E412" s="13" t="s">
        <v>426</v>
      </c>
      <c r="F412" s="61">
        <f t="shared" si="12"/>
        <v>0</v>
      </c>
      <c r="G412" s="61"/>
      <c r="H412" s="61">
        <f>H413</f>
        <v>0</v>
      </c>
      <c r="I412" s="146"/>
    </row>
    <row r="413" spans="1:9" ht="45" customHeight="1" hidden="1">
      <c r="A413" s="25" t="s">
        <v>225</v>
      </c>
      <c r="B413" s="13" t="s">
        <v>408</v>
      </c>
      <c r="C413" s="13" t="s">
        <v>408</v>
      </c>
      <c r="D413" s="13" t="s">
        <v>715</v>
      </c>
      <c r="E413" s="13" t="s">
        <v>226</v>
      </c>
      <c r="F413" s="61">
        <f t="shared" si="12"/>
        <v>0</v>
      </c>
      <c r="G413" s="61"/>
      <c r="H413" s="61">
        <f>H414</f>
        <v>0</v>
      </c>
      <c r="I413" s="146"/>
    </row>
    <row r="414" spans="1:9" ht="23.25" customHeight="1" hidden="1">
      <c r="A414" s="25" t="s">
        <v>227</v>
      </c>
      <c r="B414" s="13" t="s">
        <v>408</v>
      </c>
      <c r="C414" s="13" t="s">
        <v>408</v>
      </c>
      <c r="D414" s="13" t="s">
        <v>715</v>
      </c>
      <c r="E414" s="13" t="s">
        <v>304</v>
      </c>
      <c r="F414" s="61">
        <f t="shared" si="12"/>
        <v>0</v>
      </c>
      <c r="G414" s="61"/>
      <c r="H414" s="61">
        <v>0</v>
      </c>
      <c r="I414" s="146"/>
    </row>
    <row r="415" spans="1:9" ht="93.75" customHeight="1" hidden="1">
      <c r="A415" s="25" t="s">
        <v>707</v>
      </c>
      <c r="B415" s="13" t="s">
        <v>408</v>
      </c>
      <c r="C415" s="13" t="s">
        <v>408</v>
      </c>
      <c r="D415" s="13" t="s">
        <v>760</v>
      </c>
      <c r="E415" s="13" t="s">
        <v>426</v>
      </c>
      <c r="F415" s="61">
        <f t="shared" si="12"/>
        <v>0</v>
      </c>
      <c r="G415" s="61">
        <f>G416</f>
        <v>0</v>
      </c>
      <c r="H415" s="61"/>
      <c r="I415" s="146"/>
    </row>
    <row r="416" spans="1:9" ht="48" customHeight="1" hidden="1">
      <c r="A416" s="25" t="s">
        <v>225</v>
      </c>
      <c r="B416" s="13" t="s">
        <v>408</v>
      </c>
      <c r="C416" s="13" t="s">
        <v>408</v>
      </c>
      <c r="D416" s="13" t="s">
        <v>760</v>
      </c>
      <c r="E416" s="13" t="s">
        <v>226</v>
      </c>
      <c r="F416" s="61">
        <f t="shared" si="12"/>
        <v>0</v>
      </c>
      <c r="G416" s="61">
        <f>G417</f>
        <v>0</v>
      </c>
      <c r="H416" s="61"/>
      <c r="I416" s="146"/>
    </row>
    <row r="417" spans="1:9" ht="23.25" customHeight="1" hidden="1">
      <c r="A417" s="25" t="s">
        <v>227</v>
      </c>
      <c r="B417" s="13" t="s">
        <v>408</v>
      </c>
      <c r="C417" s="13" t="s">
        <v>408</v>
      </c>
      <c r="D417" s="13" t="s">
        <v>760</v>
      </c>
      <c r="E417" s="13" t="s">
        <v>304</v>
      </c>
      <c r="F417" s="61">
        <f t="shared" si="12"/>
        <v>0</v>
      </c>
      <c r="G417" s="61">
        <v>0</v>
      </c>
      <c r="H417" s="61"/>
      <c r="I417" s="146"/>
    </row>
    <row r="418" spans="1:9" ht="66" customHeight="1">
      <c r="A418" s="25" t="s">
        <v>922</v>
      </c>
      <c r="B418" s="13" t="s">
        <v>408</v>
      </c>
      <c r="C418" s="13" t="s">
        <v>408</v>
      </c>
      <c r="D418" s="13" t="s">
        <v>921</v>
      </c>
      <c r="E418" s="13" t="s">
        <v>426</v>
      </c>
      <c r="F418" s="61">
        <f>G418</f>
        <v>46.898</v>
      </c>
      <c r="G418" s="61">
        <f>G419</f>
        <v>46.898</v>
      </c>
      <c r="H418" s="61"/>
      <c r="I418" s="146"/>
    </row>
    <row r="419" spans="1:9" ht="23.25" customHeight="1">
      <c r="A419" s="49" t="s">
        <v>225</v>
      </c>
      <c r="B419" s="13" t="s">
        <v>408</v>
      </c>
      <c r="C419" s="13" t="s">
        <v>408</v>
      </c>
      <c r="D419" s="13" t="s">
        <v>921</v>
      </c>
      <c r="E419" s="13" t="s">
        <v>226</v>
      </c>
      <c r="F419" s="61">
        <f>G419</f>
        <v>46.898</v>
      </c>
      <c r="G419" s="61">
        <f>G420</f>
        <v>46.898</v>
      </c>
      <c r="H419" s="61"/>
      <c r="I419" s="146"/>
    </row>
    <row r="420" spans="1:9" ht="23.25" customHeight="1">
      <c r="A420" s="49" t="s">
        <v>227</v>
      </c>
      <c r="B420" s="13" t="s">
        <v>408</v>
      </c>
      <c r="C420" s="13" t="s">
        <v>408</v>
      </c>
      <c r="D420" s="13" t="s">
        <v>921</v>
      </c>
      <c r="E420" s="13" t="s">
        <v>304</v>
      </c>
      <c r="F420" s="61">
        <f>G420</f>
        <v>46.898</v>
      </c>
      <c r="G420" s="61">
        <v>46.898</v>
      </c>
      <c r="H420" s="61"/>
      <c r="I420" s="146"/>
    </row>
    <row r="421" spans="1:10" s="141" customFormat="1" ht="18" customHeight="1">
      <c r="A421" s="29" t="s">
        <v>384</v>
      </c>
      <c r="B421" s="26" t="s">
        <v>408</v>
      </c>
      <c r="C421" s="26" t="s">
        <v>393</v>
      </c>
      <c r="D421" s="26" t="s">
        <v>337</v>
      </c>
      <c r="E421" s="26" t="s">
        <v>426</v>
      </c>
      <c r="F421" s="62">
        <f t="shared" si="9"/>
        <v>53519.935</v>
      </c>
      <c r="G421" s="62">
        <f>G422+G436+G439+G446+G452+G461+G457</f>
        <v>51654.087</v>
      </c>
      <c r="H421" s="62">
        <f>H439+H446+H461</f>
        <v>1865.848</v>
      </c>
      <c r="J421" s="147"/>
    </row>
    <row r="422" spans="1:8" ht="33.75" customHeight="1">
      <c r="A422" s="30" t="s">
        <v>279</v>
      </c>
      <c r="B422" s="13" t="s">
        <v>408</v>
      </c>
      <c r="C422" s="13" t="s">
        <v>393</v>
      </c>
      <c r="D422" s="13" t="s">
        <v>75</v>
      </c>
      <c r="E422" s="13" t="s">
        <v>426</v>
      </c>
      <c r="F422" s="61">
        <f t="shared" si="9"/>
        <v>43972.187000000005</v>
      </c>
      <c r="G422" s="61">
        <f>G423+G431</f>
        <v>43972.187000000005</v>
      </c>
      <c r="H422" s="61">
        <f>H423</f>
        <v>0</v>
      </c>
    </row>
    <row r="423" spans="1:8" ht="50.25" customHeight="1">
      <c r="A423" s="25" t="s">
        <v>77</v>
      </c>
      <c r="B423" s="13" t="s">
        <v>408</v>
      </c>
      <c r="C423" s="13" t="s">
        <v>393</v>
      </c>
      <c r="D423" s="13" t="s">
        <v>76</v>
      </c>
      <c r="E423" s="13" t="s">
        <v>426</v>
      </c>
      <c r="F423" s="61">
        <f t="shared" si="9"/>
        <v>40912.73</v>
      </c>
      <c r="G423" s="61">
        <f>G424+G426+G428</f>
        <v>40912.73</v>
      </c>
      <c r="H423" s="61">
        <f>SUM(H424:H430)</f>
        <v>0</v>
      </c>
    </row>
    <row r="424" spans="1:8" ht="95.25" customHeight="1">
      <c r="A424" s="25" t="s">
        <v>199</v>
      </c>
      <c r="B424" s="13" t="s">
        <v>408</v>
      </c>
      <c r="C424" s="13" t="s">
        <v>393</v>
      </c>
      <c r="D424" s="13" t="s">
        <v>76</v>
      </c>
      <c r="E424" s="13" t="s">
        <v>166</v>
      </c>
      <c r="F424" s="61">
        <f t="shared" si="9"/>
        <v>34785.63</v>
      </c>
      <c r="G424" s="61">
        <f>G425</f>
        <v>34785.63</v>
      </c>
      <c r="H424" s="61"/>
    </row>
    <row r="425" spans="1:9" ht="32.25" customHeight="1">
      <c r="A425" s="25" t="s">
        <v>215</v>
      </c>
      <c r="B425" s="13" t="s">
        <v>408</v>
      </c>
      <c r="C425" s="13" t="s">
        <v>393</v>
      </c>
      <c r="D425" s="13" t="s">
        <v>76</v>
      </c>
      <c r="E425" s="13" t="s">
        <v>173</v>
      </c>
      <c r="F425" s="61">
        <f t="shared" si="9"/>
        <v>34785.63</v>
      </c>
      <c r="G425" s="61">
        <f>34785.63</f>
        <v>34785.63</v>
      </c>
      <c r="H425" s="110"/>
      <c r="I425" s="142"/>
    </row>
    <row r="426" spans="1:8" ht="33" customHeight="1">
      <c r="A426" s="25" t="s">
        <v>202</v>
      </c>
      <c r="B426" s="13" t="s">
        <v>408</v>
      </c>
      <c r="C426" s="13" t="s">
        <v>393</v>
      </c>
      <c r="D426" s="13" t="s">
        <v>76</v>
      </c>
      <c r="E426" s="13" t="s">
        <v>170</v>
      </c>
      <c r="F426" s="61">
        <f t="shared" si="9"/>
        <v>5788.472000000009</v>
      </c>
      <c r="G426" s="61">
        <f>G427</f>
        <v>5788.472000000009</v>
      </c>
      <c r="H426" s="110"/>
    </row>
    <row r="427" spans="1:9" ht="48.75" customHeight="1">
      <c r="A427" s="49" t="s">
        <v>203</v>
      </c>
      <c r="B427" s="13" t="s">
        <v>408</v>
      </c>
      <c r="C427" s="13" t="s">
        <v>393</v>
      </c>
      <c r="D427" s="13" t="s">
        <v>76</v>
      </c>
      <c r="E427" s="13" t="s">
        <v>204</v>
      </c>
      <c r="F427" s="61">
        <f t="shared" si="9"/>
        <v>5788.472000000009</v>
      </c>
      <c r="G427" s="61">
        <f>40712.73-89.2-34785.63-49.428</f>
        <v>5788.472000000009</v>
      </c>
      <c r="H427" s="61"/>
      <c r="I427" s="142"/>
    </row>
    <row r="428" spans="1:8" ht="19.5" customHeight="1">
      <c r="A428" s="25" t="s">
        <v>207</v>
      </c>
      <c r="B428" s="13" t="s">
        <v>408</v>
      </c>
      <c r="C428" s="13" t="s">
        <v>393</v>
      </c>
      <c r="D428" s="13" t="s">
        <v>76</v>
      </c>
      <c r="E428" s="13" t="s">
        <v>208</v>
      </c>
      <c r="F428" s="61">
        <f t="shared" si="9"/>
        <v>338.628</v>
      </c>
      <c r="G428" s="61">
        <f>G429+G430</f>
        <v>338.628</v>
      </c>
      <c r="H428" s="61"/>
    </row>
    <row r="429" spans="1:8" ht="19.5" customHeight="1" hidden="1">
      <c r="A429" s="25" t="s">
        <v>211</v>
      </c>
      <c r="B429" s="13" t="s">
        <v>408</v>
      </c>
      <c r="C429" s="13" t="s">
        <v>393</v>
      </c>
      <c r="D429" s="13" t="s">
        <v>76</v>
      </c>
      <c r="E429" s="13" t="s">
        <v>212</v>
      </c>
      <c r="F429" s="61">
        <f>G429</f>
        <v>0</v>
      </c>
      <c r="G429" s="61"/>
      <c r="H429" s="61"/>
    </row>
    <row r="430" spans="1:8" ht="19.5" customHeight="1">
      <c r="A430" s="25" t="s">
        <v>205</v>
      </c>
      <c r="B430" s="13" t="s">
        <v>408</v>
      </c>
      <c r="C430" s="13" t="s">
        <v>393</v>
      </c>
      <c r="D430" s="13" t="s">
        <v>76</v>
      </c>
      <c r="E430" s="13" t="s">
        <v>206</v>
      </c>
      <c r="F430" s="61">
        <f>G430+H430</f>
        <v>338.628</v>
      </c>
      <c r="G430" s="61">
        <f>89.2+200+49.428</f>
        <v>338.628</v>
      </c>
      <c r="H430" s="61"/>
    </row>
    <row r="431" spans="1:8" ht="65.25" customHeight="1">
      <c r="A431" s="30" t="s">
        <v>563</v>
      </c>
      <c r="B431" s="13" t="s">
        <v>408</v>
      </c>
      <c r="C431" s="13" t="s">
        <v>393</v>
      </c>
      <c r="D431" s="13" t="s">
        <v>76</v>
      </c>
      <c r="E431" s="13" t="s">
        <v>426</v>
      </c>
      <c r="F431" s="61">
        <f>G431</f>
        <v>3059.4570000000003</v>
      </c>
      <c r="G431" s="61">
        <f>G432+G434</f>
        <v>3059.4570000000003</v>
      </c>
      <c r="H431" s="145"/>
    </row>
    <row r="432" spans="1:8" ht="93.75" customHeight="1">
      <c r="A432" s="25" t="s">
        <v>199</v>
      </c>
      <c r="B432" s="13" t="s">
        <v>408</v>
      </c>
      <c r="C432" s="13" t="s">
        <v>393</v>
      </c>
      <c r="D432" s="13" t="s">
        <v>76</v>
      </c>
      <c r="E432" s="13" t="s">
        <v>166</v>
      </c>
      <c r="F432" s="61">
        <f>G432</f>
        <v>2969.4570000000003</v>
      </c>
      <c r="G432" s="61">
        <f>G433</f>
        <v>2969.4570000000003</v>
      </c>
      <c r="H432" s="145"/>
    </row>
    <row r="433" spans="1:8" ht="33" customHeight="1">
      <c r="A433" s="25" t="s">
        <v>215</v>
      </c>
      <c r="B433" s="13" t="s">
        <v>408</v>
      </c>
      <c r="C433" s="13" t="s">
        <v>393</v>
      </c>
      <c r="D433" s="13" t="s">
        <v>76</v>
      </c>
      <c r="E433" s="13" t="s">
        <v>173</v>
      </c>
      <c r="F433" s="61">
        <f>G433</f>
        <v>2969.4570000000003</v>
      </c>
      <c r="G433" s="61">
        <f>1630.957+1338.5</f>
        <v>2969.4570000000003</v>
      </c>
      <c r="H433" s="145"/>
    </row>
    <row r="434" spans="1:8" ht="33.75" customHeight="1">
      <c r="A434" s="25" t="s">
        <v>202</v>
      </c>
      <c r="B434" s="13" t="s">
        <v>408</v>
      </c>
      <c r="C434" s="13" t="s">
        <v>393</v>
      </c>
      <c r="D434" s="13" t="s">
        <v>76</v>
      </c>
      <c r="E434" s="13" t="s">
        <v>170</v>
      </c>
      <c r="F434" s="61">
        <f>G434</f>
        <v>90</v>
      </c>
      <c r="G434" s="61">
        <f>G435</f>
        <v>90</v>
      </c>
      <c r="H434" s="145"/>
    </row>
    <row r="435" spans="1:8" ht="47.25" customHeight="1">
      <c r="A435" s="49" t="s">
        <v>203</v>
      </c>
      <c r="B435" s="13" t="s">
        <v>408</v>
      </c>
      <c r="C435" s="13" t="s">
        <v>393</v>
      </c>
      <c r="D435" s="13" t="s">
        <v>76</v>
      </c>
      <c r="E435" s="13" t="s">
        <v>204</v>
      </c>
      <c r="F435" s="61">
        <f>G435</f>
        <v>90</v>
      </c>
      <c r="G435" s="61">
        <f>90</f>
        <v>90</v>
      </c>
      <c r="H435" s="145"/>
    </row>
    <row r="436" spans="1:8" ht="33.75" customHeight="1">
      <c r="A436" s="30" t="s">
        <v>40</v>
      </c>
      <c r="B436" s="13" t="s">
        <v>408</v>
      </c>
      <c r="C436" s="13" t="s">
        <v>393</v>
      </c>
      <c r="D436" s="5" t="s">
        <v>39</v>
      </c>
      <c r="E436" s="13" t="s">
        <v>426</v>
      </c>
      <c r="F436" s="61">
        <f>G436+H436</f>
        <v>111</v>
      </c>
      <c r="G436" s="61">
        <f>G437</f>
        <v>111</v>
      </c>
      <c r="H436" s="111"/>
    </row>
    <row r="437" spans="1:8" ht="33" customHeight="1">
      <c r="A437" s="25" t="s">
        <v>202</v>
      </c>
      <c r="B437" s="13" t="s">
        <v>408</v>
      </c>
      <c r="C437" s="13" t="s">
        <v>393</v>
      </c>
      <c r="D437" s="5" t="s">
        <v>41</v>
      </c>
      <c r="E437" s="13" t="s">
        <v>170</v>
      </c>
      <c r="F437" s="61">
        <f>G437+H437</f>
        <v>111</v>
      </c>
      <c r="G437" s="61">
        <f>G438</f>
        <v>111</v>
      </c>
      <c r="H437" s="61"/>
    </row>
    <row r="438" spans="1:8" ht="51" customHeight="1">
      <c r="A438" s="49" t="s">
        <v>203</v>
      </c>
      <c r="B438" s="13" t="s">
        <v>408</v>
      </c>
      <c r="C438" s="13" t="s">
        <v>393</v>
      </c>
      <c r="D438" s="5" t="s">
        <v>42</v>
      </c>
      <c r="E438" s="13" t="s">
        <v>204</v>
      </c>
      <c r="F438" s="61">
        <f>G438+H438</f>
        <v>111</v>
      </c>
      <c r="G438" s="125">
        <v>111</v>
      </c>
      <c r="H438" s="61"/>
    </row>
    <row r="439" spans="1:8" s="141" customFormat="1" ht="63" customHeight="1">
      <c r="A439" s="29" t="s">
        <v>492</v>
      </c>
      <c r="B439" s="26" t="s">
        <v>408</v>
      </c>
      <c r="C439" s="26" t="s">
        <v>393</v>
      </c>
      <c r="D439" s="26" t="s">
        <v>78</v>
      </c>
      <c r="E439" s="26" t="s">
        <v>426</v>
      </c>
      <c r="F439" s="62">
        <f t="shared" si="9"/>
        <v>598</v>
      </c>
      <c r="G439" s="62">
        <f>G440+G443</f>
        <v>598</v>
      </c>
      <c r="H439" s="62">
        <f>H440</f>
        <v>0</v>
      </c>
    </row>
    <row r="440" spans="1:8" ht="18" customHeight="1">
      <c r="A440" s="25" t="s">
        <v>418</v>
      </c>
      <c r="B440" s="13" t="s">
        <v>408</v>
      </c>
      <c r="C440" s="13" t="s">
        <v>393</v>
      </c>
      <c r="D440" s="13" t="s">
        <v>79</v>
      </c>
      <c r="E440" s="13" t="s">
        <v>426</v>
      </c>
      <c r="F440" s="61">
        <f t="shared" si="9"/>
        <v>380</v>
      </c>
      <c r="G440" s="61">
        <f>G441</f>
        <v>380</v>
      </c>
      <c r="H440" s="61"/>
    </row>
    <row r="441" spans="1:8" ht="37.5" customHeight="1">
      <c r="A441" s="25" t="s">
        <v>202</v>
      </c>
      <c r="B441" s="13" t="s">
        <v>408</v>
      </c>
      <c r="C441" s="13" t="s">
        <v>393</v>
      </c>
      <c r="D441" s="13" t="s">
        <v>80</v>
      </c>
      <c r="E441" s="13" t="s">
        <v>170</v>
      </c>
      <c r="F441" s="61">
        <f t="shared" si="9"/>
        <v>380</v>
      </c>
      <c r="G441" s="61">
        <f>G442</f>
        <v>380</v>
      </c>
      <c r="H441" s="61"/>
    </row>
    <row r="442" spans="1:8" ht="50.25" customHeight="1">
      <c r="A442" s="49" t="s">
        <v>203</v>
      </c>
      <c r="B442" s="13" t="s">
        <v>408</v>
      </c>
      <c r="C442" s="13" t="s">
        <v>393</v>
      </c>
      <c r="D442" s="13" t="s">
        <v>80</v>
      </c>
      <c r="E442" s="13" t="s">
        <v>204</v>
      </c>
      <c r="F442" s="61">
        <f t="shared" si="9"/>
        <v>380</v>
      </c>
      <c r="G442" s="61">
        <f>380</f>
        <v>380</v>
      </c>
      <c r="H442" s="61"/>
    </row>
    <row r="443" spans="1:8" ht="33" customHeight="1">
      <c r="A443" s="25" t="s">
        <v>140</v>
      </c>
      <c r="B443" s="13" t="s">
        <v>408</v>
      </c>
      <c r="C443" s="13" t="s">
        <v>393</v>
      </c>
      <c r="D443" s="13" t="s">
        <v>81</v>
      </c>
      <c r="E443" s="13" t="s">
        <v>426</v>
      </c>
      <c r="F443" s="61">
        <f t="shared" si="9"/>
        <v>218</v>
      </c>
      <c r="G443" s="61">
        <f>G444</f>
        <v>218</v>
      </c>
      <c r="H443" s="61"/>
    </row>
    <row r="444" spans="1:8" ht="49.5" customHeight="1">
      <c r="A444" s="25" t="s">
        <v>225</v>
      </c>
      <c r="B444" s="13" t="s">
        <v>408</v>
      </c>
      <c r="C444" s="13" t="s">
        <v>393</v>
      </c>
      <c r="D444" s="13" t="s">
        <v>81</v>
      </c>
      <c r="E444" s="13" t="s">
        <v>226</v>
      </c>
      <c r="F444" s="61">
        <f t="shared" si="9"/>
        <v>218</v>
      </c>
      <c r="G444" s="61">
        <f>G445</f>
        <v>218</v>
      </c>
      <c r="H444" s="61"/>
    </row>
    <row r="445" spans="1:8" ht="16.5" customHeight="1">
      <c r="A445" s="25" t="s">
        <v>227</v>
      </c>
      <c r="B445" s="13" t="s">
        <v>408</v>
      </c>
      <c r="C445" s="13" t="s">
        <v>393</v>
      </c>
      <c r="D445" s="13" t="s">
        <v>81</v>
      </c>
      <c r="E445" s="13" t="s">
        <v>304</v>
      </c>
      <c r="F445" s="61">
        <f t="shared" si="9"/>
        <v>218</v>
      </c>
      <c r="G445" s="61">
        <f>218</f>
        <v>218</v>
      </c>
      <c r="H445" s="61"/>
    </row>
    <row r="446" spans="1:8" s="141" customFormat="1" ht="64.5" customHeight="1">
      <c r="A446" s="29" t="s">
        <v>505</v>
      </c>
      <c r="B446" s="26" t="s">
        <v>408</v>
      </c>
      <c r="C446" s="26" t="s">
        <v>393</v>
      </c>
      <c r="D446" s="26" t="s">
        <v>45</v>
      </c>
      <c r="E446" s="26" t="s">
        <v>426</v>
      </c>
      <c r="F446" s="62">
        <f t="shared" si="9"/>
        <v>2124</v>
      </c>
      <c r="G446" s="62">
        <f>G447</f>
        <v>2124</v>
      </c>
      <c r="H446" s="62">
        <f>H447</f>
        <v>0</v>
      </c>
    </row>
    <row r="447" spans="1:8" ht="19.5" customHeight="1">
      <c r="A447" s="25" t="s">
        <v>418</v>
      </c>
      <c r="B447" s="13" t="s">
        <v>408</v>
      </c>
      <c r="C447" s="13" t="s">
        <v>393</v>
      </c>
      <c r="D447" s="13" t="s">
        <v>46</v>
      </c>
      <c r="E447" s="13" t="s">
        <v>426</v>
      </c>
      <c r="F447" s="61">
        <f t="shared" si="9"/>
        <v>2124</v>
      </c>
      <c r="G447" s="61">
        <f>G448+G450</f>
        <v>2124</v>
      </c>
      <c r="H447" s="61">
        <f>H448</f>
        <v>0</v>
      </c>
    </row>
    <row r="448" spans="1:8" ht="38.25" customHeight="1">
      <c r="A448" s="25" t="s">
        <v>202</v>
      </c>
      <c r="B448" s="13" t="s">
        <v>408</v>
      </c>
      <c r="C448" s="13" t="s">
        <v>393</v>
      </c>
      <c r="D448" s="13" t="s">
        <v>82</v>
      </c>
      <c r="E448" s="13" t="s">
        <v>170</v>
      </c>
      <c r="F448" s="61">
        <f t="shared" si="9"/>
        <v>4</v>
      </c>
      <c r="G448" s="61">
        <f>G449</f>
        <v>4</v>
      </c>
      <c r="H448" s="61"/>
    </row>
    <row r="449" spans="1:8" ht="48.75" customHeight="1">
      <c r="A449" s="49" t="s">
        <v>203</v>
      </c>
      <c r="B449" s="13" t="s">
        <v>408</v>
      </c>
      <c r="C449" s="13" t="s">
        <v>393</v>
      </c>
      <c r="D449" s="13" t="s">
        <v>82</v>
      </c>
      <c r="E449" s="13" t="s">
        <v>204</v>
      </c>
      <c r="F449" s="61">
        <f t="shared" si="9"/>
        <v>4</v>
      </c>
      <c r="G449" s="61">
        <f>134-130</f>
        <v>4</v>
      </c>
      <c r="H449" s="61"/>
    </row>
    <row r="450" spans="1:8" ht="48.75" customHeight="1">
      <c r="A450" s="25" t="s">
        <v>225</v>
      </c>
      <c r="B450" s="13" t="s">
        <v>408</v>
      </c>
      <c r="C450" s="13" t="s">
        <v>393</v>
      </c>
      <c r="D450" s="13" t="s">
        <v>82</v>
      </c>
      <c r="E450" s="13" t="s">
        <v>226</v>
      </c>
      <c r="F450" s="61">
        <f>G450</f>
        <v>2120</v>
      </c>
      <c r="G450" s="61">
        <f>G451</f>
        <v>2120</v>
      </c>
      <c r="H450" s="61"/>
    </row>
    <row r="451" spans="1:8" ht="20.25" customHeight="1">
      <c r="A451" s="25" t="s">
        <v>227</v>
      </c>
      <c r="B451" s="13" t="s">
        <v>408</v>
      </c>
      <c r="C451" s="13" t="s">
        <v>393</v>
      </c>
      <c r="D451" s="13" t="s">
        <v>82</v>
      </c>
      <c r="E451" s="13" t="s">
        <v>304</v>
      </c>
      <c r="F451" s="61">
        <f>G451</f>
        <v>2120</v>
      </c>
      <c r="G451" s="61">
        <f>120+2000</f>
        <v>2120</v>
      </c>
      <c r="H451" s="61"/>
    </row>
    <row r="452" spans="1:8" ht="78" customHeight="1">
      <c r="A452" s="44" t="s">
        <v>551</v>
      </c>
      <c r="B452" s="26" t="s">
        <v>408</v>
      </c>
      <c r="C452" s="26" t="s">
        <v>393</v>
      </c>
      <c r="D452" s="26" t="s">
        <v>549</v>
      </c>
      <c r="E452" s="26" t="s">
        <v>426</v>
      </c>
      <c r="F452" s="62">
        <f aca="true" t="shared" si="13" ref="F452:F460">G452</f>
        <v>1103.2</v>
      </c>
      <c r="G452" s="62">
        <f>G453+G455</f>
        <v>1103.2</v>
      </c>
      <c r="H452" s="62"/>
    </row>
    <row r="453" spans="1:8" ht="39" customHeight="1">
      <c r="A453" s="25" t="s">
        <v>202</v>
      </c>
      <c r="B453" s="13" t="s">
        <v>408</v>
      </c>
      <c r="C453" s="13" t="s">
        <v>393</v>
      </c>
      <c r="D453" s="13" t="s">
        <v>918</v>
      </c>
      <c r="E453" s="13" t="s">
        <v>170</v>
      </c>
      <c r="F453" s="61">
        <f>G453</f>
        <v>158</v>
      </c>
      <c r="G453" s="61">
        <f>G454</f>
        <v>158</v>
      </c>
      <c r="H453" s="61"/>
    </row>
    <row r="454" spans="1:8" ht="53.25" customHeight="1">
      <c r="A454" s="49" t="s">
        <v>203</v>
      </c>
      <c r="B454" s="13" t="s">
        <v>408</v>
      </c>
      <c r="C454" s="13" t="s">
        <v>393</v>
      </c>
      <c r="D454" s="13" t="s">
        <v>918</v>
      </c>
      <c r="E454" s="13" t="s">
        <v>204</v>
      </c>
      <c r="F454" s="61">
        <f>G454</f>
        <v>158</v>
      </c>
      <c r="G454" s="61">
        <v>158</v>
      </c>
      <c r="H454" s="61"/>
    </row>
    <row r="455" spans="1:8" ht="46.5" customHeight="1">
      <c r="A455" s="25" t="s">
        <v>225</v>
      </c>
      <c r="B455" s="13" t="s">
        <v>408</v>
      </c>
      <c r="C455" s="13" t="s">
        <v>393</v>
      </c>
      <c r="D455" s="13" t="s">
        <v>550</v>
      </c>
      <c r="E455" s="13" t="s">
        <v>226</v>
      </c>
      <c r="F455" s="61">
        <f t="shared" si="13"/>
        <v>945.2</v>
      </c>
      <c r="G455" s="61">
        <f>G456</f>
        <v>945.2</v>
      </c>
      <c r="H455" s="61"/>
    </row>
    <row r="456" spans="1:8" ht="18" customHeight="1">
      <c r="A456" s="25" t="s">
        <v>227</v>
      </c>
      <c r="B456" s="13" t="s">
        <v>408</v>
      </c>
      <c r="C456" s="13" t="s">
        <v>393</v>
      </c>
      <c r="D456" s="13" t="s">
        <v>550</v>
      </c>
      <c r="E456" s="13" t="s">
        <v>304</v>
      </c>
      <c r="F456" s="61">
        <f t="shared" si="13"/>
        <v>945.2</v>
      </c>
      <c r="G456" s="61">
        <f>1215-61.8-50-158</f>
        <v>945.2</v>
      </c>
      <c r="H456" s="61"/>
    </row>
    <row r="457" spans="1:8" ht="51" customHeight="1" hidden="1">
      <c r="A457" s="44" t="s">
        <v>452</v>
      </c>
      <c r="B457" s="26" t="s">
        <v>408</v>
      </c>
      <c r="C457" s="26" t="s">
        <v>393</v>
      </c>
      <c r="D457" s="26" t="s">
        <v>48</v>
      </c>
      <c r="E457" s="26" t="s">
        <v>426</v>
      </c>
      <c r="F457" s="62">
        <f t="shared" si="13"/>
        <v>0</v>
      </c>
      <c r="G457" s="62">
        <f>G458</f>
        <v>0</v>
      </c>
      <c r="H457" s="62"/>
    </row>
    <row r="458" spans="1:8" ht="36.75" customHeight="1" hidden="1">
      <c r="A458" s="49" t="s">
        <v>202</v>
      </c>
      <c r="B458" s="13" t="s">
        <v>408</v>
      </c>
      <c r="C458" s="13" t="s">
        <v>393</v>
      </c>
      <c r="D458" s="13" t="s">
        <v>516</v>
      </c>
      <c r="E458" s="13" t="s">
        <v>170</v>
      </c>
      <c r="F458" s="61">
        <f t="shared" si="13"/>
        <v>0</v>
      </c>
      <c r="G458" s="61">
        <f>G459+G460</f>
        <v>0</v>
      </c>
      <c r="H458" s="61"/>
    </row>
    <row r="459" spans="1:8" ht="64.5" customHeight="1" hidden="1">
      <c r="A459" s="49" t="s">
        <v>631</v>
      </c>
      <c r="B459" s="13" t="s">
        <v>408</v>
      </c>
      <c r="C459" s="13" t="s">
        <v>393</v>
      </c>
      <c r="D459" s="13" t="s">
        <v>553</v>
      </c>
      <c r="E459" s="13" t="s">
        <v>204</v>
      </c>
      <c r="F459" s="61">
        <f t="shared" si="13"/>
        <v>0</v>
      </c>
      <c r="G459" s="61">
        <v>0</v>
      </c>
      <c r="H459" s="61"/>
    </row>
    <row r="460" spans="1:8" ht="48" customHeight="1" hidden="1">
      <c r="A460" s="49" t="s">
        <v>632</v>
      </c>
      <c r="B460" s="13" t="s">
        <v>408</v>
      </c>
      <c r="C460" s="13" t="s">
        <v>393</v>
      </c>
      <c r="D460" s="13" t="s">
        <v>554</v>
      </c>
      <c r="E460" s="13" t="s">
        <v>204</v>
      </c>
      <c r="F460" s="61">
        <f t="shared" si="13"/>
        <v>0</v>
      </c>
      <c r="G460" s="61">
        <v>0</v>
      </c>
      <c r="H460" s="61"/>
    </row>
    <row r="461" spans="1:8" ht="36" customHeight="1">
      <c r="A461" s="25" t="s">
        <v>164</v>
      </c>
      <c r="B461" s="13" t="s">
        <v>408</v>
      </c>
      <c r="C461" s="13" t="s">
        <v>393</v>
      </c>
      <c r="D461" s="13" t="s">
        <v>19</v>
      </c>
      <c r="E461" s="13" t="s">
        <v>426</v>
      </c>
      <c r="F461" s="61">
        <f t="shared" si="9"/>
        <v>5611.548</v>
      </c>
      <c r="G461" s="61">
        <f>G462+G468</f>
        <v>3745.7</v>
      </c>
      <c r="H461" s="61">
        <f>H462</f>
        <v>1865.848</v>
      </c>
    </row>
    <row r="462" spans="1:8" ht="45.75" customHeight="1">
      <c r="A462" s="25" t="s">
        <v>165</v>
      </c>
      <c r="B462" s="13" t="s">
        <v>408</v>
      </c>
      <c r="C462" s="13" t="s">
        <v>393</v>
      </c>
      <c r="D462" s="13" t="s">
        <v>20</v>
      </c>
      <c r="E462" s="13" t="s">
        <v>426</v>
      </c>
      <c r="F462" s="61">
        <f t="shared" si="9"/>
        <v>5324.048</v>
      </c>
      <c r="G462" s="61">
        <f>G463</f>
        <v>3458.2</v>
      </c>
      <c r="H462" s="61">
        <f>H463+H471</f>
        <v>1865.848</v>
      </c>
    </row>
    <row r="463" spans="1:10" ht="51" customHeight="1">
      <c r="A463" s="25" t="s">
        <v>169</v>
      </c>
      <c r="B463" s="13" t="s">
        <v>408</v>
      </c>
      <c r="C463" s="13" t="s">
        <v>393</v>
      </c>
      <c r="D463" s="13" t="s">
        <v>23</v>
      </c>
      <c r="E463" s="13" t="s">
        <v>426</v>
      </c>
      <c r="F463" s="61">
        <f t="shared" si="9"/>
        <v>3458.2</v>
      </c>
      <c r="G463" s="61">
        <f>G464+G466</f>
        <v>3458.2</v>
      </c>
      <c r="H463" s="61">
        <f>SUM(H464:H467)</f>
        <v>0</v>
      </c>
      <c r="J463" s="142"/>
    </row>
    <row r="464" spans="1:8" ht="95.25" customHeight="1">
      <c r="A464" s="25" t="s">
        <v>199</v>
      </c>
      <c r="B464" s="13" t="s">
        <v>408</v>
      </c>
      <c r="C464" s="13" t="s">
        <v>393</v>
      </c>
      <c r="D464" s="13" t="s">
        <v>23</v>
      </c>
      <c r="E464" s="13" t="s">
        <v>166</v>
      </c>
      <c r="F464" s="61">
        <f t="shared" si="9"/>
        <v>3313.2</v>
      </c>
      <c r="G464" s="61">
        <f>G465</f>
        <v>3313.2</v>
      </c>
      <c r="H464" s="61"/>
    </row>
    <row r="465" spans="1:8" ht="35.25" customHeight="1">
      <c r="A465" s="25" t="s">
        <v>201</v>
      </c>
      <c r="B465" s="13" t="s">
        <v>408</v>
      </c>
      <c r="C465" s="13" t="s">
        <v>393</v>
      </c>
      <c r="D465" s="13" t="s">
        <v>23</v>
      </c>
      <c r="E465" s="13" t="s">
        <v>200</v>
      </c>
      <c r="F465" s="61">
        <f t="shared" si="9"/>
        <v>3313.2</v>
      </c>
      <c r="G465" s="125">
        <f>2510.9+44+758.3</f>
        <v>3313.2</v>
      </c>
      <c r="H465" s="61"/>
    </row>
    <row r="466" spans="1:8" ht="34.5" customHeight="1">
      <c r="A466" s="25" t="s">
        <v>202</v>
      </c>
      <c r="B466" s="13" t="s">
        <v>408</v>
      </c>
      <c r="C466" s="13" t="s">
        <v>393</v>
      </c>
      <c r="D466" s="13" t="s">
        <v>23</v>
      </c>
      <c r="E466" s="13" t="s">
        <v>170</v>
      </c>
      <c r="F466" s="61">
        <f t="shared" si="9"/>
        <v>145</v>
      </c>
      <c r="G466" s="61">
        <f>G467</f>
        <v>145</v>
      </c>
      <c r="H466" s="61"/>
    </row>
    <row r="467" spans="1:8" ht="46.5" customHeight="1">
      <c r="A467" s="49" t="s">
        <v>203</v>
      </c>
      <c r="B467" s="13" t="s">
        <v>408</v>
      </c>
      <c r="C467" s="13" t="s">
        <v>393</v>
      </c>
      <c r="D467" s="13" t="s">
        <v>23</v>
      </c>
      <c r="E467" s="13" t="s">
        <v>204</v>
      </c>
      <c r="F467" s="61">
        <f t="shared" si="9"/>
        <v>145</v>
      </c>
      <c r="G467" s="125">
        <v>145</v>
      </c>
      <c r="H467" s="61"/>
    </row>
    <row r="468" spans="1:8" ht="18.75" customHeight="1">
      <c r="A468" s="49" t="s">
        <v>915</v>
      </c>
      <c r="B468" s="13" t="s">
        <v>408</v>
      </c>
      <c r="C468" s="13" t="s">
        <v>393</v>
      </c>
      <c r="D468" s="13" t="s">
        <v>916</v>
      </c>
      <c r="E468" s="13" t="s">
        <v>426</v>
      </c>
      <c r="F468" s="61">
        <f>G468</f>
        <v>287.5</v>
      </c>
      <c r="G468" s="125">
        <f>G469</f>
        <v>287.5</v>
      </c>
      <c r="H468" s="61"/>
    </row>
    <row r="469" spans="1:8" ht="36" customHeight="1">
      <c r="A469" s="25" t="s">
        <v>202</v>
      </c>
      <c r="B469" s="13" t="s">
        <v>408</v>
      </c>
      <c r="C469" s="13" t="s">
        <v>393</v>
      </c>
      <c r="D469" s="13" t="s">
        <v>916</v>
      </c>
      <c r="E469" s="13" t="s">
        <v>170</v>
      </c>
      <c r="F469" s="61">
        <f>G469</f>
        <v>287.5</v>
      </c>
      <c r="G469" s="125">
        <f>G470</f>
        <v>287.5</v>
      </c>
      <c r="H469" s="61"/>
    </row>
    <row r="470" spans="1:8" ht="46.5" customHeight="1">
      <c r="A470" s="49" t="s">
        <v>203</v>
      </c>
      <c r="B470" s="13" t="s">
        <v>408</v>
      </c>
      <c r="C470" s="13" t="s">
        <v>393</v>
      </c>
      <c r="D470" s="13" t="s">
        <v>916</v>
      </c>
      <c r="E470" s="13" t="s">
        <v>204</v>
      </c>
      <c r="F470" s="61">
        <f>G470</f>
        <v>287.5</v>
      </c>
      <c r="G470" s="125">
        <v>287.5</v>
      </c>
      <c r="H470" s="61"/>
    </row>
    <row r="471" spans="1:10" s="157" customFormat="1" ht="81.75" customHeight="1">
      <c r="A471" s="58" t="s">
        <v>710</v>
      </c>
      <c r="B471" s="17" t="s">
        <v>408</v>
      </c>
      <c r="C471" s="17" t="s">
        <v>393</v>
      </c>
      <c r="D471" s="17" t="s">
        <v>718</v>
      </c>
      <c r="E471" s="17" t="s">
        <v>426</v>
      </c>
      <c r="F471" s="110">
        <f aca="true" t="shared" si="14" ref="F471:F476">G471+H471</f>
        <v>1865.848</v>
      </c>
      <c r="G471" s="110">
        <v>0</v>
      </c>
      <c r="H471" s="110">
        <f>H472+H474</f>
        <v>1865.848</v>
      </c>
      <c r="J471" s="160"/>
    </row>
    <row r="472" spans="1:8" ht="97.5" customHeight="1">
      <c r="A472" s="25" t="s">
        <v>199</v>
      </c>
      <c r="B472" s="13" t="s">
        <v>408</v>
      </c>
      <c r="C472" s="13" t="s">
        <v>393</v>
      </c>
      <c r="D472" s="13" t="s">
        <v>718</v>
      </c>
      <c r="E472" s="13" t="s">
        <v>166</v>
      </c>
      <c r="F472" s="61">
        <f t="shared" si="14"/>
        <v>1311.899</v>
      </c>
      <c r="G472" s="61"/>
      <c r="H472" s="61">
        <f>H473</f>
        <v>1311.899</v>
      </c>
    </row>
    <row r="473" spans="1:8" ht="31.5" customHeight="1">
      <c r="A473" s="49" t="s">
        <v>201</v>
      </c>
      <c r="B473" s="13" t="s">
        <v>408</v>
      </c>
      <c r="C473" s="13" t="s">
        <v>393</v>
      </c>
      <c r="D473" s="13" t="s">
        <v>718</v>
      </c>
      <c r="E473" s="13" t="s">
        <v>200</v>
      </c>
      <c r="F473" s="61">
        <f t="shared" si="14"/>
        <v>1311.899</v>
      </c>
      <c r="G473" s="61"/>
      <c r="H473" s="61">
        <v>1311.899</v>
      </c>
    </row>
    <row r="474" spans="1:8" ht="35.25" customHeight="1">
      <c r="A474" s="25" t="s">
        <v>202</v>
      </c>
      <c r="B474" s="13" t="s">
        <v>408</v>
      </c>
      <c r="C474" s="13" t="s">
        <v>393</v>
      </c>
      <c r="D474" s="13" t="s">
        <v>718</v>
      </c>
      <c r="E474" s="13" t="s">
        <v>170</v>
      </c>
      <c r="F474" s="61">
        <f t="shared" si="14"/>
        <v>553.949</v>
      </c>
      <c r="G474" s="61"/>
      <c r="H474" s="61">
        <f>H475</f>
        <v>553.949</v>
      </c>
    </row>
    <row r="475" spans="1:8" ht="48" customHeight="1">
      <c r="A475" s="49" t="s">
        <v>203</v>
      </c>
      <c r="B475" s="13" t="s">
        <v>408</v>
      </c>
      <c r="C475" s="13" t="s">
        <v>393</v>
      </c>
      <c r="D475" s="13" t="s">
        <v>718</v>
      </c>
      <c r="E475" s="13" t="s">
        <v>204</v>
      </c>
      <c r="F475" s="61">
        <f t="shared" si="14"/>
        <v>553.949</v>
      </c>
      <c r="G475" s="61"/>
      <c r="H475" s="61">
        <v>553.949</v>
      </c>
    </row>
    <row r="476" spans="1:10" s="157" customFormat="1" ht="16.5" customHeight="1">
      <c r="A476" s="59" t="s">
        <v>198</v>
      </c>
      <c r="B476" s="17" t="s">
        <v>396</v>
      </c>
      <c r="C476" s="17" t="s">
        <v>162</v>
      </c>
      <c r="D476" s="17" t="s">
        <v>337</v>
      </c>
      <c r="E476" s="17" t="s">
        <v>426</v>
      </c>
      <c r="F476" s="110">
        <f t="shared" si="14"/>
        <v>14261.96968</v>
      </c>
      <c r="G476" s="110">
        <f>G477+G506</f>
        <v>12231.79679</v>
      </c>
      <c r="H476" s="110">
        <f>H477</f>
        <v>2030.17289</v>
      </c>
      <c r="I476" s="178"/>
      <c r="J476" s="160"/>
    </row>
    <row r="477" spans="1:11" s="141" customFormat="1" ht="18" customHeight="1">
      <c r="A477" s="29" t="s">
        <v>463</v>
      </c>
      <c r="B477" s="26" t="s">
        <v>396</v>
      </c>
      <c r="C477" s="26" t="s">
        <v>161</v>
      </c>
      <c r="D477" s="26" t="s">
        <v>337</v>
      </c>
      <c r="E477" s="26" t="s">
        <v>426</v>
      </c>
      <c r="F477" s="62">
        <f t="shared" si="9"/>
        <v>13272.85968</v>
      </c>
      <c r="G477" s="62">
        <f>G478</f>
        <v>11242.68679</v>
      </c>
      <c r="H477" s="62">
        <f>H478</f>
        <v>2030.17289</v>
      </c>
      <c r="K477" s="147"/>
    </row>
    <row r="478" spans="1:10" s="141" customFormat="1" ht="49.5" customHeight="1">
      <c r="A478" s="29" t="s">
        <v>495</v>
      </c>
      <c r="B478" s="26" t="s">
        <v>396</v>
      </c>
      <c r="C478" s="26" t="s">
        <v>161</v>
      </c>
      <c r="D478" s="26" t="s">
        <v>83</v>
      </c>
      <c r="E478" s="26" t="s">
        <v>426</v>
      </c>
      <c r="F478" s="62">
        <f t="shared" si="9"/>
        <v>13272.85968</v>
      </c>
      <c r="G478" s="62">
        <f>G479+G486+G493+G496+G503+G484</f>
        <v>11242.68679</v>
      </c>
      <c r="H478" s="62">
        <f>H486+H496</f>
        <v>2030.17289</v>
      </c>
      <c r="I478" s="147"/>
      <c r="J478" s="175"/>
    </row>
    <row r="479" spans="1:11" ht="69.75" customHeight="1">
      <c r="A479" s="30" t="s">
        <v>559</v>
      </c>
      <c r="B479" s="13" t="s">
        <v>396</v>
      </c>
      <c r="C479" s="13" t="s">
        <v>161</v>
      </c>
      <c r="D479" s="13" t="s">
        <v>84</v>
      </c>
      <c r="E479" s="13" t="s">
        <v>426</v>
      </c>
      <c r="F479" s="61">
        <f t="shared" si="9"/>
        <v>7770.509999999999</v>
      </c>
      <c r="G479" s="61">
        <f>G480+G482</f>
        <v>7770.509999999999</v>
      </c>
      <c r="H479" s="61"/>
      <c r="K479" s="148"/>
    </row>
    <row r="480" spans="1:8" ht="50.25" customHeight="1">
      <c r="A480" s="25" t="s">
        <v>225</v>
      </c>
      <c r="B480" s="13" t="s">
        <v>396</v>
      </c>
      <c r="C480" s="13" t="s">
        <v>161</v>
      </c>
      <c r="D480" s="13" t="s">
        <v>85</v>
      </c>
      <c r="E480" s="13" t="s">
        <v>226</v>
      </c>
      <c r="F480" s="61">
        <f t="shared" si="9"/>
        <v>6150.509999999999</v>
      </c>
      <c r="G480" s="61">
        <f>G481</f>
        <v>6150.509999999999</v>
      </c>
      <c r="H480" s="61"/>
    </row>
    <row r="481" spans="1:8" ht="18" customHeight="1">
      <c r="A481" s="25" t="s">
        <v>227</v>
      </c>
      <c r="B481" s="13" t="s">
        <v>396</v>
      </c>
      <c r="C481" s="13" t="s">
        <v>161</v>
      </c>
      <c r="D481" s="13" t="s">
        <v>86</v>
      </c>
      <c r="E481" s="13" t="s">
        <v>304</v>
      </c>
      <c r="F481" s="61">
        <f t="shared" si="9"/>
        <v>6150.509999999999</v>
      </c>
      <c r="G481" s="61">
        <f>5802.65+100+72.86+25+150</f>
        <v>6150.509999999999</v>
      </c>
      <c r="H481" s="61"/>
    </row>
    <row r="482" spans="1:8" ht="112.5" customHeight="1">
      <c r="A482" s="25" t="s">
        <v>105</v>
      </c>
      <c r="B482" s="13" t="s">
        <v>396</v>
      </c>
      <c r="C482" s="13" t="s">
        <v>161</v>
      </c>
      <c r="D482" s="13" t="s">
        <v>104</v>
      </c>
      <c r="E482" s="13" t="s">
        <v>304</v>
      </c>
      <c r="F482" s="61">
        <f t="shared" si="9"/>
        <v>1620</v>
      </c>
      <c r="G482" s="61">
        <f>G483</f>
        <v>1620</v>
      </c>
      <c r="H482" s="61"/>
    </row>
    <row r="483" spans="1:8" ht="18" customHeight="1">
      <c r="A483" s="25" t="s">
        <v>227</v>
      </c>
      <c r="B483" s="13" t="s">
        <v>396</v>
      </c>
      <c r="C483" s="13" t="s">
        <v>161</v>
      </c>
      <c r="D483" s="13" t="s">
        <v>104</v>
      </c>
      <c r="E483" s="13" t="s">
        <v>304</v>
      </c>
      <c r="F483" s="61">
        <f>G483+H483</f>
        <v>1620</v>
      </c>
      <c r="G483" s="61">
        <f>1101.5+518.5</f>
        <v>1620</v>
      </c>
      <c r="H483" s="61"/>
    </row>
    <row r="484" spans="1:8" ht="102.75" customHeight="1">
      <c r="A484" s="25" t="s">
        <v>799</v>
      </c>
      <c r="B484" s="13" t="s">
        <v>396</v>
      </c>
      <c r="C484" s="13" t="s">
        <v>161</v>
      </c>
      <c r="D484" s="13" t="s">
        <v>828</v>
      </c>
      <c r="E484" s="13" t="s">
        <v>426</v>
      </c>
      <c r="F484" s="61">
        <f>G484</f>
        <v>0</v>
      </c>
      <c r="G484" s="61">
        <f>G485</f>
        <v>0</v>
      </c>
      <c r="H484" s="61"/>
    </row>
    <row r="485" spans="1:8" ht="21" customHeight="1">
      <c r="A485" s="25" t="s">
        <v>227</v>
      </c>
      <c r="B485" s="13" t="s">
        <v>396</v>
      </c>
      <c r="C485" s="13" t="s">
        <v>161</v>
      </c>
      <c r="D485" s="13" t="s">
        <v>828</v>
      </c>
      <c r="E485" s="13" t="s">
        <v>304</v>
      </c>
      <c r="F485" s="61">
        <f>G485</f>
        <v>0</v>
      </c>
      <c r="G485" s="61">
        <f>25-25</f>
        <v>0</v>
      </c>
      <c r="H485" s="61"/>
    </row>
    <row r="486" spans="1:8" ht="77.25" customHeight="1">
      <c r="A486" s="59" t="s">
        <v>610</v>
      </c>
      <c r="B486" s="17" t="s">
        <v>396</v>
      </c>
      <c r="C486" s="17" t="s">
        <v>161</v>
      </c>
      <c r="D486" s="17" t="s">
        <v>84</v>
      </c>
      <c r="E486" s="17" t="s">
        <v>426</v>
      </c>
      <c r="F486" s="110">
        <f>G486+H486</f>
        <v>1823.94949</v>
      </c>
      <c r="G486" s="110">
        <f>G487+G490</f>
        <v>20.21949</v>
      </c>
      <c r="H486" s="110">
        <f>H487</f>
        <v>1803.73</v>
      </c>
    </row>
    <row r="487" spans="1:8" ht="79.5" customHeight="1">
      <c r="A487" s="29" t="s">
        <v>611</v>
      </c>
      <c r="B487" s="26" t="s">
        <v>396</v>
      </c>
      <c r="C487" s="26" t="s">
        <v>161</v>
      </c>
      <c r="D487" s="26" t="s">
        <v>612</v>
      </c>
      <c r="E487" s="26" t="s">
        <v>426</v>
      </c>
      <c r="F487" s="62">
        <f>G487+H487</f>
        <v>1803.73</v>
      </c>
      <c r="G487" s="62">
        <f>G488</f>
        <v>0</v>
      </c>
      <c r="H487" s="62">
        <f>H488</f>
        <v>1803.73</v>
      </c>
    </row>
    <row r="488" spans="1:8" ht="48.75" customHeight="1">
      <c r="A488" s="25" t="s">
        <v>225</v>
      </c>
      <c r="B488" s="13" t="s">
        <v>396</v>
      </c>
      <c r="C488" s="13" t="s">
        <v>161</v>
      </c>
      <c r="D488" s="13" t="s">
        <v>612</v>
      </c>
      <c r="E488" s="13" t="s">
        <v>226</v>
      </c>
      <c r="F488" s="61">
        <f>G488+H488</f>
        <v>1803.73</v>
      </c>
      <c r="G488" s="61">
        <f>G489</f>
        <v>0</v>
      </c>
      <c r="H488" s="61">
        <f>H489</f>
        <v>1803.73</v>
      </c>
    </row>
    <row r="489" spans="1:8" ht="20.25" customHeight="1">
      <c r="A489" s="25" t="s">
        <v>227</v>
      </c>
      <c r="B489" s="13" t="s">
        <v>396</v>
      </c>
      <c r="C489" s="13" t="s">
        <v>161</v>
      </c>
      <c r="D489" s="13" t="s">
        <v>612</v>
      </c>
      <c r="E489" s="13" t="s">
        <v>304</v>
      </c>
      <c r="F489" s="61">
        <f>G489+H489</f>
        <v>1803.73</v>
      </c>
      <c r="G489" s="61"/>
      <c r="H489" s="61">
        <v>1803.73</v>
      </c>
    </row>
    <row r="490" spans="1:8" ht="128.25" customHeight="1">
      <c r="A490" s="29" t="s">
        <v>633</v>
      </c>
      <c r="B490" s="26" t="s">
        <v>396</v>
      </c>
      <c r="C490" s="26" t="s">
        <v>161</v>
      </c>
      <c r="D490" s="26" t="s">
        <v>613</v>
      </c>
      <c r="E490" s="26" t="s">
        <v>426</v>
      </c>
      <c r="F490" s="62">
        <f>G490</f>
        <v>20.21949</v>
      </c>
      <c r="G490" s="62">
        <f>G491</f>
        <v>20.21949</v>
      </c>
      <c r="H490" s="62"/>
    </row>
    <row r="491" spans="1:8" ht="51.75" customHeight="1">
      <c r="A491" s="25" t="s">
        <v>225</v>
      </c>
      <c r="B491" s="13" t="s">
        <v>396</v>
      </c>
      <c r="C491" s="13" t="s">
        <v>161</v>
      </c>
      <c r="D491" s="13" t="s">
        <v>613</v>
      </c>
      <c r="E491" s="13" t="s">
        <v>226</v>
      </c>
      <c r="F491" s="61">
        <f>G491</f>
        <v>20.21949</v>
      </c>
      <c r="G491" s="61">
        <f>G492</f>
        <v>20.21949</v>
      </c>
      <c r="H491" s="61"/>
    </row>
    <row r="492" spans="1:8" ht="23.25" customHeight="1">
      <c r="A492" s="25" t="s">
        <v>227</v>
      </c>
      <c r="B492" s="13" t="s">
        <v>396</v>
      </c>
      <c r="C492" s="13" t="s">
        <v>161</v>
      </c>
      <c r="D492" s="13" t="s">
        <v>613</v>
      </c>
      <c r="E492" s="13" t="s">
        <v>304</v>
      </c>
      <c r="F492" s="61">
        <f>G492</f>
        <v>20.21949</v>
      </c>
      <c r="G492" s="61">
        <f>18.21949+2</f>
        <v>20.21949</v>
      </c>
      <c r="H492" s="61"/>
    </row>
    <row r="493" spans="1:8" ht="72.75" customHeight="1">
      <c r="A493" s="30" t="s">
        <v>560</v>
      </c>
      <c r="B493" s="13" t="s">
        <v>396</v>
      </c>
      <c r="C493" s="13" t="s">
        <v>161</v>
      </c>
      <c r="D493" s="13" t="s">
        <v>87</v>
      </c>
      <c r="E493" s="13" t="s">
        <v>426</v>
      </c>
      <c r="F493" s="61">
        <f>G493+H493</f>
        <v>2243.2400000000002</v>
      </c>
      <c r="G493" s="61">
        <f>G494</f>
        <v>2243.2400000000002</v>
      </c>
      <c r="H493" s="61"/>
    </row>
    <row r="494" spans="1:8" ht="48" customHeight="1">
      <c r="A494" s="25" t="s">
        <v>225</v>
      </c>
      <c r="B494" s="13" t="s">
        <v>396</v>
      </c>
      <c r="C494" s="13" t="s">
        <v>161</v>
      </c>
      <c r="D494" s="13" t="s">
        <v>87</v>
      </c>
      <c r="E494" s="13" t="s">
        <v>226</v>
      </c>
      <c r="F494" s="61">
        <f>G494+H494</f>
        <v>2243.2400000000002</v>
      </c>
      <c r="G494" s="61">
        <f>G495</f>
        <v>2243.2400000000002</v>
      </c>
      <c r="H494" s="61"/>
    </row>
    <row r="495" spans="1:8" ht="18" customHeight="1">
      <c r="A495" s="25" t="s">
        <v>227</v>
      </c>
      <c r="B495" s="13" t="s">
        <v>396</v>
      </c>
      <c r="C495" s="13" t="s">
        <v>161</v>
      </c>
      <c r="D495" s="13" t="s">
        <v>87</v>
      </c>
      <c r="E495" s="13" t="s">
        <v>304</v>
      </c>
      <c r="F495" s="61">
        <f>G495+H495</f>
        <v>2243.2400000000002</v>
      </c>
      <c r="G495" s="61">
        <f>1566.14+610.1+67</f>
        <v>2243.2400000000002</v>
      </c>
      <c r="H495" s="61"/>
    </row>
    <row r="496" spans="1:8" ht="66.75" customHeight="1">
      <c r="A496" s="59" t="s">
        <v>614</v>
      </c>
      <c r="B496" s="17" t="s">
        <v>396</v>
      </c>
      <c r="C496" s="17" t="s">
        <v>161</v>
      </c>
      <c r="D496" s="17" t="s">
        <v>615</v>
      </c>
      <c r="E496" s="17" t="s">
        <v>426</v>
      </c>
      <c r="F496" s="110">
        <f>G496+H496</f>
        <v>228.73019</v>
      </c>
      <c r="G496" s="110">
        <f>G500</f>
        <v>2.2873</v>
      </c>
      <c r="H496" s="110">
        <f>H497</f>
        <v>226.44289</v>
      </c>
    </row>
    <row r="497" spans="1:8" ht="75" customHeight="1">
      <c r="A497" s="29" t="s">
        <v>634</v>
      </c>
      <c r="B497" s="26" t="s">
        <v>396</v>
      </c>
      <c r="C497" s="26" t="s">
        <v>161</v>
      </c>
      <c r="D497" s="26" t="s">
        <v>616</v>
      </c>
      <c r="E497" s="26" t="s">
        <v>426</v>
      </c>
      <c r="F497" s="62">
        <f>H497</f>
        <v>226.44289</v>
      </c>
      <c r="G497" s="62"/>
      <c r="H497" s="62">
        <f>H498</f>
        <v>226.44289</v>
      </c>
    </row>
    <row r="498" spans="1:8" ht="48.75" customHeight="1">
      <c r="A498" s="25" t="s">
        <v>225</v>
      </c>
      <c r="B498" s="13" t="s">
        <v>396</v>
      </c>
      <c r="C498" s="13" t="s">
        <v>161</v>
      </c>
      <c r="D498" s="13" t="s">
        <v>616</v>
      </c>
      <c r="E498" s="13" t="s">
        <v>226</v>
      </c>
      <c r="F498" s="61">
        <f>H498</f>
        <v>226.44289</v>
      </c>
      <c r="G498" s="61"/>
      <c r="H498" s="61">
        <f>H499</f>
        <v>226.44289</v>
      </c>
    </row>
    <row r="499" spans="1:8" ht="24.75" customHeight="1">
      <c r="A499" s="25" t="s">
        <v>227</v>
      </c>
      <c r="B499" s="13" t="s">
        <v>396</v>
      </c>
      <c r="C499" s="13" t="s">
        <v>161</v>
      </c>
      <c r="D499" s="13" t="s">
        <v>616</v>
      </c>
      <c r="E499" s="13" t="s">
        <v>304</v>
      </c>
      <c r="F499" s="61">
        <f>H499</f>
        <v>226.44289</v>
      </c>
      <c r="G499" s="61"/>
      <c r="H499" s="61">
        <v>226.44289</v>
      </c>
    </row>
    <row r="500" spans="1:12" ht="108" customHeight="1">
      <c r="A500" s="29" t="s">
        <v>635</v>
      </c>
      <c r="B500" s="26" t="s">
        <v>396</v>
      </c>
      <c r="C500" s="26" t="s">
        <v>161</v>
      </c>
      <c r="D500" s="26" t="s">
        <v>617</v>
      </c>
      <c r="E500" s="26" t="s">
        <v>426</v>
      </c>
      <c r="F500" s="62">
        <f>G500</f>
        <v>2.2873</v>
      </c>
      <c r="G500" s="62">
        <f>G501</f>
        <v>2.2873</v>
      </c>
      <c r="H500" s="62"/>
      <c r="L500" s="242"/>
    </row>
    <row r="501" spans="1:9" ht="48.75" customHeight="1">
      <c r="A501" s="25" t="s">
        <v>225</v>
      </c>
      <c r="B501" s="13" t="s">
        <v>396</v>
      </c>
      <c r="C501" s="13" t="s">
        <v>161</v>
      </c>
      <c r="D501" s="13" t="s">
        <v>617</v>
      </c>
      <c r="E501" s="13" t="s">
        <v>226</v>
      </c>
      <c r="F501" s="61">
        <f>G501</f>
        <v>2.2873</v>
      </c>
      <c r="G501" s="61">
        <f>G502</f>
        <v>2.2873</v>
      </c>
      <c r="H501" s="61"/>
      <c r="I501" s="149"/>
    </row>
    <row r="502" spans="1:9" ht="23.25" customHeight="1">
      <c r="A502" s="25" t="s">
        <v>227</v>
      </c>
      <c r="B502" s="13" t="s">
        <v>396</v>
      </c>
      <c r="C502" s="13" t="s">
        <v>161</v>
      </c>
      <c r="D502" s="13" t="s">
        <v>617</v>
      </c>
      <c r="E502" s="13" t="s">
        <v>304</v>
      </c>
      <c r="F502" s="61">
        <f>G502</f>
        <v>2.2873</v>
      </c>
      <c r="G502" s="61">
        <v>2.2873</v>
      </c>
      <c r="H502" s="61"/>
      <c r="I502" s="142"/>
    </row>
    <row r="503" spans="1:8" ht="99" customHeight="1">
      <c r="A503" s="30" t="s">
        <v>561</v>
      </c>
      <c r="B503" s="13" t="s">
        <v>396</v>
      </c>
      <c r="C503" s="13" t="s">
        <v>161</v>
      </c>
      <c r="D503" s="13" t="s">
        <v>88</v>
      </c>
      <c r="E503" s="13" t="s">
        <v>426</v>
      </c>
      <c r="F503" s="61">
        <f>G503+H503</f>
        <v>1206.43</v>
      </c>
      <c r="G503" s="61">
        <f>G504</f>
        <v>1206.43</v>
      </c>
      <c r="H503" s="61"/>
    </row>
    <row r="504" spans="1:8" ht="48.75" customHeight="1">
      <c r="A504" s="25" t="s">
        <v>225</v>
      </c>
      <c r="B504" s="13" t="s">
        <v>396</v>
      </c>
      <c r="C504" s="13" t="s">
        <v>161</v>
      </c>
      <c r="D504" s="13" t="s">
        <v>88</v>
      </c>
      <c r="E504" s="13" t="s">
        <v>226</v>
      </c>
      <c r="F504" s="61">
        <f>G504+H504</f>
        <v>1206.43</v>
      </c>
      <c r="G504" s="61">
        <f>G505</f>
        <v>1206.43</v>
      </c>
      <c r="H504" s="61"/>
    </row>
    <row r="505" spans="1:8" ht="16.5" customHeight="1">
      <c r="A505" s="25" t="s">
        <v>227</v>
      </c>
      <c r="B505" s="13" t="s">
        <v>396</v>
      </c>
      <c r="C505" s="13" t="s">
        <v>161</v>
      </c>
      <c r="D505" s="13" t="s">
        <v>88</v>
      </c>
      <c r="E505" s="13" t="s">
        <v>304</v>
      </c>
      <c r="F505" s="61">
        <f>G505+H505</f>
        <v>1206.43</v>
      </c>
      <c r="G505" s="61">
        <f>1181.43+25</f>
        <v>1206.43</v>
      </c>
      <c r="H505" s="61"/>
    </row>
    <row r="506" spans="1:10" ht="32.25" customHeight="1">
      <c r="A506" s="25" t="s">
        <v>14</v>
      </c>
      <c r="B506" s="13" t="s">
        <v>396</v>
      </c>
      <c r="C506" s="13" t="s">
        <v>172</v>
      </c>
      <c r="D506" s="13" t="s">
        <v>337</v>
      </c>
      <c r="E506" s="13" t="s">
        <v>426</v>
      </c>
      <c r="F506" s="61">
        <f>G506+H506</f>
        <v>989.11</v>
      </c>
      <c r="G506" s="61">
        <f>G508+G511+G514+G519+G522</f>
        <v>989.11</v>
      </c>
      <c r="H506" s="61">
        <f>H508+H511+H514+H519+H522</f>
        <v>0</v>
      </c>
      <c r="J506" s="148"/>
    </row>
    <row r="507" spans="1:10" ht="50.25" customHeight="1">
      <c r="A507" s="29" t="s">
        <v>495</v>
      </c>
      <c r="B507" s="26" t="s">
        <v>396</v>
      </c>
      <c r="C507" s="26" t="s">
        <v>172</v>
      </c>
      <c r="D507" s="26" t="s">
        <v>83</v>
      </c>
      <c r="E507" s="26" t="s">
        <v>426</v>
      </c>
      <c r="F507" s="62">
        <f>G507</f>
        <v>917.91</v>
      </c>
      <c r="G507" s="62">
        <f>G508</f>
        <v>917.91</v>
      </c>
      <c r="H507" s="61"/>
      <c r="J507" s="148"/>
    </row>
    <row r="508" spans="1:8" ht="37.5" customHeight="1">
      <c r="A508" s="30" t="s">
        <v>562</v>
      </c>
      <c r="B508" s="13" t="s">
        <v>396</v>
      </c>
      <c r="C508" s="13" t="s">
        <v>172</v>
      </c>
      <c r="D508" s="13" t="s">
        <v>89</v>
      </c>
      <c r="E508" s="13" t="s">
        <v>426</v>
      </c>
      <c r="F508" s="61">
        <f aca="true" t="shared" si="15" ref="F508:F521">G508+H508</f>
        <v>917.91</v>
      </c>
      <c r="G508" s="61">
        <f>G509</f>
        <v>917.91</v>
      </c>
      <c r="H508" s="61"/>
    </row>
    <row r="509" spans="1:8" ht="50.25" customHeight="1">
      <c r="A509" s="25" t="s">
        <v>225</v>
      </c>
      <c r="B509" s="13" t="s">
        <v>396</v>
      </c>
      <c r="C509" s="13" t="s">
        <v>172</v>
      </c>
      <c r="D509" s="13" t="s">
        <v>89</v>
      </c>
      <c r="E509" s="13" t="s">
        <v>226</v>
      </c>
      <c r="F509" s="61">
        <f t="shared" si="15"/>
        <v>917.91</v>
      </c>
      <c r="G509" s="61">
        <f>G510</f>
        <v>917.91</v>
      </c>
      <c r="H509" s="61"/>
    </row>
    <row r="510" spans="1:9" ht="17.25" customHeight="1">
      <c r="A510" s="25" t="s">
        <v>227</v>
      </c>
      <c r="B510" s="13" t="s">
        <v>396</v>
      </c>
      <c r="C510" s="13" t="s">
        <v>172</v>
      </c>
      <c r="D510" s="13" t="s">
        <v>89</v>
      </c>
      <c r="E510" s="13" t="s">
        <v>304</v>
      </c>
      <c r="F510" s="61">
        <f t="shared" si="15"/>
        <v>917.91</v>
      </c>
      <c r="G510" s="61">
        <f>897.91+20</f>
        <v>917.91</v>
      </c>
      <c r="H510" s="61"/>
      <c r="I510" s="148"/>
    </row>
    <row r="511" spans="1:8" s="141" customFormat="1" ht="48" customHeight="1">
      <c r="A511" s="29" t="s">
        <v>490</v>
      </c>
      <c r="B511" s="26" t="s">
        <v>396</v>
      </c>
      <c r="C511" s="26" t="s">
        <v>172</v>
      </c>
      <c r="D511" s="26" t="s">
        <v>38</v>
      </c>
      <c r="E511" s="26" t="s">
        <v>426</v>
      </c>
      <c r="F511" s="62">
        <f t="shared" si="15"/>
        <v>39</v>
      </c>
      <c r="G511" s="62">
        <f>G512</f>
        <v>39</v>
      </c>
      <c r="H511" s="62">
        <f>H512</f>
        <v>0</v>
      </c>
    </row>
    <row r="512" spans="1:8" ht="33.75" customHeight="1">
      <c r="A512" s="30" t="s">
        <v>90</v>
      </c>
      <c r="B512" s="13" t="s">
        <v>396</v>
      </c>
      <c r="C512" s="13" t="s">
        <v>172</v>
      </c>
      <c r="D512" s="13" t="s">
        <v>39</v>
      </c>
      <c r="E512" s="13" t="s">
        <v>426</v>
      </c>
      <c r="F512" s="61">
        <f t="shared" si="15"/>
        <v>39</v>
      </c>
      <c r="G512" s="61">
        <f>G513</f>
        <v>39</v>
      </c>
      <c r="H512" s="61">
        <f>H513</f>
        <v>0</v>
      </c>
    </row>
    <row r="513" spans="1:8" ht="17.25" customHeight="1">
      <c r="A513" s="25" t="s">
        <v>227</v>
      </c>
      <c r="B513" s="13" t="s">
        <v>396</v>
      </c>
      <c r="C513" s="13" t="s">
        <v>172</v>
      </c>
      <c r="D513" s="13" t="s">
        <v>91</v>
      </c>
      <c r="E513" s="13" t="s">
        <v>304</v>
      </c>
      <c r="F513" s="61">
        <f t="shared" si="15"/>
        <v>39</v>
      </c>
      <c r="G513" s="61">
        <v>39</v>
      </c>
      <c r="H513" s="61"/>
    </row>
    <row r="514" spans="1:8" s="141" customFormat="1" ht="64.5" customHeight="1">
      <c r="A514" s="29" t="s">
        <v>492</v>
      </c>
      <c r="B514" s="26" t="s">
        <v>396</v>
      </c>
      <c r="C514" s="26" t="s">
        <v>172</v>
      </c>
      <c r="D514" s="26" t="s">
        <v>78</v>
      </c>
      <c r="E514" s="26" t="s">
        <v>426</v>
      </c>
      <c r="F514" s="62">
        <f t="shared" si="15"/>
        <v>2</v>
      </c>
      <c r="G514" s="62">
        <f>G515</f>
        <v>2</v>
      </c>
      <c r="H514" s="62">
        <f>H515</f>
        <v>0</v>
      </c>
    </row>
    <row r="515" spans="1:8" s="157" customFormat="1" ht="33.75" customHeight="1">
      <c r="A515" s="25" t="s">
        <v>356</v>
      </c>
      <c r="B515" s="13" t="s">
        <v>396</v>
      </c>
      <c r="C515" s="13" t="s">
        <v>172</v>
      </c>
      <c r="D515" s="13" t="s">
        <v>92</v>
      </c>
      <c r="E515" s="13" t="s">
        <v>304</v>
      </c>
      <c r="F515" s="61">
        <f t="shared" si="15"/>
        <v>2</v>
      </c>
      <c r="G515" s="61">
        <v>2</v>
      </c>
      <c r="H515" s="110"/>
    </row>
    <row r="516" spans="1:8" s="157" customFormat="1" ht="48" customHeight="1" hidden="1">
      <c r="A516" s="44" t="s">
        <v>453</v>
      </c>
      <c r="B516" s="26" t="s">
        <v>396</v>
      </c>
      <c r="C516" s="26" t="s">
        <v>172</v>
      </c>
      <c r="D516" s="26" t="s">
        <v>48</v>
      </c>
      <c r="E516" s="26" t="s">
        <v>426</v>
      </c>
      <c r="F516" s="62">
        <f t="shared" si="15"/>
        <v>0</v>
      </c>
      <c r="G516" s="62">
        <f>G517</f>
        <v>0</v>
      </c>
      <c r="H516" s="62">
        <f>H518</f>
        <v>0</v>
      </c>
    </row>
    <row r="517" spans="1:8" ht="35.25" customHeight="1" hidden="1">
      <c r="A517" s="25" t="s">
        <v>356</v>
      </c>
      <c r="B517" s="13" t="s">
        <v>396</v>
      </c>
      <c r="C517" s="13" t="s">
        <v>172</v>
      </c>
      <c r="D517" s="13" t="s">
        <v>517</v>
      </c>
      <c r="E517" s="13" t="s">
        <v>304</v>
      </c>
      <c r="F517" s="62">
        <f t="shared" si="15"/>
        <v>0</v>
      </c>
      <c r="G517" s="61"/>
      <c r="H517" s="145"/>
    </row>
    <row r="518" spans="1:8" ht="35.25" customHeight="1" hidden="1">
      <c r="A518" s="25" t="s">
        <v>525</v>
      </c>
      <c r="B518" s="13" t="s">
        <v>396</v>
      </c>
      <c r="C518" s="13" t="s">
        <v>172</v>
      </c>
      <c r="D518" s="13" t="s">
        <v>517</v>
      </c>
      <c r="E518" s="13" t="s">
        <v>304</v>
      </c>
      <c r="F518" s="61">
        <f t="shared" si="15"/>
        <v>0</v>
      </c>
      <c r="G518" s="61">
        <v>0</v>
      </c>
      <c r="H518" s="109"/>
    </row>
    <row r="519" spans="1:8" ht="81" customHeight="1">
      <c r="A519" s="29" t="s">
        <v>551</v>
      </c>
      <c r="B519" s="26" t="s">
        <v>396</v>
      </c>
      <c r="C519" s="26" t="s">
        <v>172</v>
      </c>
      <c r="D519" s="26" t="s">
        <v>549</v>
      </c>
      <c r="E519" s="26" t="s">
        <v>426</v>
      </c>
      <c r="F519" s="62">
        <f t="shared" si="15"/>
        <v>30.2</v>
      </c>
      <c r="G519" s="62">
        <f>G520</f>
        <v>30.2</v>
      </c>
      <c r="H519" s="130"/>
    </row>
    <row r="520" spans="1:8" ht="49.5" customHeight="1">
      <c r="A520" s="25" t="s">
        <v>225</v>
      </c>
      <c r="B520" s="13" t="s">
        <v>396</v>
      </c>
      <c r="C520" s="13" t="s">
        <v>172</v>
      </c>
      <c r="D520" s="13" t="s">
        <v>907</v>
      </c>
      <c r="E520" s="13" t="s">
        <v>226</v>
      </c>
      <c r="F520" s="61">
        <f t="shared" si="15"/>
        <v>30.2</v>
      </c>
      <c r="G520" s="61">
        <f>G521</f>
        <v>30.2</v>
      </c>
      <c r="H520" s="109"/>
    </row>
    <row r="521" spans="1:8" ht="27" customHeight="1">
      <c r="A521" s="25" t="s">
        <v>227</v>
      </c>
      <c r="B521" s="13" t="s">
        <v>396</v>
      </c>
      <c r="C521" s="13" t="s">
        <v>172</v>
      </c>
      <c r="D521" s="13" t="s">
        <v>907</v>
      </c>
      <c r="E521" s="13" t="s">
        <v>304</v>
      </c>
      <c r="F521" s="61">
        <f t="shared" si="15"/>
        <v>30.2</v>
      </c>
      <c r="G521" s="61">
        <v>30.2</v>
      </c>
      <c r="H521" s="109"/>
    </row>
    <row r="522" spans="1:9" ht="51" customHeight="1" hidden="1">
      <c r="A522" s="29" t="s">
        <v>495</v>
      </c>
      <c r="B522" s="26" t="s">
        <v>396</v>
      </c>
      <c r="C522" s="26" t="s">
        <v>172</v>
      </c>
      <c r="D522" s="26" t="s">
        <v>83</v>
      </c>
      <c r="E522" s="26" t="s">
        <v>426</v>
      </c>
      <c r="F522" s="62">
        <f aca="true" t="shared" si="16" ref="F522:F527">G522</f>
        <v>0</v>
      </c>
      <c r="G522" s="62">
        <f>G523</f>
        <v>0</v>
      </c>
      <c r="H522" s="145"/>
      <c r="I522" s="146"/>
    </row>
    <row r="523" spans="1:8" ht="71.25" customHeight="1" hidden="1">
      <c r="A523" s="30" t="s">
        <v>563</v>
      </c>
      <c r="B523" s="13" t="s">
        <v>396</v>
      </c>
      <c r="C523" s="13" t="s">
        <v>172</v>
      </c>
      <c r="D523" s="13" t="s">
        <v>520</v>
      </c>
      <c r="E523" s="13" t="s">
        <v>426</v>
      </c>
      <c r="F523" s="61">
        <f t="shared" si="16"/>
        <v>0</v>
      </c>
      <c r="G523" s="61">
        <f>G524+G526</f>
        <v>0</v>
      </c>
      <c r="H523" s="145"/>
    </row>
    <row r="524" spans="1:8" ht="44.25" customHeight="1" hidden="1">
      <c r="A524" s="25" t="s">
        <v>199</v>
      </c>
      <c r="B524" s="13" t="s">
        <v>396</v>
      </c>
      <c r="C524" s="13" t="s">
        <v>172</v>
      </c>
      <c r="D524" s="13" t="s">
        <v>520</v>
      </c>
      <c r="E524" s="13" t="s">
        <v>166</v>
      </c>
      <c r="F524" s="61">
        <f t="shared" si="16"/>
        <v>0</v>
      </c>
      <c r="G524" s="61">
        <f>G525</f>
        <v>0</v>
      </c>
      <c r="H524" s="145"/>
    </row>
    <row r="525" spans="1:8" ht="33" customHeight="1" hidden="1">
      <c r="A525" s="25" t="s">
        <v>215</v>
      </c>
      <c r="B525" s="13" t="s">
        <v>396</v>
      </c>
      <c r="C525" s="13" t="s">
        <v>172</v>
      </c>
      <c r="D525" s="13" t="s">
        <v>520</v>
      </c>
      <c r="E525" s="13" t="s">
        <v>173</v>
      </c>
      <c r="F525" s="61">
        <f t="shared" si="16"/>
        <v>0</v>
      </c>
      <c r="G525" s="61">
        <v>0</v>
      </c>
      <c r="H525" s="145"/>
    </row>
    <row r="526" spans="1:8" ht="39.75" customHeight="1" hidden="1">
      <c r="A526" s="25" t="s">
        <v>202</v>
      </c>
      <c r="B526" s="13" t="s">
        <v>396</v>
      </c>
      <c r="C526" s="13" t="s">
        <v>172</v>
      </c>
      <c r="D526" s="13" t="s">
        <v>520</v>
      </c>
      <c r="E526" s="13" t="s">
        <v>170</v>
      </c>
      <c r="F526" s="61">
        <f t="shared" si="16"/>
        <v>0</v>
      </c>
      <c r="G526" s="61">
        <f>G527</f>
        <v>0</v>
      </c>
      <c r="H526" s="145"/>
    </row>
    <row r="527" spans="1:8" ht="47.25" customHeight="1" hidden="1">
      <c r="A527" s="49" t="s">
        <v>203</v>
      </c>
      <c r="B527" s="13" t="s">
        <v>396</v>
      </c>
      <c r="C527" s="13" t="s">
        <v>172</v>
      </c>
      <c r="D527" s="13" t="s">
        <v>520</v>
      </c>
      <c r="E527" s="13" t="s">
        <v>204</v>
      </c>
      <c r="F527" s="61">
        <f t="shared" si="16"/>
        <v>0</v>
      </c>
      <c r="G527" s="61">
        <v>0</v>
      </c>
      <c r="H527" s="145"/>
    </row>
    <row r="528" spans="1:11" ht="18.75" customHeight="1">
      <c r="A528" s="59" t="s">
        <v>243</v>
      </c>
      <c r="B528" s="17" t="s">
        <v>244</v>
      </c>
      <c r="C528" s="17" t="s">
        <v>161</v>
      </c>
      <c r="D528" s="17" t="s">
        <v>337</v>
      </c>
      <c r="E528" s="17" t="s">
        <v>426</v>
      </c>
      <c r="F528" s="110">
        <f aca="true" t="shared" si="17" ref="F528:F534">G528+H528</f>
        <v>45910.84965999999</v>
      </c>
      <c r="G528" s="110">
        <f>G529+G534+G544</f>
        <v>967.6</v>
      </c>
      <c r="H528" s="110">
        <f>H529+H534+H544</f>
        <v>44943.249659999994</v>
      </c>
      <c r="I528" s="142"/>
      <c r="K528" s="146"/>
    </row>
    <row r="529" spans="1:8" s="141" customFormat="1" ht="17.25" customHeight="1">
      <c r="A529" s="40" t="s">
        <v>155</v>
      </c>
      <c r="B529" s="56" t="s">
        <v>244</v>
      </c>
      <c r="C529" s="56" t="s">
        <v>161</v>
      </c>
      <c r="D529" s="56" t="s">
        <v>337</v>
      </c>
      <c r="E529" s="56" t="s">
        <v>426</v>
      </c>
      <c r="F529" s="108">
        <f t="shared" si="17"/>
        <v>767.6</v>
      </c>
      <c r="G529" s="108">
        <f>G530</f>
        <v>767.6</v>
      </c>
      <c r="H529" s="108">
        <f>H530</f>
        <v>0</v>
      </c>
    </row>
    <row r="530" spans="1:9" ht="33" customHeight="1">
      <c r="A530" s="25" t="s">
        <v>618</v>
      </c>
      <c r="B530" s="13" t="s">
        <v>244</v>
      </c>
      <c r="C530" s="13" t="s">
        <v>161</v>
      </c>
      <c r="D530" s="13" t="s">
        <v>93</v>
      </c>
      <c r="E530" s="13" t="s">
        <v>426</v>
      </c>
      <c r="F530" s="61">
        <f t="shared" si="17"/>
        <v>767.6</v>
      </c>
      <c r="G530" s="61">
        <f>G531</f>
        <v>767.6</v>
      </c>
      <c r="H530" s="61">
        <f>H531</f>
        <v>0</v>
      </c>
      <c r="I530" s="142"/>
    </row>
    <row r="531" spans="1:8" ht="50.25" customHeight="1">
      <c r="A531" s="25" t="s">
        <v>156</v>
      </c>
      <c r="B531" s="13" t="s">
        <v>244</v>
      </c>
      <c r="C531" s="13" t="s">
        <v>161</v>
      </c>
      <c r="D531" s="13" t="s">
        <v>93</v>
      </c>
      <c r="E531" s="13" t="s">
        <v>426</v>
      </c>
      <c r="F531" s="61">
        <f t="shared" si="17"/>
        <v>767.6</v>
      </c>
      <c r="G531" s="61">
        <f>G532</f>
        <v>767.6</v>
      </c>
      <c r="H531" s="61">
        <f>H533</f>
        <v>0</v>
      </c>
    </row>
    <row r="532" spans="1:8" ht="31.5" customHeight="1">
      <c r="A532" s="25" t="s">
        <v>216</v>
      </c>
      <c r="B532" s="13" t="s">
        <v>244</v>
      </c>
      <c r="C532" s="13" t="s">
        <v>161</v>
      </c>
      <c r="D532" s="13" t="s">
        <v>93</v>
      </c>
      <c r="E532" s="13" t="s">
        <v>171</v>
      </c>
      <c r="F532" s="61">
        <f t="shared" si="17"/>
        <v>767.6</v>
      </c>
      <c r="G532" s="61">
        <f>G533</f>
        <v>767.6</v>
      </c>
      <c r="H532" s="61"/>
    </row>
    <row r="533" spans="1:8" s="157" customFormat="1" ht="32.25" customHeight="1">
      <c r="A533" s="25" t="s">
        <v>217</v>
      </c>
      <c r="B533" s="13" t="s">
        <v>244</v>
      </c>
      <c r="C533" s="13" t="s">
        <v>161</v>
      </c>
      <c r="D533" s="13" t="s">
        <v>93</v>
      </c>
      <c r="E533" s="13" t="s">
        <v>218</v>
      </c>
      <c r="F533" s="61">
        <f t="shared" si="17"/>
        <v>767.6</v>
      </c>
      <c r="G533" s="61">
        <f>683+84.6</f>
        <v>767.6</v>
      </c>
      <c r="H533" s="110"/>
    </row>
    <row r="534" spans="1:8" s="157" customFormat="1" ht="18.75" customHeight="1">
      <c r="A534" s="40" t="s">
        <v>619</v>
      </c>
      <c r="B534" s="56" t="s">
        <v>244</v>
      </c>
      <c r="C534" s="56" t="s">
        <v>168</v>
      </c>
      <c r="D534" s="56" t="s">
        <v>337</v>
      </c>
      <c r="E534" s="56" t="s">
        <v>426</v>
      </c>
      <c r="F534" s="108">
        <f t="shared" si="17"/>
        <v>2360</v>
      </c>
      <c r="G534" s="108">
        <f>G535+G538+G541</f>
        <v>200</v>
      </c>
      <c r="H534" s="108">
        <f>H535</f>
        <v>2160</v>
      </c>
    </row>
    <row r="535" spans="1:8" s="157" customFormat="1" ht="97.5" customHeight="1">
      <c r="A535" s="29" t="s">
        <v>620</v>
      </c>
      <c r="B535" s="26" t="s">
        <v>244</v>
      </c>
      <c r="C535" s="26" t="s">
        <v>168</v>
      </c>
      <c r="D535" s="26" t="s">
        <v>56</v>
      </c>
      <c r="E535" s="26" t="s">
        <v>426</v>
      </c>
      <c r="F535" s="62">
        <f>H535</f>
        <v>2160</v>
      </c>
      <c r="G535" s="62"/>
      <c r="H535" s="62">
        <f>H536+H538</f>
        <v>2160</v>
      </c>
    </row>
    <row r="536" spans="1:8" s="157" customFormat="1" ht="33" customHeight="1">
      <c r="A536" s="25" t="s">
        <v>216</v>
      </c>
      <c r="B536" s="13" t="s">
        <v>244</v>
      </c>
      <c r="C536" s="13" t="s">
        <v>168</v>
      </c>
      <c r="D536" s="13" t="s">
        <v>713</v>
      </c>
      <c r="E536" s="13" t="s">
        <v>171</v>
      </c>
      <c r="F536" s="61">
        <f>H536</f>
        <v>2160</v>
      </c>
      <c r="G536" s="61"/>
      <c r="H536" s="61">
        <f>H537</f>
        <v>2160</v>
      </c>
    </row>
    <row r="537" spans="1:8" s="157" customFormat="1" ht="36" customHeight="1">
      <c r="A537" s="25" t="s">
        <v>219</v>
      </c>
      <c r="B537" s="13" t="s">
        <v>244</v>
      </c>
      <c r="C537" s="13" t="s">
        <v>168</v>
      </c>
      <c r="D537" s="13" t="s">
        <v>713</v>
      </c>
      <c r="E537" s="13" t="s">
        <v>220</v>
      </c>
      <c r="F537" s="61">
        <f>H537</f>
        <v>2160</v>
      </c>
      <c r="G537" s="61"/>
      <c r="H537" s="61">
        <v>2160</v>
      </c>
    </row>
    <row r="538" spans="1:8" s="141" customFormat="1" ht="57" customHeight="1">
      <c r="A538" s="29" t="s">
        <v>874</v>
      </c>
      <c r="B538" s="26" t="s">
        <v>244</v>
      </c>
      <c r="C538" s="26" t="s">
        <v>168</v>
      </c>
      <c r="D538" s="26" t="s">
        <v>94</v>
      </c>
      <c r="E538" s="26" t="s">
        <v>426</v>
      </c>
      <c r="F538" s="62">
        <f>G538+H538</f>
        <v>200</v>
      </c>
      <c r="G538" s="62">
        <f>G539</f>
        <v>200</v>
      </c>
      <c r="H538" s="62">
        <f>H540</f>
        <v>0</v>
      </c>
    </row>
    <row r="539" spans="1:8" s="141" customFormat="1" ht="32.25" customHeight="1">
      <c r="A539" s="25" t="s">
        <v>216</v>
      </c>
      <c r="B539" s="13" t="s">
        <v>244</v>
      </c>
      <c r="C539" s="13" t="s">
        <v>168</v>
      </c>
      <c r="D539" s="13" t="s">
        <v>95</v>
      </c>
      <c r="E539" s="13" t="s">
        <v>171</v>
      </c>
      <c r="F539" s="61">
        <f>G539</f>
        <v>200</v>
      </c>
      <c r="G539" s="61">
        <f>G540</f>
        <v>200</v>
      </c>
      <c r="H539" s="61"/>
    </row>
    <row r="540" spans="1:8" ht="31.5" customHeight="1">
      <c r="A540" s="25" t="s">
        <v>219</v>
      </c>
      <c r="B540" s="13" t="s">
        <v>244</v>
      </c>
      <c r="C540" s="13" t="s">
        <v>168</v>
      </c>
      <c r="D540" s="13" t="s">
        <v>95</v>
      </c>
      <c r="E540" s="13" t="s">
        <v>220</v>
      </c>
      <c r="F540" s="61">
        <f>G540+H540</f>
        <v>200</v>
      </c>
      <c r="G540" s="61">
        <v>200</v>
      </c>
      <c r="H540" s="61"/>
    </row>
    <row r="541" spans="1:8" ht="21" customHeight="1" hidden="1">
      <c r="A541" s="63" t="s">
        <v>567</v>
      </c>
      <c r="B541" s="13" t="s">
        <v>244</v>
      </c>
      <c r="C541" s="13" t="s">
        <v>168</v>
      </c>
      <c r="D541" s="56" t="s">
        <v>337</v>
      </c>
      <c r="E541" s="56" t="s">
        <v>426</v>
      </c>
      <c r="F541" s="108">
        <f>G541</f>
        <v>0</v>
      </c>
      <c r="G541" s="108">
        <f>G542</f>
        <v>0</v>
      </c>
      <c r="H541" s="108"/>
    </row>
    <row r="542" spans="1:8" ht="35.25" customHeight="1" hidden="1">
      <c r="A542" s="25" t="s">
        <v>216</v>
      </c>
      <c r="B542" s="13" t="s">
        <v>244</v>
      </c>
      <c r="C542" s="13" t="s">
        <v>168</v>
      </c>
      <c r="D542" s="13" t="s">
        <v>568</v>
      </c>
      <c r="E542" s="13" t="s">
        <v>171</v>
      </c>
      <c r="F542" s="61">
        <f>G542</f>
        <v>0</v>
      </c>
      <c r="G542" s="61">
        <f>G543</f>
        <v>0</v>
      </c>
      <c r="H542" s="61"/>
    </row>
    <row r="543" spans="1:8" ht="35.25" customHeight="1" hidden="1">
      <c r="A543" s="25" t="s">
        <v>219</v>
      </c>
      <c r="B543" s="13" t="s">
        <v>244</v>
      </c>
      <c r="C543" s="13" t="s">
        <v>168</v>
      </c>
      <c r="D543" s="13" t="s">
        <v>568</v>
      </c>
      <c r="E543" s="13" t="s">
        <v>220</v>
      </c>
      <c r="F543" s="61">
        <f>G543</f>
        <v>0</v>
      </c>
      <c r="G543" s="61"/>
      <c r="H543" s="61"/>
    </row>
    <row r="544" spans="1:11" ht="18.75" customHeight="1">
      <c r="A544" s="40" t="s">
        <v>419</v>
      </c>
      <c r="B544" s="56" t="s">
        <v>244</v>
      </c>
      <c r="C544" s="56" t="s">
        <v>172</v>
      </c>
      <c r="D544" s="56" t="s">
        <v>337</v>
      </c>
      <c r="E544" s="56" t="s">
        <v>426</v>
      </c>
      <c r="F544" s="108">
        <f aca="true" t="shared" si="18" ref="F544:F549">G544+H544</f>
        <v>42783.249659999994</v>
      </c>
      <c r="G544" s="108">
        <f>G556</f>
        <v>0</v>
      </c>
      <c r="H544" s="108">
        <f>H547+H556+H550+H561+H567</f>
        <v>42783.249659999994</v>
      </c>
      <c r="K544" s="146"/>
    </row>
    <row r="545" spans="1:8" ht="47.25" customHeight="1">
      <c r="A545" s="29" t="s">
        <v>491</v>
      </c>
      <c r="B545" s="13" t="s">
        <v>244</v>
      </c>
      <c r="C545" s="13" t="s">
        <v>172</v>
      </c>
      <c r="D545" s="13" t="s">
        <v>38</v>
      </c>
      <c r="E545" s="13" t="s">
        <v>426</v>
      </c>
      <c r="F545" s="61">
        <f t="shared" si="18"/>
        <v>6035.259</v>
      </c>
      <c r="G545" s="61">
        <f>G546</f>
        <v>0</v>
      </c>
      <c r="H545" s="61">
        <f>H546</f>
        <v>6035.259</v>
      </c>
    </row>
    <row r="546" spans="1:8" ht="33" customHeight="1">
      <c r="A546" s="30" t="s">
        <v>96</v>
      </c>
      <c r="B546" s="13" t="s">
        <v>244</v>
      </c>
      <c r="C546" s="13" t="s">
        <v>172</v>
      </c>
      <c r="D546" s="13" t="s">
        <v>51</v>
      </c>
      <c r="E546" s="13" t="s">
        <v>426</v>
      </c>
      <c r="F546" s="61">
        <f t="shared" si="18"/>
        <v>6035.259</v>
      </c>
      <c r="G546" s="61">
        <f>G547</f>
        <v>0</v>
      </c>
      <c r="H546" s="61">
        <f>H547</f>
        <v>6035.259</v>
      </c>
    </row>
    <row r="547" spans="1:10" ht="79.5" customHeight="1">
      <c r="A547" s="29" t="s">
        <v>246</v>
      </c>
      <c r="B547" s="13" t="s">
        <v>244</v>
      </c>
      <c r="C547" s="13" t="s">
        <v>172</v>
      </c>
      <c r="D547" s="13" t="s">
        <v>97</v>
      </c>
      <c r="E547" s="13" t="s">
        <v>426</v>
      </c>
      <c r="F547" s="61">
        <f t="shared" si="18"/>
        <v>6035.259</v>
      </c>
      <c r="G547" s="61">
        <f>G549</f>
        <v>0</v>
      </c>
      <c r="H547" s="61">
        <f>H549+H548</f>
        <v>6035.259</v>
      </c>
      <c r="J547" s="142"/>
    </row>
    <row r="548" spans="1:8" ht="47.25" customHeight="1">
      <c r="A548" s="49" t="s">
        <v>203</v>
      </c>
      <c r="B548" s="13" t="s">
        <v>244</v>
      </c>
      <c r="C548" s="13" t="s">
        <v>172</v>
      </c>
      <c r="D548" s="13" t="s">
        <v>97</v>
      </c>
      <c r="E548" s="13" t="s">
        <v>204</v>
      </c>
      <c r="F548" s="61">
        <f t="shared" si="18"/>
        <v>90.529</v>
      </c>
      <c r="G548" s="61"/>
      <c r="H548" s="61">
        <v>90.529</v>
      </c>
    </row>
    <row r="549" spans="1:8" ht="35.25" customHeight="1">
      <c r="A549" s="25" t="s">
        <v>217</v>
      </c>
      <c r="B549" s="13" t="s">
        <v>244</v>
      </c>
      <c r="C549" s="13" t="s">
        <v>172</v>
      </c>
      <c r="D549" s="13" t="s">
        <v>97</v>
      </c>
      <c r="E549" s="13" t="s">
        <v>218</v>
      </c>
      <c r="F549" s="61">
        <f t="shared" si="18"/>
        <v>5944.73</v>
      </c>
      <c r="G549" s="61"/>
      <c r="H549" s="61">
        <v>5944.73</v>
      </c>
    </row>
    <row r="550" spans="1:8" ht="48" customHeight="1">
      <c r="A550" s="29" t="s">
        <v>491</v>
      </c>
      <c r="B550" s="26" t="s">
        <v>244</v>
      </c>
      <c r="C550" s="26" t="s">
        <v>172</v>
      </c>
      <c r="D550" s="26" t="s">
        <v>38</v>
      </c>
      <c r="E550" s="26" t="s">
        <v>426</v>
      </c>
      <c r="F550" s="62">
        <f aca="true" t="shared" si="19" ref="F550:F560">H550</f>
        <v>300</v>
      </c>
      <c r="G550" s="62">
        <v>0</v>
      </c>
      <c r="H550" s="62">
        <f>H551</f>
        <v>300</v>
      </c>
    </row>
    <row r="551" spans="1:8" ht="34.5" customHeight="1">
      <c r="A551" s="127" t="s">
        <v>479</v>
      </c>
      <c r="B551" s="26" t="s">
        <v>244</v>
      </c>
      <c r="C551" s="26" t="s">
        <v>172</v>
      </c>
      <c r="D551" s="26" t="s">
        <v>73</v>
      </c>
      <c r="E551" s="26" t="s">
        <v>426</v>
      </c>
      <c r="F551" s="62">
        <f t="shared" si="19"/>
        <v>300</v>
      </c>
      <c r="G551" s="62">
        <v>0</v>
      </c>
      <c r="H551" s="62">
        <f>H552</f>
        <v>300</v>
      </c>
    </row>
    <row r="552" spans="1:8" ht="61.5" customHeight="1">
      <c r="A552" s="29" t="s">
        <v>757</v>
      </c>
      <c r="B552" s="13" t="s">
        <v>244</v>
      </c>
      <c r="C552" s="13" t="s">
        <v>172</v>
      </c>
      <c r="D552" s="26" t="s">
        <v>73</v>
      </c>
      <c r="E552" s="26" t="s">
        <v>426</v>
      </c>
      <c r="F552" s="61">
        <f t="shared" si="19"/>
        <v>300</v>
      </c>
      <c r="G552" s="61">
        <v>0</v>
      </c>
      <c r="H552" s="61">
        <f>H553</f>
        <v>300</v>
      </c>
    </row>
    <row r="553" spans="1:8" ht="35.25" customHeight="1">
      <c r="A553" s="49" t="s">
        <v>216</v>
      </c>
      <c r="B553" s="13" t="s">
        <v>244</v>
      </c>
      <c r="C553" s="13" t="s">
        <v>172</v>
      </c>
      <c r="D553" s="13" t="s">
        <v>74</v>
      </c>
      <c r="E553" s="13" t="s">
        <v>171</v>
      </c>
      <c r="F553" s="61">
        <f t="shared" si="19"/>
        <v>300</v>
      </c>
      <c r="G553" s="61">
        <v>0</v>
      </c>
      <c r="H553" s="61">
        <f>H554</f>
        <v>300</v>
      </c>
    </row>
    <row r="554" spans="1:8" ht="32.25" customHeight="1">
      <c r="A554" s="49" t="s">
        <v>217</v>
      </c>
      <c r="B554" s="13" t="s">
        <v>244</v>
      </c>
      <c r="C554" s="13" t="s">
        <v>172</v>
      </c>
      <c r="D554" s="13" t="s">
        <v>74</v>
      </c>
      <c r="E554" s="13" t="s">
        <v>218</v>
      </c>
      <c r="F554" s="61">
        <f t="shared" si="19"/>
        <v>300</v>
      </c>
      <c r="G554" s="61">
        <v>0</v>
      </c>
      <c r="H554" s="61">
        <v>300</v>
      </c>
    </row>
    <row r="555" spans="1:8" ht="131.25" customHeight="1">
      <c r="A555" s="40" t="s">
        <v>898</v>
      </c>
      <c r="B555" s="56" t="s">
        <v>244</v>
      </c>
      <c r="C555" s="56" t="s">
        <v>172</v>
      </c>
      <c r="D555" s="56" t="s">
        <v>818</v>
      </c>
      <c r="E555" s="56" t="s">
        <v>426</v>
      </c>
      <c r="F555" s="108">
        <f>G555+H555</f>
        <v>36447.990659999996</v>
      </c>
      <c r="G555" s="108">
        <f>G556+G561+G567</f>
        <v>0</v>
      </c>
      <c r="H555" s="108">
        <f>H556+H561+H567</f>
        <v>36447.990659999996</v>
      </c>
    </row>
    <row r="556" spans="1:8" ht="66.75" customHeight="1">
      <c r="A556" s="44" t="s">
        <v>582</v>
      </c>
      <c r="B556" s="26" t="s">
        <v>244</v>
      </c>
      <c r="C556" s="26" t="s">
        <v>172</v>
      </c>
      <c r="D556" s="13" t="s">
        <v>824</v>
      </c>
      <c r="E556" s="26" t="s">
        <v>426</v>
      </c>
      <c r="F556" s="62">
        <f t="shared" si="19"/>
        <v>21118.07693</v>
      </c>
      <c r="G556" s="62"/>
      <c r="H556" s="62">
        <f>H557+H559</f>
        <v>21118.07693</v>
      </c>
    </row>
    <row r="557" spans="1:8" ht="37.5" customHeight="1">
      <c r="A557" s="25" t="s">
        <v>202</v>
      </c>
      <c r="B557" s="13" t="s">
        <v>244</v>
      </c>
      <c r="C557" s="13" t="s">
        <v>172</v>
      </c>
      <c r="D557" s="13" t="s">
        <v>583</v>
      </c>
      <c r="E557" s="13" t="s">
        <v>170</v>
      </c>
      <c r="F557" s="61">
        <f>G557+H557</f>
        <v>383.52</v>
      </c>
      <c r="G557" s="62"/>
      <c r="H557" s="61">
        <f>H558</f>
        <v>383.52</v>
      </c>
    </row>
    <row r="558" spans="1:8" ht="52.5" customHeight="1">
      <c r="A558" s="49" t="s">
        <v>203</v>
      </c>
      <c r="B558" s="13" t="s">
        <v>244</v>
      </c>
      <c r="C558" s="13" t="s">
        <v>172</v>
      </c>
      <c r="D558" s="13" t="s">
        <v>583</v>
      </c>
      <c r="E558" s="13" t="s">
        <v>204</v>
      </c>
      <c r="F558" s="61">
        <f>G558+H558</f>
        <v>383.52</v>
      </c>
      <c r="G558" s="62"/>
      <c r="H558" s="61">
        <v>383.52</v>
      </c>
    </row>
    <row r="559" spans="1:8" ht="48.75" customHeight="1">
      <c r="A559" s="49" t="s">
        <v>621</v>
      </c>
      <c r="B559" s="13" t="s">
        <v>244</v>
      </c>
      <c r="C559" s="13" t="s">
        <v>172</v>
      </c>
      <c r="D559" s="13" t="s">
        <v>824</v>
      </c>
      <c r="E559" s="13" t="s">
        <v>622</v>
      </c>
      <c r="F559" s="61">
        <f t="shared" si="19"/>
        <v>20734.55693</v>
      </c>
      <c r="G559" s="61"/>
      <c r="H559" s="61">
        <f>H560</f>
        <v>20734.55693</v>
      </c>
    </row>
    <row r="560" spans="1:9" ht="17.25" customHeight="1">
      <c r="A560" s="49" t="s">
        <v>623</v>
      </c>
      <c r="B560" s="13" t="s">
        <v>244</v>
      </c>
      <c r="C560" s="13" t="s">
        <v>172</v>
      </c>
      <c r="D560" s="13" t="s">
        <v>824</v>
      </c>
      <c r="E560" s="13" t="s">
        <v>624</v>
      </c>
      <c r="F560" s="61">
        <f t="shared" si="19"/>
        <v>20734.55693</v>
      </c>
      <c r="G560" s="61"/>
      <c r="H560" s="61">
        <f>21118.07693-383.52</f>
        <v>20734.55693</v>
      </c>
      <c r="I560" s="149"/>
    </row>
    <row r="561" spans="1:11" ht="115.5" customHeight="1">
      <c r="A561" s="29" t="s">
        <v>701</v>
      </c>
      <c r="B561" s="26" t="s">
        <v>244</v>
      </c>
      <c r="C561" s="26" t="s">
        <v>172</v>
      </c>
      <c r="D561" s="13" t="s">
        <v>822</v>
      </c>
      <c r="E561" s="26" t="s">
        <v>426</v>
      </c>
      <c r="F561" s="62">
        <f aca="true" t="shared" si="20" ref="F561:F571">G561+H561</f>
        <v>14799.63122</v>
      </c>
      <c r="G561" s="62"/>
      <c r="H561" s="62">
        <f>H562+H564</f>
        <v>14799.63122</v>
      </c>
      <c r="I561" s="174"/>
      <c r="J561" s="173"/>
      <c r="K561" s="174"/>
    </row>
    <row r="562" spans="1:9" ht="36.75" customHeight="1">
      <c r="A562" s="25" t="s">
        <v>202</v>
      </c>
      <c r="B562" s="13" t="s">
        <v>244</v>
      </c>
      <c r="C562" s="13" t="s">
        <v>172</v>
      </c>
      <c r="D562" s="13" t="s">
        <v>822</v>
      </c>
      <c r="E562" s="13" t="s">
        <v>170</v>
      </c>
      <c r="F562" s="61">
        <f>H562</f>
        <v>150</v>
      </c>
      <c r="G562" s="61"/>
      <c r="H562" s="61">
        <f>H563</f>
        <v>150</v>
      </c>
      <c r="I562" s="149"/>
    </row>
    <row r="563" spans="1:9" ht="50.25" customHeight="1">
      <c r="A563" s="49" t="s">
        <v>203</v>
      </c>
      <c r="B563" s="13" t="s">
        <v>244</v>
      </c>
      <c r="C563" s="13" t="s">
        <v>172</v>
      </c>
      <c r="D563" s="13" t="s">
        <v>822</v>
      </c>
      <c r="E563" s="13" t="s">
        <v>204</v>
      </c>
      <c r="F563" s="61">
        <f>H563</f>
        <v>150</v>
      </c>
      <c r="G563" s="61"/>
      <c r="H563" s="61">
        <v>150</v>
      </c>
      <c r="I563" s="149"/>
    </row>
    <row r="564" spans="1:9" ht="30" customHeight="1">
      <c r="A564" s="25" t="s">
        <v>216</v>
      </c>
      <c r="B564" s="13" t="s">
        <v>244</v>
      </c>
      <c r="C564" s="13" t="s">
        <v>172</v>
      </c>
      <c r="D564" s="13" t="s">
        <v>822</v>
      </c>
      <c r="E564" s="13" t="s">
        <v>171</v>
      </c>
      <c r="F564" s="61">
        <f t="shared" si="20"/>
        <v>14649.63122</v>
      </c>
      <c r="G564" s="61"/>
      <c r="H564" s="61">
        <f>H565+H566</f>
        <v>14649.63122</v>
      </c>
      <c r="I564" s="149"/>
    </row>
    <row r="565" spans="1:9" ht="30.75" customHeight="1">
      <c r="A565" s="49" t="s">
        <v>217</v>
      </c>
      <c r="B565" s="13" t="s">
        <v>244</v>
      </c>
      <c r="C565" s="13" t="s">
        <v>172</v>
      </c>
      <c r="D565" s="13" t="s">
        <v>822</v>
      </c>
      <c r="E565" s="13" t="s">
        <v>218</v>
      </c>
      <c r="F565" s="61">
        <f t="shared" si="20"/>
        <v>10649.63122</v>
      </c>
      <c r="G565" s="61"/>
      <c r="H565" s="61">
        <v>10649.63122</v>
      </c>
      <c r="I565" s="149"/>
    </row>
    <row r="566" spans="1:9" ht="30.75" customHeight="1">
      <c r="A566" s="25" t="s">
        <v>219</v>
      </c>
      <c r="B566" s="13" t="s">
        <v>244</v>
      </c>
      <c r="C566" s="13" t="s">
        <v>172</v>
      </c>
      <c r="D566" s="13" t="s">
        <v>822</v>
      </c>
      <c r="E566" s="13" t="s">
        <v>220</v>
      </c>
      <c r="F566" s="61">
        <f t="shared" si="20"/>
        <v>4000</v>
      </c>
      <c r="G566" s="61"/>
      <c r="H566" s="61">
        <f>3600+400</f>
        <v>4000</v>
      </c>
      <c r="I566" s="149"/>
    </row>
    <row r="567" spans="1:10" ht="94.5" customHeight="1">
      <c r="A567" s="29" t="s">
        <v>703</v>
      </c>
      <c r="B567" s="26" t="s">
        <v>244</v>
      </c>
      <c r="C567" s="26" t="s">
        <v>172</v>
      </c>
      <c r="D567" s="13" t="s">
        <v>823</v>
      </c>
      <c r="E567" s="26" t="s">
        <v>426</v>
      </c>
      <c r="F567" s="62">
        <f t="shared" si="20"/>
        <v>530.28251</v>
      </c>
      <c r="G567" s="62"/>
      <c r="H567" s="62">
        <f>H568+H570</f>
        <v>530.28251</v>
      </c>
      <c r="I567" s="149"/>
      <c r="J567" s="149"/>
    </row>
    <row r="568" spans="1:9" ht="36.75" customHeight="1">
      <c r="A568" s="25" t="s">
        <v>202</v>
      </c>
      <c r="B568" s="13" t="s">
        <v>244</v>
      </c>
      <c r="C568" s="13" t="s">
        <v>172</v>
      </c>
      <c r="D568" s="13" t="s">
        <v>823</v>
      </c>
      <c r="E568" s="13" t="s">
        <v>170</v>
      </c>
      <c r="F568" s="61">
        <f>H568</f>
        <v>5</v>
      </c>
      <c r="G568" s="61"/>
      <c r="H568" s="61">
        <f>H569</f>
        <v>5</v>
      </c>
      <c r="I568" s="149"/>
    </row>
    <row r="569" spans="1:9" ht="50.25" customHeight="1">
      <c r="A569" s="49" t="s">
        <v>203</v>
      </c>
      <c r="B569" s="13" t="s">
        <v>244</v>
      </c>
      <c r="C569" s="13" t="s">
        <v>172</v>
      </c>
      <c r="D569" s="13" t="s">
        <v>823</v>
      </c>
      <c r="E569" s="13" t="s">
        <v>204</v>
      </c>
      <c r="F569" s="61">
        <f>H569</f>
        <v>5</v>
      </c>
      <c r="G569" s="61"/>
      <c r="H569" s="61">
        <v>5</v>
      </c>
      <c r="I569" s="149"/>
    </row>
    <row r="570" spans="1:9" ht="30.75" customHeight="1">
      <c r="A570" s="25" t="s">
        <v>216</v>
      </c>
      <c r="B570" s="13" t="s">
        <v>244</v>
      </c>
      <c r="C570" s="13" t="s">
        <v>172</v>
      </c>
      <c r="D570" s="13" t="s">
        <v>823</v>
      </c>
      <c r="E570" s="13" t="s">
        <v>171</v>
      </c>
      <c r="F570" s="61">
        <f t="shared" si="20"/>
        <v>525.28251</v>
      </c>
      <c r="G570" s="61"/>
      <c r="H570" s="61">
        <f>H571</f>
        <v>525.28251</v>
      </c>
      <c r="I570" s="149"/>
    </row>
    <row r="571" spans="1:9" ht="32.25" customHeight="1">
      <c r="A571" s="49" t="s">
        <v>217</v>
      </c>
      <c r="B571" s="13" t="s">
        <v>244</v>
      </c>
      <c r="C571" s="13" t="s">
        <v>172</v>
      </c>
      <c r="D571" s="13" t="s">
        <v>823</v>
      </c>
      <c r="E571" s="13" t="s">
        <v>218</v>
      </c>
      <c r="F571" s="61">
        <f t="shared" si="20"/>
        <v>525.28251</v>
      </c>
      <c r="G571" s="61"/>
      <c r="H571" s="61">
        <f>530.28251-5</f>
        <v>525.28251</v>
      </c>
      <c r="I571" s="149"/>
    </row>
    <row r="572" spans="1:12" s="157" customFormat="1" ht="18.75" customHeight="1">
      <c r="A572" s="59" t="s">
        <v>247</v>
      </c>
      <c r="B572" s="17" t="s">
        <v>179</v>
      </c>
      <c r="C572" s="17" t="s">
        <v>162</v>
      </c>
      <c r="D572" s="17" t="s">
        <v>337</v>
      </c>
      <c r="E572" s="17" t="s">
        <v>426</v>
      </c>
      <c r="F572" s="110">
        <f aca="true" t="shared" si="21" ref="F572:F578">G572+H572</f>
        <v>863</v>
      </c>
      <c r="G572" s="110">
        <f>G573</f>
        <v>863</v>
      </c>
      <c r="H572" s="110">
        <f>H573</f>
        <v>0</v>
      </c>
      <c r="K572" s="160"/>
      <c r="L572" s="160"/>
    </row>
    <row r="573" spans="1:8" ht="15.75" customHeight="1">
      <c r="A573" s="25" t="s">
        <v>361</v>
      </c>
      <c r="B573" s="13" t="s">
        <v>179</v>
      </c>
      <c r="C573" s="13" t="s">
        <v>163</v>
      </c>
      <c r="D573" s="13" t="s">
        <v>337</v>
      </c>
      <c r="E573" s="13" t="s">
        <v>426</v>
      </c>
      <c r="F573" s="61">
        <f t="shared" si="21"/>
        <v>863</v>
      </c>
      <c r="G573" s="61">
        <f>G574</f>
        <v>863</v>
      </c>
      <c r="H573" s="61">
        <f>H574</f>
        <v>0</v>
      </c>
    </row>
    <row r="574" spans="1:8" ht="50.25" customHeight="1">
      <c r="A574" s="29" t="s">
        <v>496</v>
      </c>
      <c r="B574" s="26" t="s">
        <v>179</v>
      </c>
      <c r="C574" s="26" t="s">
        <v>163</v>
      </c>
      <c r="D574" s="26" t="s">
        <v>98</v>
      </c>
      <c r="E574" s="26" t="s">
        <v>426</v>
      </c>
      <c r="F574" s="62">
        <f t="shared" si="21"/>
        <v>863</v>
      </c>
      <c r="G574" s="62">
        <f>G575+G578+G596+G593+G603</f>
        <v>863</v>
      </c>
      <c r="H574" s="62">
        <f>H575+H578+H596+H603</f>
        <v>0</v>
      </c>
    </row>
    <row r="575" spans="1:8" ht="33" customHeight="1">
      <c r="A575" s="25" t="s">
        <v>248</v>
      </c>
      <c r="B575" s="13" t="s">
        <v>179</v>
      </c>
      <c r="C575" s="13" t="s">
        <v>163</v>
      </c>
      <c r="D575" s="13" t="s">
        <v>99</v>
      </c>
      <c r="E575" s="13" t="s">
        <v>426</v>
      </c>
      <c r="F575" s="61">
        <f t="shared" si="21"/>
        <v>609</v>
      </c>
      <c r="G575" s="61">
        <f>G576</f>
        <v>609</v>
      </c>
      <c r="H575" s="61">
        <f>H577</f>
        <v>0</v>
      </c>
    </row>
    <row r="576" spans="1:8" ht="32.25" customHeight="1">
      <c r="A576" s="25" t="s">
        <v>202</v>
      </c>
      <c r="B576" s="13" t="s">
        <v>179</v>
      </c>
      <c r="C576" s="13" t="s">
        <v>163</v>
      </c>
      <c r="D576" s="13" t="s">
        <v>99</v>
      </c>
      <c r="E576" s="13" t="s">
        <v>170</v>
      </c>
      <c r="F576" s="61">
        <f t="shared" si="21"/>
        <v>609</v>
      </c>
      <c r="G576" s="61">
        <f>G577</f>
        <v>609</v>
      </c>
      <c r="H576" s="61"/>
    </row>
    <row r="577" spans="1:8" ht="49.5" customHeight="1">
      <c r="A577" s="49" t="s">
        <v>203</v>
      </c>
      <c r="B577" s="13" t="s">
        <v>179</v>
      </c>
      <c r="C577" s="13" t="s">
        <v>163</v>
      </c>
      <c r="D577" s="13" t="s">
        <v>99</v>
      </c>
      <c r="E577" s="13" t="s">
        <v>204</v>
      </c>
      <c r="F577" s="61">
        <f t="shared" si="21"/>
        <v>609</v>
      </c>
      <c r="G577" s="61">
        <f>150+156.8+130+145.22+26.98</f>
        <v>609</v>
      </c>
      <c r="H577" s="61"/>
    </row>
    <row r="578" spans="1:8" ht="49.5" customHeight="1">
      <c r="A578" s="60" t="s">
        <v>625</v>
      </c>
      <c r="B578" s="17" t="s">
        <v>179</v>
      </c>
      <c r="C578" s="17" t="s">
        <v>163</v>
      </c>
      <c r="D578" s="17" t="s">
        <v>98</v>
      </c>
      <c r="E578" s="17" t="s">
        <v>426</v>
      </c>
      <c r="F578" s="110">
        <f t="shared" si="21"/>
        <v>0</v>
      </c>
      <c r="G578" s="110">
        <f>G586</f>
        <v>0</v>
      </c>
      <c r="H578" s="110">
        <f>H579</f>
        <v>0</v>
      </c>
    </row>
    <row r="579" spans="1:8" ht="83.25" customHeight="1" hidden="1">
      <c r="A579" s="44" t="s">
        <v>636</v>
      </c>
      <c r="B579" s="26" t="s">
        <v>179</v>
      </c>
      <c r="C579" s="26" t="s">
        <v>163</v>
      </c>
      <c r="D579" s="26" t="s">
        <v>626</v>
      </c>
      <c r="E579" s="26" t="s">
        <v>426</v>
      </c>
      <c r="F579" s="62">
        <f aca="true" t="shared" si="22" ref="F579:F585">H579</f>
        <v>0</v>
      </c>
      <c r="G579" s="62"/>
      <c r="H579" s="62">
        <f>H582+H584</f>
        <v>0</v>
      </c>
    </row>
    <row r="580" spans="1:8" ht="39.75" customHeight="1" hidden="1">
      <c r="A580" s="25" t="s">
        <v>202</v>
      </c>
      <c r="B580" s="13" t="s">
        <v>179</v>
      </c>
      <c r="C580" s="13" t="s">
        <v>163</v>
      </c>
      <c r="D580" s="13" t="s">
        <v>626</v>
      </c>
      <c r="E580" s="13" t="s">
        <v>170</v>
      </c>
      <c r="F580" s="61">
        <f t="shared" si="22"/>
        <v>0</v>
      </c>
      <c r="G580" s="61"/>
      <c r="H580" s="61">
        <f>H581</f>
        <v>0</v>
      </c>
    </row>
    <row r="581" spans="1:8" ht="64.5" customHeight="1" hidden="1">
      <c r="A581" s="49" t="s">
        <v>637</v>
      </c>
      <c r="B581" s="13" t="s">
        <v>179</v>
      </c>
      <c r="C581" s="13" t="s">
        <v>163</v>
      </c>
      <c r="D581" s="13" t="s">
        <v>626</v>
      </c>
      <c r="E581" s="13" t="s">
        <v>204</v>
      </c>
      <c r="F581" s="61">
        <f t="shared" si="22"/>
        <v>0</v>
      </c>
      <c r="G581" s="61"/>
      <c r="H581" s="61">
        <v>0</v>
      </c>
    </row>
    <row r="582" spans="1:8" ht="47.25" customHeight="1" hidden="1">
      <c r="A582" s="49" t="s">
        <v>621</v>
      </c>
      <c r="B582" s="13" t="s">
        <v>179</v>
      </c>
      <c r="C582" s="13" t="s">
        <v>163</v>
      </c>
      <c r="D582" s="13" t="s">
        <v>626</v>
      </c>
      <c r="E582" s="13" t="s">
        <v>622</v>
      </c>
      <c r="F582" s="61">
        <f t="shared" si="22"/>
        <v>0</v>
      </c>
      <c r="G582" s="61"/>
      <c r="H582" s="61">
        <f>H583</f>
        <v>0</v>
      </c>
    </row>
    <row r="583" spans="1:8" ht="15" customHeight="1" hidden="1">
      <c r="A583" s="49" t="s">
        <v>623</v>
      </c>
      <c r="B583" s="13" t="s">
        <v>179</v>
      </c>
      <c r="C583" s="13" t="s">
        <v>163</v>
      </c>
      <c r="D583" s="13" t="s">
        <v>626</v>
      </c>
      <c r="E583" s="13" t="s">
        <v>624</v>
      </c>
      <c r="F583" s="61">
        <f t="shared" si="22"/>
        <v>0</v>
      </c>
      <c r="G583" s="61"/>
      <c r="H583" s="61">
        <v>0</v>
      </c>
    </row>
    <row r="584" spans="1:8" ht="30" customHeight="1" hidden="1">
      <c r="A584" s="25" t="s">
        <v>627</v>
      </c>
      <c r="B584" s="13" t="s">
        <v>179</v>
      </c>
      <c r="C584" s="13" t="s">
        <v>163</v>
      </c>
      <c r="D584" s="13" t="s">
        <v>626</v>
      </c>
      <c r="E584" s="13" t="s">
        <v>226</v>
      </c>
      <c r="F584" s="61">
        <f t="shared" si="22"/>
        <v>0</v>
      </c>
      <c r="G584" s="61"/>
      <c r="H584" s="61">
        <f>H585</f>
        <v>0</v>
      </c>
    </row>
    <row r="585" spans="1:8" ht="19.5" customHeight="1" hidden="1">
      <c r="A585" s="25" t="s">
        <v>191</v>
      </c>
      <c r="B585" s="13" t="s">
        <v>179</v>
      </c>
      <c r="C585" s="13" t="s">
        <v>163</v>
      </c>
      <c r="D585" s="13" t="s">
        <v>626</v>
      </c>
      <c r="E585" s="13" t="s">
        <v>304</v>
      </c>
      <c r="F585" s="61">
        <f t="shared" si="22"/>
        <v>0</v>
      </c>
      <c r="G585" s="61"/>
      <c r="H585" s="61">
        <v>0</v>
      </c>
    </row>
    <row r="586" spans="1:8" ht="97.5" customHeight="1">
      <c r="A586" s="44" t="s">
        <v>638</v>
      </c>
      <c r="B586" s="26" t="s">
        <v>179</v>
      </c>
      <c r="C586" s="26" t="s">
        <v>163</v>
      </c>
      <c r="D586" s="26" t="s">
        <v>628</v>
      </c>
      <c r="E586" s="26" t="s">
        <v>426</v>
      </c>
      <c r="F586" s="62">
        <f aca="true" t="shared" si="23" ref="F586:F592">G586</f>
        <v>0</v>
      </c>
      <c r="G586" s="62">
        <f>G589+G591</f>
        <v>0</v>
      </c>
      <c r="H586" s="62"/>
    </row>
    <row r="587" spans="1:8" ht="38.25" customHeight="1" hidden="1">
      <c r="A587" s="25" t="s">
        <v>202</v>
      </c>
      <c r="B587" s="13" t="s">
        <v>179</v>
      </c>
      <c r="C587" s="13" t="s">
        <v>163</v>
      </c>
      <c r="D587" s="13" t="s">
        <v>628</v>
      </c>
      <c r="E587" s="13" t="s">
        <v>170</v>
      </c>
      <c r="F587" s="61">
        <f t="shared" si="23"/>
        <v>0</v>
      </c>
      <c r="G587" s="61">
        <f>G588</f>
        <v>0</v>
      </c>
      <c r="H587" s="61"/>
    </row>
    <row r="588" spans="1:8" ht="48.75" customHeight="1" hidden="1">
      <c r="A588" s="49" t="s">
        <v>637</v>
      </c>
      <c r="B588" s="13" t="s">
        <v>179</v>
      </c>
      <c r="C588" s="13" t="s">
        <v>163</v>
      </c>
      <c r="D588" s="13" t="s">
        <v>628</v>
      </c>
      <c r="E588" s="13" t="s">
        <v>204</v>
      </c>
      <c r="F588" s="61">
        <f t="shared" si="23"/>
        <v>0</v>
      </c>
      <c r="G588" s="61">
        <v>0</v>
      </c>
      <c r="H588" s="61"/>
    </row>
    <row r="589" spans="1:8" ht="49.5" customHeight="1">
      <c r="A589" s="49" t="s">
        <v>621</v>
      </c>
      <c r="B589" s="13" t="s">
        <v>179</v>
      </c>
      <c r="C589" s="13" t="s">
        <v>163</v>
      </c>
      <c r="D589" s="13" t="s">
        <v>628</v>
      </c>
      <c r="E589" s="13" t="s">
        <v>622</v>
      </c>
      <c r="F589" s="61">
        <f t="shared" si="23"/>
        <v>0</v>
      </c>
      <c r="G589" s="61">
        <f>G590</f>
        <v>0</v>
      </c>
      <c r="H589" s="61"/>
    </row>
    <row r="590" spans="1:8" ht="18" customHeight="1">
      <c r="A590" s="49" t="s">
        <v>623</v>
      </c>
      <c r="B590" s="13" t="s">
        <v>179</v>
      </c>
      <c r="C590" s="13" t="s">
        <v>163</v>
      </c>
      <c r="D590" s="13" t="s">
        <v>628</v>
      </c>
      <c r="E590" s="13" t="s">
        <v>624</v>
      </c>
      <c r="F590" s="61">
        <f t="shared" si="23"/>
        <v>0</v>
      </c>
      <c r="G590" s="61">
        <f>86+40-40-86</f>
        <v>0</v>
      </c>
      <c r="H590" s="61"/>
    </row>
    <row r="591" spans="1:8" ht="45" customHeight="1" hidden="1">
      <c r="A591" s="25" t="s">
        <v>627</v>
      </c>
      <c r="B591" s="13" t="s">
        <v>179</v>
      </c>
      <c r="C591" s="13" t="s">
        <v>163</v>
      </c>
      <c r="D591" s="13" t="s">
        <v>626</v>
      </c>
      <c r="E591" s="13" t="s">
        <v>226</v>
      </c>
      <c r="F591" s="61">
        <f t="shared" si="23"/>
        <v>0</v>
      </c>
      <c r="G591" s="61">
        <f>G592</f>
        <v>0</v>
      </c>
      <c r="H591" s="61"/>
    </row>
    <row r="592" spans="1:8" ht="18" customHeight="1" hidden="1">
      <c r="A592" s="25" t="s">
        <v>191</v>
      </c>
      <c r="B592" s="13" t="s">
        <v>179</v>
      </c>
      <c r="C592" s="13" t="s">
        <v>163</v>
      </c>
      <c r="D592" s="13" t="s">
        <v>626</v>
      </c>
      <c r="E592" s="13" t="s">
        <v>304</v>
      </c>
      <c r="F592" s="61">
        <f t="shared" si="23"/>
        <v>0</v>
      </c>
      <c r="G592" s="61">
        <v>0</v>
      </c>
      <c r="H592" s="61"/>
    </row>
    <row r="593" spans="1:8" ht="48" customHeight="1">
      <c r="A593" s="29" t="s">
        <v>779</v>
      </c>
      <c r="B593" s="26" t="s">
        <v>179</v>
      </c>
      <c r="C593" s="26" t="s">
        <v>163</v>
      </c>
      <c r="D593" s="26" t="s">
        <v>775</v>
      </c>
      <c r="E593" s="26" t="s">
        <v>426</v>
      </c>
      <c r="F593" s="62">
        <f>G593+H593</f>
        <v>254</v>
      </c>
      <c r="G593" s="62">
        <f>G594</f>
        <v>254</v>
      </c>
      <c r="H593" s="62"/>
    </row>
    <row r="594" spans="1:8" ht="34.5" customHeight="1">
      <c r="A594" s="25" t="s">
        <v>202</v>
      </c>
      <c r="B594" s="13" t="s">
        <v>179</v>
      </c>
      <c r="C594" s="13" t="s">
        <v>163</v>
      </c>
      <c r="D594" s="13" t="s">
        <v>775</v>
      </c>
      <c r="E594" s="13" t="s">
        <v>170</v>
      </c>
      <c r="F594" s="61">
        <f>G594+H594</f>
        <v>254</v>
      </c>
      <c r="G594" s="61">
        <f>G595</f>
        <v>254</v>
      </c>
      <c r="H594" s="61"/>
    </row>
    <row r="595" spans="1:8" ht="48.75" customHeight="1">
      <c r="A595" s="49" t="s">
        <v>203</v>
      </c>
      <c r="B595" s="13" t="s">
        <v>179</v>
      </c>
      <c r="C595" s="13" t="s">
        <v>163</v>
      </c>
      <c r="D595" s="13" t="s">
        <v>775</v>
      </c>
      <c r="E595" s="13" t="s">
        <v>204</v>
      </c>
      <c r="F595" s="61">
        <f>G595+H595</f>
        <v>254</v>
      </c>
      <c r="G595" s="61">
        <f>375+212+40-373</f>
        <v>254</v>
      </c>
      <c r="H595" s="61"/>
    </row>
    <row r="596" spans="1:8" ht="48" customHeight="1" hidden="1">
      <c r="A596" s="59" t="s">
        <v>738</v>
      </c>
      <c r="B596" s="17" t="s">
        <v>179</v>
      </c>
      <c r="C596" s="17" t="s">
        <v>163</v>
      </c>
      <c r="D596" s="17" t="s">
        <v>98</v>
      </c>
      <c r="E596" s="17" t="s">
        <v>426</v>
      </c>
      <c r="F596" s="110">
        <f aca="true" t="shared" si="24" ref="F596:F602">G596+H596</f>
        <v>0</v>
      </c>
      <c r="G596" s="110">
        <f>G597+G600</f>
        <v>0</v>
      </c>
      <c r="H596" s="110">
        <f>H597+H600</f>
        <v>0</v>
      </c>
    </row>
    <row r="597" spans="1:8" ht="64.5" customHeight="1" hidden="1">
      <c r="A597" s="44" t="s">
        <v>746</v>
      </c>
      <c r="B597" s="13" t="s">
        <v>179</v>
      </c>
      <c r="C597" s="13" t="s">
        <v>163</v>
      </c>
      <c r="D597" s="13" t="s">
        <v>741</v>
      </c>
      <c r="E597" s="13" t="s">
        <v>426</v>
      </c>
      <c r="F597" s="61">
        <f t="shared" si="24"/>
        <v>0</v>
      </c>
      <c r="G597" s="61"/>
      <c r="H597" s="61">
        <f>H598</f>
        <v>0</v>
      </c>
    </row>
    <row r="598" spans="1:8" ht="45" customHeight="1" hidden="1">
      <c r="A598" s="25" t="s">
        <v>627</v>
      </c>
      <c r="B598" s="13" t="s">
        <v>179</v>
      </c>
      <c r="C598" s="13" t="s">
        <v>163</v>
      </c>
      <c r="D598" s="13" t="s">
        <v>741</v>
      </c>
      <c r="E598" s="13" t="s">
        <v>226</v>
      </c>
      <c r="F598" s="61">
        <f t="shared" si="24"/>
        <v>0</v>
      </c>
      <c r="G598" s="61"/>
      <c r="H598" s="61">
        <f>H599</f>
        <v>0</v>
      </c>
    </row>
    <row r="599" spans="1:8" ht="18.75" customHeight="1" hidden="1">
      <c r="A599" s="25" t="s">
        <v>191</v>
      </c>
      <c r="B599" s="13" t="s">
        <v>179</v>
      </c>
      <c r="C599" s="13" t="s">
        <v>163</v>
      </c>
      <c r="D599" s="13" t="s">
        <v>741</v>
      </c>
      <c r="E599" s="13" t="s">
        <v>304</v>
      </c>
      <c r="F599" s="61">
        <f t="shared" si="24"/>
        <v>0</v>
      </c>
      <c r="G599" s="61"/>
      <c r="H599" s="61">
        <v>0</v>
      </c>
    </row>
    <row r="600" spans="1:8" ht="81" customHeight="1" hidden="1">
      <c r="A600" s="44" t="s">
        <v>747</v>
      </c>
      <c r="B600" s="13" t="s">
        <v>179</v>
      </c>
      <c r="C600" s="13" t="s">
        <v>163</v>
      </c>
      <c r="D600" s="13" t="s">
        <v>742</v>
      </c>
      <c r="E600" s="13" t="s">
        <v>426</v>
      </c>
      <c r="F600" s="61">
        <f t="shared" si="24"/>
        <v>0</v>
      </c>
      <c r="G600" s="61">
        <f>G601</f>
        <v>0</v>
      </c>
      <c r="H600" s="61"/>
    </row>
    <row r="601" spans="1:8" ht="42.75" customHeight="1" hidden="1">
      <c r="A601" s="25" t="s">
        <v>627</v>
      </c>
      <c r="B601" s="13" t="s">
        <v>179</v>
      </c>
      <c r="C601" s="13" t="s">
        <v>163</v>
      </c>
      <c r="D601" s="13" t="s">
        <v>742</v>
      </c>
      <c r="E601" s="13" t="s">
        <v>226</v>
      </c>
      <c r="F601" s="61">
        <f t="shared" si="24"/>
        <v>0</v>
      </c>
      <c r="G601" s="61">
        <f>G602</f>
        <v>0</v>
      </c>
      <c r="H601" s="61"/>
    </row>
    <row r="602" spans="1:8" ht="18.75" customHeight="1" hidden="1">
      <c r="A602" s="25" t="s">
        <v>191</v>
      </c>
      <c r="B602" s="13" t="s">
        <v>179</v>
      </c>
      <c r="C602" s="13" t="s">
        <v>163</v>
      </c>
      <c r="D602" s="13" t="s">
        <v>742</v>
      </c>
      <c r="E602" s="13" t="s">
        <v>304</v>
      </c>
      <c r="F602" s="61">
        <f t="shared" si="24"/>
        <v>0</v>
      </c>
      <c r="G602" s="61">
        <v>0</v>
      </c>
      <c r="H602" s="61"/>
    </row>
    <row r="603" spans="1:8" ht="64.5" customHeight="1" hidden="1">
      <c r="A603" s="59" t="s">
        <v>780</v>
      </c>
      <c r="B603" s="17" t="s">
        <v>179</v>
      </c>
      <c r="C603" s="17" t="s">
        <v>163</v>
      </c>
      <c r="D603" s="17" t="s">
        <v>98</v>
      </c>
      <c r="E603" s="17" t="s">
        <v>426</v>
      </c>
      <c r="F603" s="110">
        <f>G603+H603</f>
        <v>0</v>
      </c>
      <c r="G603" s="110">
        <f>G607</f>
        <v>0</v>
      </c>
      <c r="H603" s="110">
        <f>H604</f>
        <v>0</v>
      </c>
    </row>
    <row r="604" spans="1:8" ht="96.75" customHeight="1" hidden="1">
      <c r="A604" s="44" t="s">
        <v>782</v>
      </c>
      <c r="B604" s="26" t="s">
        <v>179</v>
      </c>
      <c r="C604" s="26" t="s">
        <v>163</v>
      </c>
      <c r="D604" s="26" t="s">
        <v>781</v>
      </c>
      <c r="E604" s="26" t="s">
        <v>426</v>
      </c>
      <c r="F604" s="62">
        <f aca="true" t="shared" si="25" ref="F604:F609">G604+H604</f>
        <v>0</v>
      </c>
      <c r="G604" s="62"/>
      <c r="H604" s="62">
        <f>H605</f>
        <v>0</v>
      </c>
    </row>
    <row r="605" spans="1:8" ht="36" customHeight="1" hidden="1">
      <c r="A605" s="25" t="s">
        <v>202</v>
      </c>
      <c r="B605" s="13" t="s">
        <v>179</v>
      </c>
      <c r="C605" s="13" t="s">
        <v>163</v>
      </c>
      <c r="D605" s="13" t="s">
        <v>781</v>
      </c>
      <c r="E605" s="13" t="s">
        <v>170</v>
      </c>
      <c r="F605" s="61">
        <f t="shared" si="25"/>
        <v>0</v>
      </c>
      <c r="G605" s="61"/>
      <c r="H605" s="61">
        <f>H606</f>
        <v>0</v>
      </c>
    </row>
    <row r="606" spans="1:8" ht="48" customHeight="1" hidden="1">
      <c r="A606" s="49" t="s">
        <v>203</v>
      </c>
      <c r="B606" s="13" t="s">
        <v>179</v>
      </c>
      <c r="C606" s="13" t="s">
        <v>163</v>
      </c>
      <c r="D606" s="13" t="s">
        <v>781</v>
      </c>
      <c r="E606" s="13" t="s">
        <v>204</v>
      </c>
      <c r="F606" s="61">
        <f t="shared" si="25"/>
        <v>0</v>
      </c>
      <c r="G606" s="61"/>
      <c r="H606" s="61">
        <v>0</v>
      </c>
    </row>
    <row r="607" spans="1:8" ht="114.75" customHeight="1" hidden="1">
      <c r="A607" s="29" t="s">
        <v>783</v>
      </c>
      <c r="B607" s="26" t="s">
        <v>179</v>
      </c>
      <c r="C607" s="26" t="s">
        <v>163</v>
      </c>
      <c r="D607" s="26" t="s">
        <v>784</v>
      </c>
      <c r="E607" s="26" t="s">
        <v>426</v>
      </c>
      <c r="F607" s="62">
        <f t="shared" si="25"/>
        <v>0</v>
      </c>
      <c r="G607" s="62">
        <f>G608</f>
        <v>0</v>
      </c>
      <c r="H607" s="62"/>
    </row>
    <row r="608" spans="1:8" ht="36" customHeight="1" hidden="1">
      <c r="A608" s="25" t="s">
        <v>202</v>
      </c>
      <c r="B608" s="13" t="s">
        <v>179</v>
      </c>
      <c r="C608" s="13" t="s">
        <v>163</v>
      </c>
      <c r="D608" s="13" t="s">
        <v>784</v>
      </c>
      <c r="E608" s="13" t="s">
        <v>170</v>
      </c>
      <c r="F608" s="61">
        <f t="shared" si="25"/>
        <v>0</v>
      </c>
      <c r="G608" s="61">
        <f>G609</f>
        <v>0</v>
      </c>
      <c r="H608" s="61"/>
    </row>
    <row r="609" spans="1:8" ht="47.25" customHeight="1" hidden="1">
      <c r="A609" s="49" t="s">
        <v>203</v>
      </c>
      <c r="B609" s="13" t="s">
        <v>179</v>
      </c>
      <c r="C609" s="13" t="s">
        <v>163</v>
      </c>
      <c r="D609" s="13" t="s">
        <v>784</v>
      </c>
      <c r="E609" s="13" t="s">
        <v>204</v>
      </c>
      <c r="F609" s="61">
        <f t="shared" si="25"/>
        <v>0</v>
      </c>
      <c r="G609" s="61">
        <v>0</v>
      </c>
      <c r="H609" s="61"/>
    </row>
    <row r="610" spans="1:8" s="157" customFormat="1" ht="49.5" customHeight="1">
      <c r="A610" s="59" t="s">
        <v>249</v>
      </c>
      <c r="B610" s="17" t="s">
        <v>181</v>
      </c>
      <c r="C610" s="17" t="s">
        <v>162</v>
      </c>
      <c r="D610" s="17" t="s">
        <v>337</v>
      </c>
      <c r="E610" s="17" t="s">
        <v>426</v>
      </c>
      <c r="F610" s="110">
        <f aca="true" t="shared" si="26" ref="F610:F625">G610+H610</f>
        <v>1090</v>
      </c>
      <c r="G610" s="110">
        <f>G611</f>
        <v>1090</v>
      </c>
      <c r="H610" s="110">
        <f>H611</f>
        <v>0</v>
      </c>
    </row>
    <row r="611" spans="1:8" ht="33.75" customHeight="1">
      <c r="A611" s="25" t="s">
        <v>432</v>
      </c>
      <c r="B611" s="13" t="s">
        <v>181</v>
      </c>
      <c r="C611" s="13" t="s">
        <v>161</v>
      </c>
      <c r="D611" s="13" t="s">
        <v>337</v>
      </c>
      <c r="E611" s="13" t="s">
        <v>426</v>
      </c>
      <c r="F611" s="61">
        <f t="shared" si="26"/>
        <v>1090</v>
      </c>
      <c r="G611" s="61">
        <f>G612</f>
        <v>1090</v>
      </c>
      <c r="H611" s="61">
        <f>H613</f>
        <v>0</v>
      </c>
    </row>
    <row r="612" spans="1:8" ht="78" customHeight="1">
      <c r="A612" s="29" t="s">
        <v>570</v>
      </c>
      <c r="B612" s="26" t="s">
        <v>181</v>
      </c>
      <c r="C612" s="26" t="s">
        <v>161</v>
      </c>
      <c r="D612" s="26" t="s">
        <v>552</v>
      </c>
      <c r="E612" s="26" t="s">
        <v>426</v>
      </c>
      <c r="F612" s="62">
        <f t="shared" si="26"/>
        <v>1090</v>
      </c>
      <c r="G612" s="62">
        <f>G613</f>
        <v>1090</v>
      </c>
      <c r="H612" s="62">
        <v>0</v>
      </c>
    </row>
    <row r="613" spans="1:8" ht="33" customHeight="1">
      <c r="A613" s="25" t="s">
        <v>372</v>
      </c>
      <c r="B613" s="13" t="s">
        <v>181</v>
      </c>
      <c r="C613" s="13" t="s">
        <v>161</v>
      </c>
      <c r="D613" s="13" t="s">
        <v>547</v>
      </c>
      <c r="E613" s="13" t="s">
        <v>426</v>
      </c>
      <c r="F613" s="61">
        <f t="shared" si="26"/>
        <v>1090</v>
      </c>
      <c r="G613" s="61">
        <f>G614</f>
        <v>1090</v>
      </c>
      <c r="H613" s="61">
        <f>H614</f>
        <v>0</v>
      </c>
    </row>
    <row r="614" spans="1:8" ht="33" customHeight="1">
      <c r="A614" s="25" t="s">
        <v>557</v>
      </c>
      <c r="B614" s="13" t="s">
        <v>181</v>
      </c>
      <c r="C614" s="13" t="s">
        <v>161</v>
      </c>
      <c r="D614" s="13" t="s">
        <v>547</v>
      </c>
      <c r="E614" s="13" t="s">
        <v>426</v>
      </c>
      <c r="F614" s="61">
        <f t="shared" si="26"/>
        <v>1090</v>
      </c>
      <c r="G614" s="61">
        <f>G615</f>
        <v>1090</v>
      </c>
      <c r="H614" s="61">
        <f>H616</f>
        <v>0</v>
      </c>
    </row>
    <row r="615" spans="1:8" ht="33" customHeight="1">
      <c r="A615" s="25" t="s">
        <v>221</v>
      </c>
      <c r="B615" s="13" t="s">
        <v>181</v>
      </c>
      <c r="C615" s="13" t="s">
        <v>161</v>
      </c>
      <c r="D615" s="13" t="s">
        <v>547</v>
      </c>
      <c r="E615" s="13" t="s">
        <v>222</v>
      </c>
      <c r="F615" s="61">
        <f t="shared" si="26"/>
        <v>1090</v>
      </c>
      <c r="G615" s="61">
        <f>G616</f>
        <v>1090</v>
      </c>
      <c r="H615" s="61"/>
    </row>
    <row r="616" spans="1:8" ht="17.25" customHeight="1">
      <c r="A616" s="25" t="s">
        <v>251</v>
      </c>
      <c r="B616" s="13" t="s">
        <v>181</v>
      </c>
      <c r="C616" s="13" t="s">
        <v>161</v>
      </c>
      <c r="D616" s="13" t="s">
        <v>547</v>
      </c>
      <c r="E616" s="13" t="s">
        <v>350</v>
      </c>
      <c r="F616" s="61">
        <f t="shared" si="26"/>
        <v>1090</v>
      </c>
      <c r="G616" s="61">
        <v>1090</v>
      </c>
      <c r="H616" s="61"/>
    </row>
    <row r="617" spans="1:8" s="157" customFormat="1" ht="78.75" customHeight="1">
      <c r="A617" s="59" t="s">
        <v>252</v>
      </c>
      <c r="B617" s="17" t="s">
        <v>253</v>
      </c>
      <c r="C617" s="17" t="s">
        <v>162</v>
      </c>
      <c r="D617" s="17" t="s">
        <v>337</v>
      </c>
      <c r="E617" s="17" t="s">
        <v>426</v>
      </c>
      <c r="F617" s="110">
        <f t="shared" si="26"/>
        <v>20599.051</v>
      </c>
      <c r="G617" s="110">
        <f>G619+G626+G628+G632</f>
        <v>9307.974999999999</v>
      </c>
      <c r="H617" s="110">
        <f>H619+H628</f>
        <v>11291.076</v>
      </c>
    </row>
    <row r="618" spans="1:8" s="157" customFormat="1" ht="79.5" customHeight="1">
      <c r="A618" s="29" t="s">
        <v>570</v>
      </c>
      <c r="B618" s="56" t="s">
        <v>253</v>
      </c>
      <c r="C618" s="56" t="s">
        <v>162</v>
      </c>
      <c r="D618" s="56" t="s">
        <v>552</v>
      </c>
      <c r="E618" s="56" t="s">
        <v>426</v>
      </c>
      <c r="F618" s="108">
        <f t="shared" si="26"/>
        <v>20599.051</v>
      </c>
      <c r="G618" s="108">
        <f>G619+G627+G629+G633</f>
        <v>9307.974999999999</v>
      </c>
      <c r="H618" s="108">
        <f>H620+H629</f>
        <v>11291.076</v>
      </c>
    </row>
    <row r="619" spans="1:8" ht="48.75" customHeight="1">
      <c r="A619" s="25" t="s">
        <v>254</v>
      </c>
      <c r="B619" s="13" t="s">
        <v>253</v>
      </c>
      <c r="C619" s="13" t="s">
        <v>161</v>
      </c>
      <c r="D619" s="13" t="s">
        <v>552</v>
      </c>
      <c r="E619" s="13" t="s">
        <v>426</v>
      </c>
      <c r="F619" s="61">
        <f t="shared" si="26"/>
        <v>19879.051</v>
      </c>
      <c r="G619" s="61">
        <f>G624</f>
        <v>8587.974999999999</v>
      </c>
      <c r="H619" s="61">
        <f>H620</f>
        <v>11291.076</v>
      </c>
    </row>
    <row r="620" spans="1:9" ht="50.25" customHeight="1">
      <c r="A620" s="29" t="s">
        <v>255</v>
      </c>
      <c r="B620" s="26" t="s">
        <v>253</v>
      </c>
      <c r="C620" s="26" t="s">
        <v>161</v>
      </c>
      <c r="D620" s="26" t="s">
        <v>544</v>
      </c>
      <c r="E620" s="26" t="s">
        <v>426</v>
      </c>
      <c r="F620" s="62">
        <f t="shared" si="26"/>
        <v>11291.076</v>
      </c>
      <c r="G620" s="62">
        <f>G621</f>
        <v>0</v>
      </c>
      <c r="H620" s="62">
        <f>H621</f>
        <v>11291.076</v>
      </c>
      <c r="I620" s="146"/>
    </row>
    <row r="621" spans="1:8" ht="18.75" customHeight="1">
      <c r="A621" s="25" t="s">
        <v>213</v>
      </c>
      <c r="B621" s="13" t="s">
        <v>253</v>
      </c>
      <c r="C621" s="13" t="s">
        <v>161</v>
      </c>
      <c r="D621" s="13" t="s">
        <v>544</v>
      </c>
      <c r="E621" s="13" t="s">
        <v>426</v>
      </c>
      <c r="F621" s="61">
        <f t="shared" si="26"/>
        <v>11291.076</v>
      </c>
      <c r="G621" s="61">
        <f>G622</f>
        <v>0</v>
      </c>
      <c r="H621" s="61">
        <f>H622+H624</f>
        <v>11291.076</v>
      </c>
    </row>
    <row r="622" spans="1:8" ht="96" customHeight="1">
      <c r="A622" s="25" t="s">
        <v>353</v>
      </c>
      <c r="B622" s="13" t="s">
        <v>253</v>
      </c>
      <c r="C622" s="13" t="s">
        <v>161</v>
      </c>
      <c r="D622" s="13" t="s">
        <v>544</v>
      </c>
      <c r="E622" s="13" t="s">
        <v>426</v>
      </c>
      <c r="F622" s="61">
        <f t="shared" si="26"/>
        <v>11291.076</v>
      </c>
      <c r="G622" s="61">
        <f>G623</f>
        <v>0</v>
      </c>
      <c r="H622" s="61">
        <f>H623</f>
        <v>11291.076</v>
      </c>
    </row>
    <row r="623" spans="1:8" ht="18" customHeight="1">
      <c r="A623" s="25" t="s">
        <v>223</v>
      </c>
      <c r="B623" s="13" t="s">
        <v>253</v>
      </c>
      <c r="C623" s="13" t="s">
        <v>161</v>
      </c>
      <c r="D623" s="13" t="s">
        <v>544</v>
      </c>
      <c r="E623" s="13" t="s">
        <v>224</v>
      </c>
      <c r="F623" s="61">
        <f t="shared" si="26"/>
        <v>11291.076</v>
      </c>
      <c r="G623" s="61">
        <v>0</v>
      </c>
      <c r="H623" s="61">
        <v>11291.076</v>
      </c>
    </row>
    <row r="624" spans="1:8" ht="51" customHeight="1">
      <c r="A624" s="29" t="s">
        <v>330</v>
      </c>
      <c r="B624" s="26" t="s">
        <v>253</v>
      </c>
      <c r="C624" s="26" t="s">
        <v>161</v>
      </c>
      <c r="D624" s="26" t="s">
        <v>545</v>
      </c>
      <c r="E624" s="26" t="s">
        <v>426</v>
      </c>
      <c r="F624" s="62">
        <f t="shared" si="26"/>
        <v>8587.974999999999</v>
      </c>
      <c r="G624" s="62">
        <f>G625</f>
        <v>8587.974999999999</v>
      </c>
      <c r="H624" s="62">
        <f>H625</f>
        <v>0</v>
      </c>
    </row>
    <row r="625" spans="1:8" ht="16.5" customHeight="1">
      <c r="A625" s="25" t="s">
        <v>223</v>
      </c>
      <c r="B625" s="13" t="s">
        <v>253</v>
      </c>
      <c r="C625" s="13" t="s">
        <v>161</v>
      </c>
      <c r="D625" s="13" t="s">
        <v>545</v>
      </c>
      <c r="E625" s="13" t="s">
        <v>224</v>
      </c>
      <c r="F625" s="61">
        <f t="shared" si="26"/>
        <v>8587.974999999999</v>
      </c>
      <c r="G625" s="61">
        <f>8375.417+212.558</f>
        <v>8587.974999999999</v>
      </c>
      <c r="H625" s="61"/>
    </row>
    <row r="626" spans="1:8" ht="48" customHeight="1" hidden="1">
      <c r="A626" s="25" t="s">
        <v>330</v>
      </c>
      <c r="B626" s="13" t="s">
        <v>253</v>
      </c>
      <c r="C626" s="13" t="s">
        <v>161</v>
      </c>
      <c r="D626" s="13" t="s">
        <v>27</v>
      </c>
      <c r="E626" s="13" t="s">
        <v>426</v>
      </c>
      <c r="F626" s="61">
        <f>G626</f>
        <v>0</v>
      </c>
      <c r="G626" s="61">
        <f>G627</f>
        <v>0</v>
      </c>
      <c r="H626" s="61">
        <f>H627</f>
        <v>0</v>
      </c>
    </row>
    <row r="627" spans="1:8" ht="17.25" customHeight="1" hidden="1">
      <c r="A627" s="25" t="s">
        <v>211</v>
      </c>
      <c r="B627" s="13" t="s">
        <v>253</v>
      </c>
      <c r="C627" s="13" t="s">
        <v>161</v>
      </c>
      <c r="D627" s="13" t="s">
        <v>27</v>
      </c>
      <c r="E627" s="13" t="s">
        <v>224</v>
      </c>
      <c r="F627" s="61">
        <f>G627</f>
        <v>0</v>
      </c>
      <c r="G627" s="61"/>
      <c r="H627" s="61"/>
    </row>
    <row r="628" spans="1:8" ht="33" customHeight="1">
      <c r="A628" s="29" t="s">
        <v>362</v>
      </c>
      <c r="B628" s="26" t="s">
        <v>253</v>
      </c>
      <c r="C628" s="26" t="s">
        <v>168</v>
      </c>
      <c r="D628" s="26" t="s">
        <v>552</v>
      </c>
      <c r="E628" s="26" t="s">
        <v>426</v>
      </c>
      <c r="F628" s="62">
        <f>G628+H628</f>
        <v>720</v>
      </c>
      <c r="G628" s="62">
        <f>G629</f>
        <v>720</v>
      </c>
      <c r="H628" s="62">
        <f>H629</f>
        <v>0</v>
      </c>
    </row>
    <row r="629" spans="1:8" ht="33" customHeight="1">
      <c r="A629" s="25" t="s">
        <v>473</v>
      </c>
      <c r="B629" s="13" t="s">
        <v>253</v>
      </c>
      <c r="C629" s="13" t="s">
        <v>168</v>
      </c>
      <c r="D629" s="13" t="s">
        <v>552</v>
      </c>
      <c r="E629" s="13" t="s">
        <v>426</v>
      </c>
      <c r="F629" s="61">
        <f>G629+H629</f>
        <v>720</v>
      </c>
      <c r="G629" s="61">
        <f>G630</f>
        <v>720</v>
      </c>
      <c r="H629" s="61">
        <f>H631</f>
        <v>0</v>
      </c>
    </row>
    <row r="630" spans="1:8" ht="18.75" customHeight="1">
      <c r="A630" s="25" t="s">
        <v>213</v>
      </c>
      <c r="B630" s="13" t="s">
        <v>253</v>
      </c>
      <c r="C630" s="13" t="s">
        <v>168</v>
      </c>
      <c r="D630" s="13" t="s">
        <v>552</v>
      </c>
      <c r="E630" s="13" t="s">
        <v>214</v>
      </c>
      <c r="F630" s="61">
        <f>G630+H630</f>
        <v>720</v>
      </c>
      <c r="G630" s="61">
        <f>G631+G635</f>
        <v>720</v>
      </c>
      <c r="H630" s="61"/>
    </row>
    <row r="631" spans="1:8" ht="17.25" customHeight="1">
      <c r="A631" s="25" t="s">
        <v>319</v>
      </c>
      <c r="B631" s="13" t="s">
        <v>253</v>
      </c>
      <c r="C631" s="13" t="s">
        <v>168</v>
      </c>
      <c r="D631" s="13" t="s">
        <v>546</v>
      </c>
      <c r="E631" s="13" t="s">
        <v>472</v>
      </c>
      <c r="F631" s="61">
        <f>G631+H631</f>
        <v>720</v>
      </c>
      <c r="G631" s="61">
        <f>450+170+100</f>
        <v>720</v>
      </c>
      <c r="H631" s="61"/>
    </row>
    <row r="632" spans="1:8" ht="32.25" customHeight="1" hidden="1">
      <c r="A632" s="25" t="s">
        <v>362</v>
      </c>
      <c r="B632" s="13" t="s">
        <v>253</v>
      </c>
      <c r="C632" s="13" t="s">
        <v>168</v>
      </c>
      <c r="D632" s="13" t="s">
        <v>546</v>
      </c>
      <c r="E632" s="13" t="s">
        <v>472</v>
      </c>
      <c r="F632" s="61">
        <f>G632</f>
        <v>0</v>
      </c>
      <c r="G632" s="61">
        <f>G633</f>
        <v>0</v>
      </c>
      <c r="H632" s="61"/>
    </row>
    <row r="633" spans="1:8" ht="24.75" customHeight="1" hidden="1">
      <c r="A633" s="25" t="s">
        <v>213</v>
      </c>
      <c r="B633" s="13" t="s">
        <v>253</v>
      </c>
      <c r="C633" s="13" t="s">
        <v>168</v>
      </c>
      <c r="D633" s="13" t="s">
        <v>546</v>
      </c>
      <c r="E633" s="13" t="s">
        <v>472</v>
      </c>
      <c r="F633" s="61">
        <f>G633</f>
        <v>0</v>
      </c>
      <c r="G633" s="61">
        <f>G634</f>
        <v>0</v>
      </c>
      <c r="H633" s="61"/>
    </row>
    <row r="634" spans="1:8" ht="147.75" customHeight="1" hidden="1">
      <c r="A634" s="25" t="s">
        <v>530</v>
      </c>
      <c r="B634" s="13" t="s">
        <v>253</v>
      </c>
      <c r="C634" s="13" t="s">
        <v>168</v>
      </c>
      <c r="D634" s="13" t="s">
        <v>546</v>
      </c>
      <c r="E634" s="13" t="s">
        <v>472</v>
      </c>
      <c r="F634" s="61">
        <f>G634</f>
        <v>0</v>
      </c>
      <c r="G634" s="61"/>
      <c r="H634" s="61"/>
    </row>
    <row r="635" spans="1:8" ht="82.5" customHeight="1" hidden="1">
      <c r="A635" s="25" t="s">
        <v>717</v>
      </c>
      <c r="B635" s="13" t="s">
        <v>253</v>
      </c>
      <c r="C635" s="13" t="s">
        <v>168</v>
      </c>
      <c r="D635" s="13" t="s">
        <v>751</v>
      </c>
      <c r="E635" s="13" t="s">
        <v>472</v>
      </c>
      <c r="F635" s="61">
        <f>G635</f>
        <v>0</v>
      </c>
      <c r="G635" s="61">
        <v>0</v>
      </c>
      <c r="H635" s="61"/>
    </row>
    <row r="636" spans="1:9" ht="18" customHeight="1">
      <c r="A636" s="59" t="s">
        <v>261</v>
      </c>
      <c r="B636" s="3"/>
      <c r="C636" s="3"/>
      <c r="D636" s="3"/>
      <c r="E636" s="3"/>
      <c r="F636" s="110">
        <f>H636+G636</f>
        <v>573434.14744</v>
      </c>
      <c r="G636" s="110">
        <f>G13+G177+G183+G199+G204+G251+G298+G476+G572+G610+G617+G528</f>
        <v>272801.4501299999</v>
      </c>
      <c r="H636" s="110">
        <f>H13+H177+H183+H199+H204+H251+H298+H476+H572+H610+H617+H528</f>
        <v>300632.69731</v>
      </c>
      <c r="I636" s="146"/>
    </row>
    <row r="637" spans="1:8" ht="15">
      <c r="A637" s="9"/>
      <c r="B637" s="9"/>
      <c r="C637" s="150"/>
      <c r="D637" s="151"/>
      <c r="E637" s="150"/>
      <c r="F637" s="142"/>
      <c r="G637" s="142"/>
      <c r="H637" s="142"/>
    </row>
    <row r="638" spans="4:8" ht="15.75">
      <c r="D638" s="201"/>
      <c r="E638" s="202"/>
      <c r="F638" s="203"/>
      <c r="G638" s="203"/>
      <c r="H638" s="203"/>
    </row>
    <row r="639" spans="4:8" ht="15.75">
      <c r="D639" s="204"/>
      <c r="E639" s="205"/>
      <c r="F639" s="203"/>
      <c r="G639" s="203"/>
      <c r="H639" s="203"/>
    </row>
    <row r="640" spans="4:11" ht="15.75">
      <c r="D640" s="243"/>
      <c r="F640" s="203"/>
      <c r="G640" s="203"/>
      <c r="H640" s="203"/>
      <c r="J640" s="146"/>
      <c r="K640" s="142"/>
    </row>
    <row r="641" spans="4:8" ht="15.75">
      <c r="D641" s="244"/>
      <c r="E641" s="244"/>
      <c r="F641" s="206"/>
      <c r="G641" s="206"/>
      <c r="H641" s="206"/>
    </row>
    <row r="642" spans="6:8" ht="15.75">
      <c r="F642" s="146"/>
      <c r="G642" s="146"/>
      <c r="H642" s="146"/>
    </row>
  </sheetData>
  <sheetProtection/>
  <mergeCells count="14">
    <mergeCell ref="F1:H1"/>
    <mergeCell ref="F2:H2"/>
    <mergeCell ref="F3:H3"/>
    <mergeCell ref="F4:H4"/>
    <mergeCell ref="A6:H6"/>
    <mergeCell ref="A7:H7"/>
    <mergeCell ref="A8:H8"/>
    <mergeCell ref="A10:A11"/>
    <mergeCell ref="B10:B11"/>
    <mergeCell ref="C10:C11"/>
    <mergeCell ref="D10:D11"/>
    <mergeCell ref="E10:E11"/>
    <mergeCell ref="F10:F11"/>
    <mergeCell ref="G10:H10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50" r:id="rId1"/>
  <rowBreaks count="5" manualBreakCount="5">
    <brk id="331" max="7" man="1"/>
    <brk id="389" max="7" man="1"/>
    <brk id="430" max="7" man="1"/>
    <brk id="495" max="7" man="1"/>
    <brk id="535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L667"/>
  <sheetViews>
    <sheetView view="pageBreakPreview" zoomScale="90" zoomScaleSheetLayoutView="90" zoomScalePageLayoutView="0" workbookViewId="0" topLeftCell="A479">
      <selection activeCell="A170" sqref="A170"/>
    </sheetView>
  </sheetViews>
  <sheetFormatPr defaultColWidth="8.75390625" defaultRowHeight="12.75"/>
  <cols>
    <col min="1" max="1" width="43.25390625" style="65" customWidth="1"/>
    <col min="2" max="2" width="5.375" style="23" customWidth="1"/>
    <col min="3" max="3" width="4.75390625" style="23" customWidth="1"/>
    <col min="4" max="4" width="5.25390625" style="23" customWidth="1"/>
    <col min="5" max="5" width="13.75390625" style="23" customWidth="1"/>
    <col min="6" max="6" width="5.25390625" style="23" customWidth="1"/>
    <col min="7" max="7" width="17.75390625" style="23" customWidth="1"/>
    <col min="8" max="8" width="18.25390625" style="23" customWidth="1"/>
    <col min="9" max="9" width="16.75390625" style="23" customWidth="1"/>
    <col min="10" max="10" width="14.00390625" style="23" customWidth="1"/>
    <col min="11" max="12" width="13.625" style="23" bestFit="1" customWidth="1"/>
    <col min="13" max="16384" width="8.75390625" style="23" customWidth="1"/>
  </cols>
  <sheetData>
    <row r="1" spans="2:9" ht="15">
      <c r="B1" s="189"/>
      <c r="C1" s="189"/>
      <c r="D1" s="189"/>
      <c r="F1" s="189"/>
      <c r="G1" s="320" t="s">
        <v>919</v>
      </c>
      <c r="H1" s="320"/>
      <c r="I1" s="320"/>
    </row>
    <row r="2" spans="2:9" ht="15">
      <c r="B2" s="24"/>
      <c r="C2" s="24"/>
      <c r="D2" s="24"/>
      <c r="E2" s="24"/>
      <c r="F2" s="320" t="s">
        <v>422</v>
      </c>
      <c r="G2" s="320"/>
      <c r="H2" s="320"/>
      <c r="I2" s="320"/>
    </row>
    <row r="3" spans="2:9" ht="15">
      <c r="B3" s="320"/>
      <c r="C3" s="320"/>
      <c r="D3" s="320"/>
      <c r="E3" s="320"/>
      <c r="F3" s="320"/>
      <c r="G3" s="320" t="s">
        <v>423</v>
      </c>
      <c r="H3" s="320"/>
      <c r="I3" s="320"/>
    </row>
    <row r="4" spans="2:9" ht="15">
      <c r="B4" s="321"/>
      <c r="C4" s="321"/>
      <c r="D4" s="321"/>
      <c r="E4" s="321"/>
      <c r="F4" s="321"/>
      <c r="G4" s="321" t="s">
        <v>947</v>
      </c>
      <c r="H4" s="321"/>
      <c r="I4" s="321"/>
    </row>
    <row r="6" spans="1:9" ht="14.25">
      <c r="A6" s="322" t="s">
        <v>424</v>
      </c>
      <c r="B6" s="322"/>
      <c r="C6" s="322"/>
      <c r="D6" s="322"/>
      <c r="E6" s="322"/>
      <c r="F6" s="322"/>
      <c r="G6" s="322"/>
      <c r="H6" s="322"/>
      <c r="I6" s="322"/>
    </row>
    <row r="7" spans="1:9" ht="35.25" customHeight="1">
      <c r="A7" s="323" t="s">
        <v>870</v>
      </c>
      <c r="B7" s="323"/>
      <c r="C7" s="323"/>
      <c r="D7" s="323"/>
      <c r="E7" s="323"/>
      <c r="F7" s="323"/>
      <c r="G7" s="323"/>
      <c r="H7" s="323"/>
      <c r="I7" s="323"/>
    </row>
    <row r="9" ht="15">
      <c r="I9" s="107" t="s">
        <v>145</v>
      </c>
    </row>
    <row r="10" spans="1:9" ht="15">
      <c r="A10" s="302" t="s">
        <v>363</v>
      </c>
      <c r="B10" s="302" t="s">
        <v>364</v>
      </c>
      <c r="C10" s="316" t="s">
        <v>157</v>
      </c>
      <c r="D10" s="316" t="s">
        <v>158</v>
      </c>
      <c r="E10" s="302" t="s">
        <v>365</v>
      </c>
      <c r="F10" s="302" t="s">
        <v>366</v>
      </c>
      <c r="G10" s="302" t="s">
        <v>538</v>
      </c>
      <c r="H10" s="302" t="s">
        <v>367</v>
      </c>
      <c r="I10" s="302"/>
    </row>
    <row r="11" spans="1:9" ht="15">
      <c r="A11" s="302"/>
      <c r="B11" s="302"/>
      <c r="C11" s="316"/>
      <c r="D11" s="316"/>
      <c r="E11" s="302"/>
      <c r="F11" s="302"/>
      <c r="G11" s="302"/>
      <c r="H11" s="55" t="s">
        <v>368</v>
      </c>
      <c r="I11" s="55" t="s">
        <v>305</v>
      </c>
    </row>
    <row r="12" spans="1:9" ht="30.75" customHeight="1">
      <c r="A12" s="216" t="s">
        <v>369</v>
      </c>
      <c r="B12" s="164">
        <v>951</v>
      </c>
      <c r="C12" s="164" t="s">
        <v>162</v>
      </c>
      <c r="D12" s="164" t="s">
        <v>162</v>
      </c>
      <c r="E12" s="164" t="s">
        <v>337</v>
      </c>
      <c r="F12" s="164" t="s">
        <v>426</v>
      </c>
      <c r="G12" s="89">
        <f>I12+H12</f>
        <v>141747.66485</v>
      </c>
      <c r="H12" s="89">
        <f>H13+H130+H135+H151+H156+H203+H250+H304+H353+H383+H410</f>
        <v>91382.82009</v>
      </c>
      <c r="I12" s="89">
        <f>I13+I130+I135+I151+I156+I203+I250+I304+I353+I383+I410</f>
        <v>50364.84475999999</v>
      </c>
    </row>
    <row r="13" spans="1:12" ht="18" customHeight="1">
      <c r="A13" s="216" t="s">
        <v>370</v>
      </c>
      <c r="B13" s="164">
        <v>951</v>
      </c>
      <c r="C13" s="164" t="s">
        <v>161</v>
      </c>
      <c r="D13" s="164" t="s">
        <v>162</v>
      </c>
      <c r="E13" s="164" t="s">
        <v>337</v>
      </c>
      <c r="F13" s="164" t="s">
        <v>426</v>
      </c>
      <c r="G13" s="89">
        <f>H13+I13</f>
        <v>32979.70268</v>
      </c>
      <c r="H13" s="89">
        <f>H14+H20+H30+H37+H43+H34</f>
        <v>27612.34901</v>
      </c>
      <c r="I13" s="89">
        <f>I14+I20+I30+I37+I43+I34</f>
        <v>5367.35367</v>
      </c>
      <c r="K13" s="245"/>
      <c r="L13" s="80"/>
    </row>
    <row r="14" spans="1:11" ht="44.25" customHeight="1">
      <c r="A14" s="47" t="s">
        <v>371</v>
      </c>
      <c r="B14" s="18">
        <v>951</v>
      </c>
      <c r="C14" s="33" t="s">
        <v>161</v>
      </c>
      <c r="D14" s="33" t="s">
        <v>163</v>
      </c>
      <c r="E14" s="33" t="s">
        <v>337</v>
      </c>
      <c r="F14" s="33" t="s">
        <v>426</v>
      </c>
      <c r="G14" s="81">
        <f>H14+I14</f>
        <v>1836.31</v>
      </c>
      <c r="H14" s="81">
        <f aca="true" t="shared" si="0" ref="H14:I18">H15</f>
        <v>1836.31</v>
      </c>
      <c r="I14" s="81">
        <f t="shared" si="0"/>
        <v>0</v>
      </c>
      <c r="J14" s="80"/>
      <c r="K14" s="80"/>
    </row>
    <row r="15" spans="1:9" ht="32.25" customHeight="1">
      <c r="A15" s="47" t="s">
        <v>164</v>
      </c>
      <c r="B15" s="18">
        <v>951</v>
      </c>
      <c r="C15" s="33" t="s">
        <v>161</v>
      </c>
      <c r="D15" s="33" t="s">
        <v>163</v>
      </c>
      <c r="E15" s="33" t="s">
        <v>19</v>
      </c>
      <c r="F15" s="33" t="s">
        <v>426</v>
      </c>
      <c r="G15" s="81">
        <f aca="true" t="shared" si="1" ref="G15:G132">H15+I15</f>
        <v>1836.31</v>
      </c>
      <c r="H15" s="81">
        <f t="shared" si="0"/>
        <v>1836.31</v>
      </c>
      <c r="I15" s="81">
        <f t="shared" si="0"/>
        <v>0</v>
      </c>
    </row>
    <row r="16" spans="1:9" ht="45.75" customHeight="1">
      <c r="A16" s="47" t="s">
        <v>165</v>
      </c>
      <c r="B16" s="18">
        <v>951</v>
      </c>
      <c r="C16" s="33" t="s">
        <v>161</v>
      </c>
      <c r="D16" s="33" t="s">
        <v>163</v>
      </c>
      <c r="E16" s="33" t="s">
        <v>20</v>
      </c>
      <c r="F16" s="33" t="s">
        <v>426</v>
      </c>
      <c r="G16" s="81">
        <f t="shared" si="1"/>
        <v>1836.31</v>
      </c>
      <c r="H16" s="81">
        <f t="shared" si="0"/>
        <v>1836.31</v>
      </c>
      <c r="I16" s="81">
        <f t="shared" si="0"/>
        <v>0</v>
      </c>
    </row>
    <row r="17" spans="1:9" ht="16.5" customHeight="1">
      <c r="A17" s="47" t="s">
        <v>431</v>
      </c>
      <c r="B17" s="18">
        <v>951</v>
      </c>
      <c r="C17" s="33" t="s">
        <v>161</v>
      </c>
      <c r="D17" s="33" t="s">
        <v>163</v>
      </c>
      <c r="E17" s="33" t="s">
        <v>21</v>
      </c>
      <c r="F17" s="33" t="s">
        <v>426</v>
      </c>
      <c r="G17" s="81">
        <f t="shared" si="1"/>
        <v>1836.31</v>
      </c>
      <c r="H17" s="81">
        <f t="shared" si="0"/>
        <v>1836.31</v>
      </c>
      <c r="I17" s="81">
        <f t="shared" si="0"/>
        <v>0</v>
      </c>
    </row>
    <row r="18" spans="1:9" ht="81" customHeight="1">
      <c r="A18" s="14" t="s">
        <v>199</v>
      </c>
      <c r="B18" s="18">
        <v>951</v>
      </c>
      <c r="C18" s="33" t="s">
        <v>161</v>
      </c>
      <c r="D18" s="33" t="s">
        <v>163</v>
      </c>
      <c r="E18" s="33" t="s">
        <v>21</v>
      </c>
      <c r="F18" s="33" t="s">
        <v>166</v>
      </c>
      <c r="G18" s="81">
        <f t="shared" si="1"/>
        <v>1836.31</v>
      </c>
      <c r="H18" s="81">
        <f t="shared" si="0"/>
        <v>1836.31</v>
      </c>
      <c r="I18" s="81">
        <f t="shared" si="0"/>
        <v>0</v>
      </c>
    </row>
    <row r="19" spans="1:9" ht="30" customHeight="1">
      <c r="A19" s="14" t="s">
        <v>201</v>
      </c>
      <c r="B19" s="18">
        <v>951</v>
      </c>
      <c r="C19" s="33" t="s">
        <v>161</v>
      </c>
      <c r="D19" s="33" t="s">
        <v>163</v>
      </c>
      <c r="E19" s="33" t="s">
        <v>21</v>
      </c>
      <c r="F19" s="33" t="s">
        <v>200</v>
      </c>
      <c r="G19" s="81">
        <f t="shared" si="1"/>
        <v>1836.31</v>
      </c>
      <c r="H19" s="81">
        <f>1836.31</f>
        <v>1836.31</v>
      </c>
      <c r="I19" s="81"/>
    </row>
    <row r="20" spans="1:11" ht="75">
      <c r="A20" s="14" t="s">
        <v>354</v>
      </c>
      <c r="B20" s="18">
        <v>951</v>
      </c>
      <c r="C20" s="33" t="s">
        <v>161</v>
      </c>
      <c r="D20" s="33" t="s">
        <v>172</v>
      </c>
      <c r="E20" s="33" t="s">
        <v>337</v>
      </c>
      <c r="F20" s="33" t="s">
        <v>426</v>
      </c>
      <c r="G20" s="81">
        <f t="shared" si="1"/>
        <v>19100.332</v>
      </c>
      <c r="H20" s="81">
        <f>H21</f>
        <v>19100.332</v>
      </c>
      <c r="I20" s="81">
        <f aca="true" t="shared" si="2" ref="H20:I22">I21</f>
        <v>0</v>
      </c>
      <c r="K20" s="80"/>
    </row>
    <row r="21" spans="1:9" ht="30">
      <c r="A21" s="14" t="s">
        <v>164</v>
      </c>
      <c r="B21" s="18">
        <v>951</v>
      </c>
      <c r="C21" s="33" t="s">
        <v>161</v>
      </c>
      <c r="D21" s="33" t="s">
        <v>172</v>
      </c>
      <c r="E21" s="33" t="s">
        <v>19</v>
      </c>
      <c r="F21" s="33" t="s">
        <v>426</v>
      </c>
      <c r="G21" s="81">
        <f t="shared" si="1"/>
        <v>19100.332</v>
      </c>
      <c r="H21" s="81">
        <f t="shared" si="2"/>
        <v>19100.332</v>
      </c>
      <c r="I21" s="81">
        <f t="shared" si="2"/>
        <v>0</v>
      </c>
    </row>
    <row r="22" spans="1:9" ht="45" customHeight="1">
      <c r="A22" s="14" t="s">
        <v>165</v>
      </c>
      <c r="B22" s="18">
        <v>951</v>
      </c>
      <c r="C22" s="33" t="s">
        <v>161</v>
      </c>
      <c r="D22" s="33" t="s">
        <v>172</v>
      </c>
      <c r="E22" s="33" t="s">
        <v>20</v>
      </c>
      <c r="F22" s="33" t="s">
        <v>426</v>
      </c>
      <c r="G22" s="81">
        <f t="shared" si="1"/>
        <v>19100.332</v>
      </c>
      <c r="H22" s="81">
        <f t="shared" si="2"/>
        <v>19100.332</v>
      </c>
      <c r="I22" s="81">
        <f t="shared" si="2"/>
        <v>0</v>
      </c>
    </row>
    <row r="23" spans="1:9" ht="45" customHeight="1">
      <c r="A23" s="14" t="s">
        <v>169</v>
      </c>
      <c r="B23" s="18">
        <v>951</v>
      </c>
      <c r="C23" s="33" t="s">
        <v>161</v>
      </c>
      <c r="D23" s="33" t="s">
        <v>172</v>
      </c>
      <c r="E23" s="33" t="s">
        <v>23</v>
      </c>
      <c r="F23" s="33" t="s">
        <v>426</v>
      </c>
      <c r="G23" s="81">
        <f t="shared" si="1"/>
        <v>19100.332</v>
      </c>
      <c r="H23" s="81">
        <f>H24+H26+H28</f>
        <v>19100.332</v>
      </c>
      <c r="I23" s="81">
        <f>I24+I26+I28</f>
        <v>0</v>
      </c>
    </row>
    <row r="24" spans="1:9" ht="90.75" customHeight="1">
      <c r="A24" s="14" t="s">
        <v>199</v>
      </c>
      <c r="B24" s="18">
        <v>951</v>
      </c>
      <c r="C24" s="33" t="s">
        <v>161</v>
      </c>
      <c r="D24" s="33" t="s">
        <v>172</v>
      </c>
      <c r="E24" s="33" t="s">
        <v>23</v>
      </c>
      <c r="F24" s="33" t="s">
        <v>166</v>
      </c>
      <c r="G24" s="81">
        <f>H24+I24</f>
        <v>12047</v>
      </c>
      <c r="H24" s="81">
        <f>H25</f>
        <v>12047</v>
      </c>
      <c r="I24" s="81">
        <f>I25</f>
        <v>0</v>
      </c>
    </row>
    <row r="25" spans="1:10" ht="30.75" customHeight="1">
      <c r="A25" s="14" t="s">
        <v>201</v>
      </c>
      <c r="B25" s="18">
        <v>951</v>
      </c>
      <c r="C25" s="33" t="s">
        <v>161</v>
      </c>
      <c r="D25" s="33" t="s">
        <v>172</v>
      </c>
      <c r="E25" s="33" t="s">
        <v>23</v>
      </c>
      <c r="F25" s="33" t="s">
        <v>200</v>
      </c>
      <c r="G25" s="81">
        <f t="shared" si="1"/>
        <v>12047</v>
      </c>
      <c r="H25" s="81">
        <f>9060.7+250+2736.3</f>
        <v>12047</v>
      </c>
      <c r="I25" s="81"/>
      <c r="J25" s="80"/>
    </row>
    <row r="26" spans="1:9" ht="30">
      <c r="A26" s="14" t="s">
        <v>202</v>
      </c>
      <c r="B26" s="18">
        <v>951</v>
      </c>
      <c r="C26" s="33" t="s">
        <v>161</v>
      </c>
      <c r="D26" s="33" t="s">
        <v>172</v>
      </c>
      <c r="E26" s="33" t="s">
        <v>23</v>
      </c>
      <c r="F26" s="33" t="s">
        <v>170</v>
      </c>
      <c r="G26" s="81">
        <f t="shared" si="1"/>
        <v>6545.82</v>
      </c>
      <c r="H26" s="81">
        <f>H27</f>
        <v>6545.82</v>
      </c>
      <c r="I26" s="81">
        <f>I27</f>
        <v>0</v>
      </c>
    </row>
    <row r="27" spans="1:9" ht="45">
      <c r="A27" s="14" t="s">
        <v>203</v>
      </c>
      <c r="B27" s="18">
        <v>951</v>
      </c>
      <c r="C27" s="33" t="s">
        <v>161</v>
      </c>
      <c r="D27" s="33" t="s">
        <v>172</v>
      </c>
      <c r="E27" s="33" t="s">
        <v>23</v>
      </c>
      <c r="F27" s="33" t="s">
        <v>204</v>
      </c>
      <c r="G27" s="81">
        <f t="shared" si="1"/>
        <v>6545.82</v>
      </c>
      <c r="H27" s="81">
        <f>6545.82</f>
        <v>6545.82</v>
      </c>
      <c r="I27" s="81"/>
    </row>
    <row r="28" spans="1:9" ht="15">
      <c r="A28" s="14" t="s">
        <v>207</v>
      </c>
      <c r="B28" s="18">
        <v>951</v>
      </c>
      <c r="C28" s="33" t="s">
        <v>161</v>
      </c>
      <c r="D28" s="33" t="s">
        <v>172</v>
      </c>
      <c r="E28" s="33" t="s">
        <v>23</v>
      </c>
      <c r="F28" s="33" t="s">
        <v>208</v>
      </c>
      <c r="G28" s="81">
        <f t="shared" si="1"/>
        <v>507.512</v>
      </c>
      <c r="H28" s="81">
        <f>H29</f>
        <v>507.512</v>
      </c>
      <c r="I28" s="81">
        <f>I29</f>
        <v>0</v>
      </c>
    </row>
    <row r="29" spans="1:9" ht="15">
      <c r="A29" s="34" t="s">
        <v>205</v>
      </c>
      <c r="B29" s="18">
        <v>951</v>
      </c>
      <c r="C29" s="33" t="s">
        <v>161</v>
      </c>
      <c r="D29" s="33" t="s">
        <v>172</v>
      </c>
      <c r="E29" s="33" t="s">
        <v>23</v>
      </c>
      <c r="F29" s="33" t="s">
        <v>206</v>
      </c>
      <c r="G29" s="81">
        <f t="shared" si="1"/>
        <v>507.512</v>
      </c>
      <c r="H29" s="81">
        <f>492-40.158+55.67</f>
        <v>507.512</v>
      </c>
      <c r="I29" s="81"/>
    </row>
    <row r="30" spans="1:9" ht="15" hidden="1">
      <c r="A30" s="14" t="s">
        <v>178</v>
      </c>
      <c r="B30" s="18">
        <v>951</v>
      </c>
      <c r="C30" s="33" t="s">
        <v>161</v>
      </c>
      <c r="D30" s="33" t="s">
        <v>179</v>
      </c>
      <c r="E30" s="33" t="s">
        <v>337</v>
      </c>
      <c r="F30" s="33" t="s">
        <v>426</v>
      </c>
      <c r="G30" s="81">
        <f t="shared" si="1"/>
        <v>0</v>
      </c>
      <c r="H30" s="81">
        <f aca="true" t="shared" si="3" ref="H30:I32">H31</f>
        <v>0</v>
      </c>
      <c r="I30" s="81">
        <f t="shared" si="3"/>
        <v>0</v>
      </c>
    </row>
    <row r="31" spans="1:9" ht="30" hidden="1">
      <c r="A31" s="14" t="s">
        <v>180</v>
      </c>
      <c r="B31" s="18">
        <v>951</v>
      </c>
      <c r="C31" s="33" t="s">
        <v>161</v>
      </c>
      <c r="D31" s="33" t="s">
        <v>179</v>
      </c>
      <c r="E31" s="33" t="s">
        <v>352</v>
      </c>
      <c r="F31" s="33" t="s">
        <v>426</v>
      </c>
      <c r="G31" s="81">
        <f t="shared" si="1"/>
        <v>0</v>
      </c>
      <c r="H31" s="81">
        <f t="shared" si="3"/>
        <v>0</v>
      </c>
      <c r="I31" s="81">
        <f t="shared" si="3"/>
        <v>0</v>
      </c>
    </row>
    <row r="32" spans="1:9" ht="15" hidden="1">
      <c r="A32" s="14" t="s">
        <v>207</v>
      </c>
      <c r="B32" s="18">
        <v>951</v>
      </c>
      <c r="C32" s="33" t="s">
        <v>161</v>
      </c>
      <c r="D32" s="33" t="s">
        <v>179</v>
      </c>
      <c r="E32" s="33" t="s">
        <v>352</v>
      </c>
      <c r="F32" s="33" t="s">
        <v>208</v>
      </c>
      <c r="G32" s="81">
        <f t="shared" si="1"/>
        <v>0</v>
      </c>
      <c r="H32" s="81">
        <f t="shared" si="3"/>
        <v>0</v>
      </c>
      <c r="I32" s="81">
        <f t="shared" si="3"/>
        <v>0</v>
      </c>
    </row>
    <row r="33" spans="1:9" ht="15" hidden="1">
      <c r="A33" s="14" t="s">
        <v>209</v>
      </c>
      <c r="B33" s="18">
        <v>951</v>
      </c>
      <c r="C33" s="33" t="s">
        <v>161</v>
      </c>
      <c r="D33" s="33" t="s">
        <v>179</v>
      </c>
      <c r="E33" s="33" t="s">
        <v>352</v>
      </c>
      <c r="F33" s="33" t="s">
        <v>210</v>
      </c>
      <c r="G33" s="81">
        <f t="shared" si="1"/>
        <v>0</v>
      </c>
      <c r="H33" s="81">
        <v>0</v>
      </c>
      <c r="I33" s="81"/>
    </row>
    <row r="34" spans="1:9" ht="42" customHeight="1">
      <c r="A34" s="34" t="s">
        <v>756</v>
      </c>
      <c r="B34" s="18" t="s">
        <v>192</v>
      </c>
      <c r="C34" s="33" t="s">
        <v>161</v>
      </c>
      <c r="D34" s="33" t="s">
        <v>405</v>
      </c>
      <c r="E34" s="33" t="s">
        <v>478</v>
      </c>
      <c r="F34" s="33" t="s">
        <v>426</v>
      </c>
      <c r="G34" s="81">
        <f>I34</f>
        <v>26.012800000000002</v>
      </c>
      <c r="H34" s="81"/>
      <c r="I34" s="81">
        <f>I35</f>
        <v>26.012800000000002</v>
      </c>
    </row>
    <row r="35" spans="1:9" ht="30">
      <c r="A35" s="14" t="s">
        <v>202</v>
      </c>
      <c r="B35" s="18" t="s">
        <v>192</v>
      </c>
      <c r="C35" s="33" t="s">
        <v>161</v>
      </c>
      <c r="D35" s="33" t="s">
        <v>405</v>
      </c>
      <c r="E35" s="33" t="s">
        <v>478</v>
      </c>
      <c r="F35" s="33" t="s">
        <v>170</v>
      </c>
      <c r="G35" s="81">
        <f>I35</f>
        <v>26.012800000000002</v>
      </c>
      <c r="H35" s="81"/>
      <c r="I35" s="81">
        <f>I36</f>
        <v>26.012800000000002</v>
      </c>
    </row>
    <row r="36" spans="1:9" ht="45">
      <c r="A36" s="14" t="s">
        <v>203</v>
      </c>
      <c r="B36" s="18" t="s">
        <v>192</v>
      </c>
      <c r="C36" s="33" t="s">
        <v>161</v>
      </c>
      <c r="D36" s="33" t="s">
        <v>405</v>
      </c>
      <c r="E36" s="33" t="s">
        <v>478</v>
      </c>
      <c r="F36" s="33" t="s">
        <v>204</v>
      </c>
      <c r="G36" s="81">
        <f>I36</f>
        <v>26.012800000000002</v>
      </c>
      <c r="H36" s="81"/>
      <c r="I36" s="81">
        <f>26.012+0.0008</f>
        <v>26.012800000000002</v>
      </c>
    </row>
    <row r="37" spans="1:9" ht="15">
      <c r="A37" s="68" t="s">
        <v>178</v>
      </c>
      <c r="B37" s="83" t="s">
        <v>192</v>
      </c>
      <c r="C37" s="69" t="s">
        <v>161</v>
      </c>
      <c r="D37" s="69" t="s">
        <v>179</v>
      </c>
      <c r="E37" s="69" t="s">
        <v>337</v>
      </c>
      <c r="F37" s="69" t="s">
        <v>426</v>
      </c>
      <c r="G37" s="84">
        <f aca="true" t="shared" si="4" ref="G37:G43">H37+I37</f>
        <v>615.2710000000001</v>
      </c>
      <c r="H37" s="84">
        <f>H38</f>
        <v>615.2710000000001</v>
      </c>
      <c r="I37" s="84"/>
    </row>
    <row r="38" spans="1:9" ht="30">
      <c r="A38" s="211" t="s">
        <v>164</v>
      </c>
      <c r="B38" s="18" t="s">
        <v>192</v>
      </c>
      <c r="C38" s="33" t="s">
        <v>161</v>
      </c>
      <c r="D38" s="33" t="s">
        <v>179</v>
      </c>
      <c r="E38" s="66" t="s">
        <v>19</v>
      </c>
      <c r="F38" s="66" t="s">
        <v>426</v>
      </c>
      <c r="G38" s="81">
        <f t="shared" si="4"/>
        <v>615.2710000000001</v>
      </c>
      <c r="H38" s="81">
        <f>H39</f>
        <v>615.2710000000001</v>
      </c>
      <c r="I38" s="81"/>
    </row>
    <row r="39" spans="1:9" ht="33" customHeight="1">
      <c r="A39" s="211" t="s">
        <v>165</v>
      </c>
      <c r="B39" s="18" t="s">
        <v>192</v>
      </c>
      <c r="C39" s="33" t="s">
        <v>161</v>
      </c>
      <c r="D39" s="33" t="s">
        <v>179</v>
      </c>
      <c r="E39" s="66" t="s">
        <v>20</v>
      </c>
      <c r="F39" s="66" t="s">
        <v>426</v>
      </c>
      <c r="G39" s="81">
        <f t="shared" si="4"/>
        <v>615.2710000000001</v>
      </c>
      <c r="H39" s="81">
        <f>H40</f>
        <v>615.2710000000001</v>
      </c>
      <c r="I39" s="81"/>
    </row>
    <row r="40" spans="1:9" ht="30">
      <c r="A40" s="211" t="s">
        <v>579</v>
      </c>
      <c r="B40" s="18" t="s">
        <v>192</v>
      </c>
      <c r="C40" s="33" t="s">
        <v>161</v>
      </c>
      <c r="D40" s="33" t="s">
        <v>179</v>
      </c>
      <c r="E40" s="33" t="s">
        <v>580</v>
      </c>
      <c r="F40" s="66" t="s">
        <v>426</v>
      </c>
      <c r="G40" s="81">
        <f t="shared" si="4"/>
        <v>615.2710000000001</v>
      </c>
      <c r="H40" s="81">
        <f>H41</f>
        <v>615.2710000000001</v>
      </c>
      <c r="I40" s="81"/>
    </row>
    <row r="41" spans="1:9" ht="15">
      <c r="A41" s="211" t="s">
        <v>207</v>
      </c>
      <c r="B41" s="18" t="s">
        <v>192</v>
      </c>
      <c r="C41" s="33" t="s">
        <v>161</v>
      </c>
      <c r="D41" s="33" t="s">
        <v>179</v>
      </c>
      <c r="E41" s="33" t="s">
        <v>580</v>
      </c>
      <c r="F41" s="66" t="s">
        <v>208</v>
      </c>
      <c r="G41" s="81">
        <f t="shared" si="4"/>
        <v>615.2710000000001</v>
      </c>
      <c r="H41" s="81">
        <f>H42</f>
        <v>615.2710000000001</v>
      </c>
      <c r="I41" s="81"/>
    </row>
    <row r="42" spans="1:9" ht="15">
      <c r="A42" s="211" t="s">
        <v>209</v>
      </c>
      <c r="B42" s="18" t="s">
        <v>192</v>
      </c>
      <c r="C42" s="33" t="s">
        <v>161</v>
      </c>
      <c r="D42" s="33" t="s">
        <v>179</v>
      </c>
      <c r="E42" s="33" t="s">
        <v>580</v>
      </c>
      <c r="F42" s="66" t="s">
        <v>210</v>
      </c>
      <c r="G42" s="81">
        <f t="shared" si="4"/>
        <v>615.2710000000001</v>
      </c>
      <c r="H42" s="81">
        <f>100-11.45-24.964+600-25.292-6.497-16.526</f>
        <v>615.2710000000001</v>
      </c>
      <c r="I42" s="81"/>
    </row>
    <row r="43" spans="1:9" ht="16.5" customHeight="1">
      <c r="A43" s="71" t="s">
        <v>373</v>
      </c>
      <c r="B43" s="83">
        <v>951</v>
      </c>
      <c r="C43" s="69" t="s">
        <v>161</v>
      </c>
      <c r="D43" s="69" t="s">
        <v>181</v>
      </c>
      <c r="E43" s="69" t="s">
        <v>337</v>
      </c>
      <c r="F43" s="69" t="s">
        <v>426</v>
      </c>
      <c r="G43" s="84">
        <f t="shared" si="4"/>
        <v>11401.776880000001</v>
      </c>
      <c r="H43" s="84">
        <f>H44+H73+H106+H124+H83+H67+H86+H127+H91+H143</f>
        <v>6060.43601</v>
      </c>
      <c r="I43" s="84">
        <f>I44+I73+I106+I124+I83+I128+I67+I96+I140+I148</f>
        <v>5341.34087</v>
      </c>
    </row>
    <row r="44" spans="1:10" ht="16.5" customHeight="1">
      <c r="A44" s="14" t="s">
        <v>182</v>
      </c>
      <c r="B44" s="18">
        <v>951</v>
      </c>
      <c r="C44" s="33" t="s">
        <v>161</v>
      </c>
      <c r="D44" s="33" t="s">
        <v>181</v>
      </c>
      <c r="E44" s="33" t="s">
        <v>337</v>
      </c>
      <c r="F44" s="33" t="s">
        <v>426</v>
      </c>
      <c r="G44" s="81">
        <f t="shared" si="1"/>
        <v>4461.421</v>
      </c>
      <c r="H44" s="81">
        <f>H45+H50+H55+H60</f>
        <v>0</v>
      </c>
      <c r="I44" s="81">
        <f>I45+I50+I55+I60+I65+I70</f>
        <v>4461.421</v>
      </c>
      <c r="J44" s="80"/>
    </row>
    <row r="45" spans="1:11" ht="58.5" customHeight="1">
      <c r="A45" s="14" t="s">
        <v>183</v>
      </c>
      <c r="B45" s="18">
        <v>951</v>
      </c>
      <c r="C45" s="33" t="s">
        <v>161</v>
      </c>
      <c r="D45" s="33" t="s">
        <v>181</v>
      </c>
      <c r="E45" s="33" t="s">
        <v>25</v>
      </c>
      <c r="F45" s="33" t="s">
        <v>426</v>
      </c>
      <c r="G45" s="81">
        <f t="shared" si="1"/>
        <v>794.861</v>
      </c>
      <c r="H45" s="81">
        <f>H46+H48</f>
        <v>0</v>
      </c>
      <c r="I45" s="81">
        <f>I46+I48</f>
        <v>794.861</v>
      </c>
      <c r="J45" s="246"/>
      <c r="K45" s="190"/>
    </row>
    <row r="46" spans="1:9" ht="84" customHeight="1">
      <c r="A46" s="14" t="s">
        <v>199</v>
      </c>
      <c r="B46" s="18">
        <v>951</v>
      </c>
      <c r="C46" s="33" t="s">
        <v>161</v>
      </c>
      <c r="D46" s="33" t="s">
        <v>181</v>
      </c>
      <c r="E46" s="33" t="s">
        <v>25</v>
      </c>
      <c r="F46" s="33" t="s">
        <v>166</v>
      </c>
      <c r="G46" s="81">
        <f t="shared" si="1"/>
        <v>542.93</v>
      </c>
      <c r="H46" s="81">
        <f>H47</f>
        <v>0</v>
      </c>
      <c r="I46" s="81">
        <f>I47</f>
        <v>542.93</v>
      </c>
    </row>
    <row r="47" spans="1:9" ht="29.25" customHeight="1">
      <c r="A47" s="42" t="s">
        <v>201</v>
      </c>
      <c r="B47" s="18">
        <v>951</v>
      </c>
      <c r="C47" s="33" t="s">
        <v>161</v>
      </c>
      <c r="D47" s="33" t="s">
        <v>181</v>
      </c>
      <c r="E47" s="33" t="s">
        <v>25</v>
      </c>
      <c r="F47" s="33" t="s">
        <v>200</v>
      </c>
      <c r="G47" s="81">
        <f t="shared" si="1"/>
        <v>542.93</v>
      </c>
      <c r="H47" s="81"/>
      <c r="I47" s="81">
        <v>542.93</v>
      </c>
    </row>
    <row r="48" spans="1:9" ht="31.5" customHeight="1">
      <c r="A48" s="14" t="s">
        <v>202</v>
      </c>
      <c r="B48" s="18">
        <v>951</v>
      </c>
      <c r="C48" s="33" t="s">
        <v>161</v>
      </c>
      <c r="D48" s="33" t="s">
        <v>181</v>
      </c>
      <c r="E48" s="33" t="s">
        <v>25</v>
      </c>
      <c r="F48" s="33" t="s">
        <v>170</v>
      </c>
      <c r="G48" s="81">
        <f t="shared" si="1"/>
        <v>251.931</v>
      </c>
      <c r="H48" s="81">
        <f>H49</f>
        <v>0</v>
      </c>
      <c r="I48" s="81">
        <f>I49</f>
        <v>251.931</v>
      </c>
    </row>
    <row r="49" spans="1:9" ht="42.75" customHeight="1">
      <c r="A49" s="42" t="s">
        <v>203</v>
      </c>
      <c r="B49" s="18">
        <v>951</v>
      </c>
      <c r="C49" s="33" t="s">
        <v>161</v>
      </c>
      <c r="D49" s="33" t="s">
        <v>181</v>
      </c>
      <c r="E49" s="33" t="s">
        <v>25</v>
      </c>
      <c r="F49" s="33" t="s">
        <v>204</v>
      </c>
      <c r="G49" s="81">
        <f t="shared" si="1"/>
        <v>251.931</v>
      </c>
      <c r="H49" s="81"/>
      <c r="I49" s="81">
        <v>251.931</v>
      </c>
    </row>
    <row r="50" spans="1:11" ht="47.25" customHeight="1">
      <c r="A50" s="14" t="s">
        <v>436</v>
      </c>
      <c r="B50" s="18">
        <v>951</v>
      </c>
      <c r="C50" s="33" t="s">
        <v>161</v>
      </c>
      <c r="D50" s="33" t="s">
        <v>181</v>
      </c>
      <c r="E50" s="33" t="s">
        <v>884</v>
      </c>
      <c r="F50" s="33" t="s">
        <v>426</v>
      </c>
      <c r="G50" s="81">
        <f t="shared" si="1"/>
        <v>1197.7910000000002</v>
      </c>
      <c r="H50" s="81">
        <f>H51+H53</f>
        <v>0</v>
      </c>
      <c r="I50" s="81">
        <f>I51+I53</f>
        <v>1197.7910000000002</v>
      </c>
      <c r="K50" s="80"/>
    </row>
    <row r="51" spans="1:9" ht="75" customHeight="1">
      <c r="A51" s="14" t="s">
        <v>199</v>
      </c>
      <c r="B51" s="18" t="s">
        <v>192</v>
      </c>
      <c r="C51" s="33" t="s">
        <v>161</v>
      </c>
      <c r="D51" s="33" t="s">
        <v>181</v>
      </c>
      <c r="E51" s="33" t="s">
        <v>884</v>
      </c>
      <c r="F51" s="33" t="s">
        <v>166</v>
      </c>
      <c r="G51" s="81">
        <f t="shared" si="1"/>
        <v>1139.911</v>
      </c>
      <c r="H51" s="81">
        <f>H52</f>
        <v>0</v>
      </c>
      <c r="I51" s="81">
        <f>I52</f>
        <v>1139.911</v>
      </c>
    </row>
    <row r="52" spans="1:9" ht="32.25" customHeight="1">
      <c r="A52" s="42" t="s">
        <v>201</v>
      </c>
      <c r="B52" s="18" t="s">
        <v>192</v>
      </c>
      <c r="C52" s="33" t="s">
        <v>161</v>
      </c>
      <c r="D52" s="33" t="s">
        <v>181</v>
      </c>
      <c r="E52" s="33" t="s">
        <v>884</v>
      </c>
      <c r="F52" s="33" t="s">
        <v>200</v>
      </c>
      <c r="G52" s="81">
        <f t="shared" si="1"/>
        <v>1139.911</v>
      </c>
      <c r="H52" s="81"/>
      <c r="I52" s="81">
        <v>1139.911</v>
      </c>
    </row>
    <row r="53" spans="1:9" ht="31.5" customHeight="1">
      <c r="A53" s="14" t="s">
        <v>202</v>
      </c>
      <c r="B53" s="18">
        <v>951</v>
      </c>
      <c r="C53" s="33" t="s">
        <v>161</v>
      </c>
      <c r="D53" s="33" t="s">
        <v>181</v>
      </c>
      <c r="E53" s="33" t="s">
        <v>884</v>
      </c>
      <c r="F53" s="33" t="s">
        <v>170</v>
      </c>
      <c r="G53" s="81">
        <f t="shared" si="1"/>
        <v>57.88</v>
      </c>
      <c r="H53" s="81">
        <f>H54</f>
        <v>0</v>
      </c>
      <c r="I53" s="81">
        <f>I54</f>
        <v>57.88</v>
      </c>
    </row>
    <row r="54" spans="1:9" ht="44.25" customHeight="1">
      <c r="A54" s="42" t="s">
        <v>203</v>
      </c>
      <c r="B54" s="18">
        <v>951</v>
      </c>
      <c r="C54" s="33" t="s">
        <v>161</v>
      </c>
      <c r="D54" s="33" t="s">
        <v>181</v>
      </c>
      <c r="E54" s="33" t="s">
        <v>884</v>
      </c>
      <c r="F54" s="33" t="s">
        <v>204</v>
      </c>
      <c r="G54" s="81">
        <f t="shared" si="1"/>
        <v>57.88</v>
      </c>
      <c r="H54" s="81"/>
      <c r="I54" s="81">
        <v>57.88</v>
      </c>
    </row>
    <row r="55" spans="1:11" ht="44.25" customHeight="1">
      <c r="A55" s="14" t="s">
        <v>184</v>
      </c>
      <c r="B55" s="18" t="s">
        <v>192</v>
      </c>
      <c r="C55" s="33" t="s">
        <v>161</v>
      </c>
      <c r="D55" s="33" t="s">
        <v>181</v>
      </c>
      <c r="E55" s="33" t="s">
        <v>884</v>
      </c>
      <c r="F55" s="33" t="s">
        <v>426</v>
      </c>
      <c r="G55" s="81">
        <f t="shared" si="1"/>
        <v>766.4250000000001</v>
      </c>
      <c r="H55" s="81">
        <f>H56+H58</f>
        <v>0</v>
      </c>
      <c r="I55" s="81">
        <f>I56+I58</f>
        <v>766.4250000000001</v>
      </c>
      <c r="J55" s="246"/>
      <c r="K55" s="80"/>
    </row>
    <row r="56" spans="1:9" ht="81" customHeight="1">
      <c r="A56" s="14" t="s">
        <v>199</v>
      </c>
      <c r="B56" s="18" t="s">
        <v>192</v>
      </c>
      <c r="C56" s="33" t="s">
        <v>161</v>
      </c>
      <c r="D56" s="33" t="s">
        <v>181</v>
      </c>
      <c r="E56" s="33" t="s">
        <v>884</v>
      </c>
      <c r="F56" s="33" t="s">
        <v>166</v>
      </c>
      <c r="G56" s="81">
        <f t="shared" si="1"/>
        <v>719.07</v>
      </c>
      <c r="H56" s="81">
        <f>H57</f>
        <v>0</v>
      </c>
      <c r="I56" s="81">
        <f>I57</f>
        <v>719.07</v>
      </c>
    </row>
    <row r="57" spans="1:9" ht="30" customHeight="1">
      <c r="A57" s="42" t="s">
        <v>201</v>
      </c>
      <c r="B57" s="18">
        <v>951</v>
      </c>
      <c r="C57" s="33" t="s">
        <v>161</v>
      </c>
      <c r="D57" s="33" t="s">
        <v>181</v>
      </c>
      <c r="E57" s="33" t="s">
        <v>884</v>
      </c>
      <c r="F57" s="33" t="s">
        <v>200</v>
      </c>
      <c r="G57" s="81">
        <f t="shared" si="1"/>
        <v>719.07</v>
      </c>
      <c r="H57" s="81"/>
      <c r="I57" s="81">
        <v>719.07</v>
      </c>
    </row>
    <row r="58" spans="1:9" ht="30.75" customHeight="1">
      <c r="A58" s="14" t="s">
        <v>202</v>
      </c>
      <c r="B58" s="18">
        <v>951</v>
      </c>
      <c r="C58" s="33" t="s">
        <v>161</v>
      </c>
      <c r="D58" s="33" t="s">
        <v>181</v>
      </c>
      <c r="E58" s="33" t="s">
        <v>884</v>
      </c>
      <c r="F58" s="33" t="s">
        <v>170</v>
      </c>
      <c r="G58" s="81">
        <f t="shared" si="1"/>
        <v>47.355</v>
      </c>
      <c r="H58" s="81">
        <f>H59</f>
        <v>0</v>
      </c>
      <c r="I58" s="81">
        <f>I59</f>
        <v>47.355</v>
      </c>
    </row>
    <row r="59" spans="1:9" ht="45">
      <c r="A59" s="42" t="s">
        <v>203</v>
      </c>
      <c r="B59" s="18">
        <v>951</v>
      </c>
      <c r="C59" s="33" t="s">
        <v>161</v>
      </c>
      <c r="D59" s="33" t="s">
        <v>181</v>
      </c>
      <c r="E59" s="33" t="s">
        <v>884</v>
      </c>
      <c r="F59" s="33" t="s">
        <v>204</v>
      </c>
      <c r="G59" s="81">
        <f t="shared" si="1"/>
        <v>47.355</v>
      </c>
      <c r="H59" s="81"/>
      <c r="I59" s="81">
        <v>47.355</v>
      </c>
    </row>
    <row r="60" spans="1:11" ht="87.75" customHeight="1">
      <c r="A60" s="14" t="s">
        <v>26</v>
      </c>
      <c r="B60" s="18">
        <v>951</v>
      </c>
      <c r="C60" s="33" t="s">
        <v>161</v>
      </c>
      <c r="D60" s="33" t="s">
        <v>181</v>
      </c>
      <c r="E60" s="33" t="s">
        <v>338</v>
      </c>
      <c r="F60" s="33" t="s">
        <v>426</v>
      </c>
      <c r="G60" s="81">
        <f t="shared" si="1"/>
        <v>1395.192</v>
      </c>
      <c r="H60" s="81">
        <f>H61+H63</f>
        <v>0</v>
      </c>
      <c r="I60" s="81">
        <f>I61+I63</f>
        <v>1395.192</v>
      </c>
      <c r="J60" s="134"/>
      <c r="K60" s="190"/>
    </row>
    <row r="61" spans="1:9" ht="90.75" customHeight="1">
      <c r="A61" s="14" t="s">
        <v>199</v>
      </c>
      <c r="B61" s="18">
        <v>951</v>
      </c>
      <c r="C61" s="33" t="s">
        <v>161</v>
      </c>
      <c r="D61" s="33" t="s">
        <v>181</v>
      </c>
      <c r="E61" s="33" t="s">
        <v>338</v>
      </c>
      <c r="F61" s="33" t="s">
        <v>166</v>
      </c>
      <c r="G61" s="81">
        <f t="shared" si="1"/>
        <v>1242.908</v>
      </c>
      <c r="H61" s="81">
        <f>H62</f>
        <v>0</v>
      </c>
      <c r="I61" s="81">
        <f>I62</f>
        <v>1242.908</v>
      </c>
    </row>
    <row r="62" spans="1:9" ht="30">
      <c r="A62" s="42" t="s">
        <v>201</v>
      </c>
      <c r="B62" s="18">
        <v>951</v>
      </c>
      <c r="C62" s="33" t="s">
        <v>161</v>
      </c>
      <c r="D62" s="33" t="s">
        <v>181</v>
      </c>
      <c r="E62" s="33" t="s">
        <v>338</v>
      </c>
      <c r="F62" s="33" t="s">
        <v>200</v>
      </c>
      <c r="G62" s="81">
        <f t="shared" si="1"/>
        <v>1242.908</v>
      </c>
      <c r="H62" s="81"/>
      <c r="I62" s="81">
        <f>1242.908</f>
        <v>1242.908</v>
      </c>
    </row>
    <row r="63" spans="1:9" ht="30">
      <c r="A63" s="14" t="s">
        <v>202</v>
      </c>
      <c r="B63" s="18">
        <v>951</v>
      </c>
      <c r="C63" s="33" t="s">
        <v>161</v>
      </c>
      <c r="D63" s="33" t="s">
        <v>181</v>
      </c>
      <c r="E63" s="33" t="s">
        <v>338</v>
      </c>
      <c r="F63" s="33" t="s">
        <v>170</v>
      </c>
      <c r="G63" s="81">
        <f t="shared" si="1"/>
        <v>152.284</v>
      </c>
      <c r="H63" s="81">
        <f>H64</f>
        <v>0</v>
      </c>
      <c r="I63" s="81">
        <f>I64</f>
        <v>152.284</v>
      </c>
    </row>
    <row r="64" spans="1:9" ht="45">
      <c r="A64" s="42" t="s">
        <v>203</v>
      </c>
      <c r="B64" s="18">
        <v>951</v>
      </c>
      <c r="C64" s="33" t="s">
        <v>161</v>
      </c>
      <c r="D64" s="33" t="s">
        <v>181</v>
      </c>
      <c r="E64" s="33" t="s">
        <v>338</v>
      </c>
      <c r="F64" s="33" t="s">
        <v>204</v>
      </c>
      <c r="G64" s="81">
        <f t="shared" si="1"/>
        <v>152.284</v>
      </c>
      <c r="H64" s="81"/>
      <c r="I64" s="81">
        <f>118.254+34.03</f>
        <v>152.284</v>
      </c>
    </row>
    <row r="65" spans="1:9" s="247" customFormat="1" ht="30">
      <c r="A65" s="68" t="s">
        <v>883</v>
      </c>
      <c r="B65" s="83">
        <v>951</v>
      </c>
      <c r="C65" s="69" t="s">
        <v>161</v>
      </c>
      <c r="D65" s="69" t="s">
        <v>181</v>
      </c>
      <c r="E65" s="69" t="s">
        <v>885</v>
      </c>
      <c r="F65" s="69" t="s">
        <v>426</v>
      </c>
      <c r="G65" s="84">
        <f>H65+I65</f>
        <v>307.152</v>
      </c>
      <c r="H65" s="209">
        <f>H66</f>
        <v>0</v>
      </c>
      <c r="I65" s="84">
        <f>I66</f>
        <v>307.152</v>
      </c>
    </row>
    <row r="66" spans="1:9" ht="45">
      <c r="A66" s="42" t="s">
        <v>203</v>
      </c>
      <c r="B66" s="18">
        <v>951</v>
      </c>
      <c r="C66" s="33" t="s">
        <v>161</v>
      </c>
      <c r="D66" s="33" t="s">
        <v>181</v>
      </c>
      <c r="E66" s="33" t="s">
        <v>885</v>
      </c>
      <c r="F66" s="33" t="s">
        <v>204</v>
      </c>
      <c r="G66" s="81">
        <f t="shared" si="1"/>
        <v>307.152</v>
      </c>
      <c r="H66" s="105">
        <v>0</v>
      </c>
      <c r="I66" s="81">
        <v>307.152</v>
      </c>
    </row>
    <row r="67" spans="1:9" ht="75" hidden="1">
      <c r="A67" s="67" t="s">
        <v>450</v>
      </c>
      <c r="B67" s="18">
        <v>951</v>
      </c>
      <c r="C67" s="33" t="s">
        <v>161</v>
      </c>
      <c r="D67" s="33" t="s">
        <v>181</v>
      </c>
      <c r="E67" s="54" t="s">
        <v>37</v>
      </c>
      <c r="F67" s="54" t="s">
        <v>426</v>
      </c>
      <c r="G67" s="90">
        <f aca="true" t="shared" si="5" ref="G67:G73">H67+I67</f>
        <v>0</v>
      </c>
      <c r="H67" s="112">
        <f>H68+H69</f>
        <v>0</v>
      </c>
      <c r="I67" s="112">
        <f>I68+I69</f>
        <v>0</v>
      </c>
    </row>
    <row r="68" spans="1:9" ht="75" hidden="1">
      <c r="A68" s="94" t="s">
        <v>139</v>
      </c>
      <c r="B68" s="18">
        <v>951</v>
      </c>
      <c r="C68" s="33" t="s">
        <v>161</v>
      </c>
      <c r="D68" s="33" t="s">
        <v>181</v>
      </c>
      <c r="E68" s="33" t="s">
        <v>481</v>
      </c>
      <c r="F68" s="33" t="s">
        <v>133</v>
      </c>
      <c r="G68" s="81">
        <f t="shared" si="5"/>
        <v>0</v>
      </c>
      <c r="H68" s="81"/>
      <c r="I68" s="81"/>
    </row>
    <row r="69" spans="1:9" ht="75" hidden="1">
      <c r="A69" s="95" t="s">
        <v>134</v>
      </c>
      <c r="B69" s="18">
        <v>951</v>
      </c>
      <c r="C69" s="33" t="s">
        <v>161</v>
      </c>
      <c r="D69" s="33" t="s">
        <v>181</v>
      </c>
      <c r="E69" s="33" t="s">
        <v>106</v>
      </c>
      <c r="F69" s="33" t="s">
        <v>133</v>
      </c>
      <c r="G69" s="81">
        <f t="shared" si="5"/>
        <v>0</v>
      </c>
      <c r="H69" s="81"/>
      <c r="I69" s="81"/>
    </row>
    <row r="70" spans="1:9" s="102" customFormat="1" ht="75" hidden="1">
      <c r="A70" s="50" t="s">
        <v>807</v>
      </c>
      <c r="B70" s="18">
        <v>951</v>
      </c>
      <c r="C70" s="54" t="s">
        <v>161</v>
      </c>
      <c r="D70" s="54" t="s">
        <v>181</v>
      </c>
      <c r="E70" s="54" t="s">
        <v>808</v>
      </c>
      <c r="F70" s="54" t="s">
        <v>426</v>
      </c>
      <c r="G70" s="90">
        <f t="shared" si="5"/>
        <v>0</v>
      </c>
      <c r="H70" s="90"/>
      <c r="I70" s="90">
        <f>I71</f>
        <v>0</v>
      </c>
    </row>
    <row r="71" spans="1:9" ht="90" hidden="1">
      <c r="A71" s="14" t="s">
        <v>199</v>
      </c>
      <c r="B71" s="18">
        <v>951</v>
      </c>
      <c r="C71" s="33" t="s">
        <v>161</v>
      </c>
      <c r="D71" s="33" t="s">
        <v>181</v>
      </c>
      <c r="E71" s="33" t="s">
        <v>808</v>
      </c>
      <c r="F71" s="33" t="s">
        <v>166</v>
      </c>
      <c r="G71" s="81">
        <f t="shared" si="5"/>
        <v>0</v>
      </c>
      <c r="H71" s="81"/>
      <c r="I71" s="81">
        <f>I72</f>
        <v>0</v>
      </c>
    </row>
    <row r="72" spans="1:9" ht="30" hidden="1">
      <c r="A72" s="42" t="s">
        <v>201</v>
      </c>
      <c r="B72" s="18">
        <v>951</v>
      </c>
      <c r="C72" s="33" t="s">
        <v>161</v>
      </c>
      <c r="D72" s="33" t="s">
        <v>181</v>
      </c>
      <c r="E72" s="33" t="s">
        <v>808</v>
      </c>
      <c r="F72" s="33" t="s">
        <v>200</v>
      </c>
      <c r="G72" s="81">
        <f t="shared" si="5"/>
        <v>0</v>
      </c>
      <c r="H72" s="81">
        <v>0</v>
      </c>
      <c r="I72" s="81">
        <v>0</v>
      </c>
    </row>
    <row r="73" spans="1:11" ht="45">
      <c r="A73" s="71" t="s">
        <v>164</v>
      </c>
      <c r="B73" s="18">
        <v>951</v>
      </c>
      <c r="C73" s="33" t="s">
        <v>161</v>
      </c>
      <c r="D73" s="33" t="s">
        <v>181</v>
      </c>
      <c r="E73" s="33" t="s">
        <v>19</v>
      </c>
      <c r="F73" s="33" t="s">
        <v>426</v>
      </c>
      <c r="G73" s="81">
        <f t="shared" si="5"/>
        <v>4167.349</v>
      </c>
      <c r="H73" s="81">
        <f>H74</f>
        <v>4167.349</v>
      </c>
      <c r="I73" s="81">
        <f>I74</f>
        <v>0</v>
      </c>
      <c r="K73" s="80"/>
    </row>
    <row r="74" spans="1:9" ht="42" customHeight="1">
      <c r="A74" s="14" t="s">
        <v>165</v>
      </c>
      <c r="B74" s="18">
        <v>951</v>
      </c>
      <c r="C74" s="33" t="s">
        <v>161</v>
      </c>
      <c r="D74" s="33" t="s">
        <v>181</v>
      </c>
      <c r="E74" s="33" t="s">
        <v>20</v>
      </c>
      <c r="F74" s="33" t="s">
        <v>426</v>
      </c>
      <c r="G74" s="81">
        <f t="shared" si="1"/>
        <v>4167.349</v>
      </c>
      <c r="H74" s="81">
        <f>H75+H80+H103</f>
        <v>4167.349</v>
      </c>
      <c r="I74" s="81">
        <f>I75</f>
        <v>0</v>
      </c>
    </row>
    <row r="75" spans="1:11" ht="45" customHeight="1">
      <c r="A75" s="14" t="s">
        <v>581</v>
      </c>
      <c r="B75" s="18">
        <v>951</v>
      </c>
      <c r="C75" s="33" t="s">
        <v>161</v>
      </c>
      <c r="D75" s="33" t="s">
        <v>181</v>
      </c>
      <c r="E75" s="33" t="s">
        <v>23</v>
      </c>
      <c r="F75" s="33" t="s">
        <v>426</v>
      </c>
      <c r="G75" s="81">
        <f t="shared" si="1"/>
        <v>4080.6200000000003</v>
      </c>
      <c r="H75" s="81">
        <f>H76+H78</f>
        <v>4080.6200000000003</v>
      </c>
      <c r="I75" s="81">
        <f>I76+I78</f>
        <v>0</v>
      </c>
      <c r="K75" s="80"/>
    </row>
    <row r="76" spans="1:9" ht="81.75" customHeight="1">
      <c r="A76" s="14" t="s">
        <v>199</v>
      </c>
      <c r="B76" s="18">
        <v>951</v>
      </c>
      <c r="C76" s="33" t="s">
        <v>161</v>
      </c>
      <c r="D76" s="33" t="s">
        <v>181</v>
      </c>
      <c r="E76" s="33" t="s">
        <v>23</v>
      </c>
      <c r="F76" s="33" t="s">
        <v>166</v>
      </c>
      <c r="G76" s="81">
        <f t="shared" si="1"/>
        <v>3994.7200000000003</v>
      </c>
      <c r="H76" s="81">
        <f>H77</f>
        <v>3994.7200000000003</v>
      </c>
      <c r="I76" s="81">
        <f>I77</f>
        <v>0</v>
      </c>
    </row>
    <row r="77" spans="1:9" ht="30">
      <c r="A77" s="42" t="s">
        <v>201</v>
      </c>
      <c r="B77" s="18">
        <v>951</v>
      </c>
      <c r="C77" s="33" t="s">
        <v>161</v>
      </c>
      <c r="D77" s="33" t="s">
        <v>181</v>
      </c>
      <c r="E77" s="33" t="s">
        <v>23</v>
      </c>
      <c r="F77" s="33" t="s">
        <v>200</v>
      </c>
      <c r="G77" s="81">
        <f t="shared" si="1"/>
        <v>3994.7200000000003</v>
      </c>
      <c r="H77" s="81">
        <f>3025.9+55+913.82</f>
        <v>3994.7200000000003</v>
      </c>
      <c r="I77" s="81"/>
    </row>
    <row r="78" spans="1:9" ht="30">
      <c r="A78" s="14" t="s">
        <v>202</v>
      </c>
      <c r="B78" s="18">
        <v>951</v>
      </c>
      <c r="C78" s="33" t="s">
        <v>161</v>
      </c>
      <c r="D78" s="33" t="s">
        <v>181</v>
      </c>
      <c r="E78" s="33" t="s">
        <v>23</v>
      </c>
      <c r="F78" s="33" t="s">
        <v>170</v>
      </c>
      <c r="G78" s="81">
        <f t="shared" si="1"/>
        <v>85.90000000000009</v>
      </c>
      <c r="H78" s="81">
        <f>H79</f>
        <v>85.90000000000009</v>
      </c>
      <c r="I78" s="81">
        <f>I79</f>
        <v>0</v>
      </c>
    </row>
    <row r="79" spans="1:9" ht="42.75" customHeight="1">
      <c r="A79" s="42" t="s">
        <v>203</v>
      </c>
      <c r="B79" s="18">
        <v>951</v>
      </c>
      <c r="C79" s="33" t="s">
        <v>161</v>
      </c>
      <c r="D79" s="33" t="s">
        <v>181</v>
      </c>
      <c r="E79" s="33" t="s">
        <v>23</v>
      </c>
      <c r="F79" s="33" t="s">
        <v>204</v>
      </c>
      <c r="G79" s="81">
        <f t="shared" si="1"/>
        <v>85.90000000000009</v>
      </c>
      <c r="H79" s="81">
        <f>4080.62-3994.72</f>
        <v>85.90000000000009</v>
      </c>
      <c r="I79" s="81"/>
    </row>
    <row r="80" spans="1:9" ht="15">
      <c r="A80" s="50" t="s">
        <v>211</v>
      </c>
      <c r="B80" s="70">
        <v>951</v>
      </c>
      <c r="C80" s="54" t="s">
        <v>161</v>
      </c>
      <c r="D80" s="54" t="s">
        <v>181</v>
      </c>
      <c r="E80" s="54" t="s">
        <v>27</v>
      </c>
      <c r="F80" s="54" t="s">
        <v>426</v>
      </c>
      <c r="G80" s="90">
        <f t="shared" si="1"/>
        <v>2</v>
      </c>
      <c r="H80" s="90">
        <f>H81</f>
        <v>2</v>
      </c>
      <c r="I80" s="90"/>
    </row>
    <row r="81" spans="1:9" ht="15">
      <c r="A81" s="14" t="s">
        <v>207</v>
      </c>
      <c r="B81" s="18">
        <v>951</v>
      </c>
      <c r="C81" s="33" t="s">
        <v>161</v>
      </c>
      <c r="D81" s="33" t="s">
        <v>181</v>
      </c>
      <c r="E81" s="33" t="s">
        <v>27</v>
      </c>
      <c r="F81" s="33" t="s">
        <v>208</v>
      </c>
      <c r="G81" s="81">
        <f t="shared" si="1"/>
        <v>2</v>
      </c>
      <c r="H81" s="81">
        <f>H82</f>
        <v>2</v>
      </c>
      <c r="I81" s="81"/>
    </row>
    <row r="82" spans="1:9" ht="15">
      <c r="A82" s="14" t="s">
        <v>211</v>
      </c>
      <c r="B82" s="18">
        <v>951</v>
      </c>
      <c r="C82" s="33" t="s">
        <v>161</v>
      </c>
      <c r="D82" s="33" t="s">
        <v>181</v>
      </c>
      <c r="E82" s="33" t="s">
        <v>27</v>
      </c>
      <c r="F82" s="33" t="s">
        <v>212</v>
      </c>
      <c r="G82" s="81">
        <f t="shared" si="1"/>
        <v>2</v>
      </c>
      <c r="H82" s="81">
        <v>2</v>
      </c>
      <c r="I82" s="81"/>
    </row>
    <row r="83" spans="1:9" ht="60">
      <c r="A83" s="50" t="s">
        <v>385</v>
      </c>
      <c r="B83" s="70">
        <v>951</v>
      </c>
      <c r="C83" s="54" t="s">
        <v>161</v>
      </c>
      <c r="D83" s="54" t="s">
        <v>181</v>
      </c>
      <c r="E83" s="54" t="s">
        <v>28</v>
      </c>
      <c r="F83" s="54" t="s">
        <v>426</v>
      </c>
      <c r="G83" s="90">
        <f t="shared" si="1"/>
        <v>750</v>
      </c>
      <c r="H83" s="90">
        <f>H84</f>
        <v>750</v>
      </c>
      <c r="I83" s="90">
        <f>I84</f>
        <v>0</v>
      </c>
    </row>
    <row r="84" spans="1:9" ht="30">
      <c r="A84" s="14" t="s">
        <v>202</v>
      </c>
      <c r="B84" s="18">
        <v>951</v>
      </c>
      <c r="C84" s="33" t="s">
        <v>161</v>
      </c>
      <c r="D84" s="33" t="s">
        <v>181</v>
      </c>
      <c r="E84" s="33" t="s">
        <v>28</v>
      </c>
      <c r="F84" s="33" t="s">
        <v>170</v>
      </c>
      <c r="G84" s="81">
        <f t="shared" si="1"/>
        <v>750</v>
      </c>
      <c r="H84" s="81">
        <f>H85</f>
        <v>750</v>
      </c>
      <c r="I84" s="81">
        <f>I85</f>
        <v>0</v>
      </c>
    </row>
    <row r="85" spans="1:9" ht="45">
      <c r="A85" s="42" t="s">
        <v>203</v>
      </c>
      <c r="B85" s="18">
        <v>951</v>
      </c>
      <c r="C85" s="33" t="s">
        <v>161</v>
      </c>
      <c r="D85" s="33" t="s">
        <v>181</v>
      </c>
      <c r="E85" s="33" t="s">
        <v>28</v>
      </c>
      <c r="F85" s="33" t="s">
        <v>204</v>
      </c>
      <c r="G85" s="81">
        <f t="shared" si="1"/>
        <v>750</v>
      </c>
      <c r="H85" s="81">
        <f>430+320</f>
        <v>750</v>
      </c>
      <c r="I85" s="81"/>
    </row>
    <row r="86" spans="1:9" ht="15">
      <c r="A86" s="51" t="s">
        <v>533</v>
      </c>
      <c r="B86" s="70" t="s">
        <v>192</v>
      </c>
      <c r="C86" s="54" t="s">
        <v>161</v>
      </c>
      <c r="D86" s="54" t="s">
        <v>181</v>
      </c>
      <c r="E86" s="54" t="s">
        <v>534</v>
      </c>
      <c r="F86" s="54" t="s">
        <v>426</v>
      </c>
      <c r="G86" s="90">
        <f aca="true" t="shared" si="6" ref="G86:G95">H86</f>
        <v>1035.0870100000002</v>
      </c>
      <c r="H86" s="90">
        <f>H87+H89</f>
        <v>1035.0870100000002</v>
      </c>
      <c r="I86" s="90"/>
    </row>
    <row r="87" spans="1:9" ht="30">
      <c r="A87" s="14" t="s">
        <v>202</v>
      </c>
      <c r="B87" s="18" t="s">
        <v>192</v>
      </c>
      <c r="C87" s="33" t="s">
        <v>161</v>
      </c>
      <c r="D87" s="33" t="s">
        <v>181</v>
      </c>
      <c r="E87" s="33" t="s">
        <v>534</v>
      </c>
      <c r="F87" s="33" t="s">
        <v>170</v>
      </c>
      <c r="G87" s="81">
        <f t="shared" si="6"/>
        <v>1035.0870100000002</v>
      </c>
      <c r="H87" s="81">
        <f>H88</f>
        <v>1035.0870100000002</v>
      </c>
      <c r="I87" s="81"/>
    </row>
    <row r="88" spans="1:9" ht="45">
      <c r="A88" s="42" t="s">
        <v>203</v>
      </c>
      <c r="B88" s="18" t="s">
        <v>192</v>
      </c>
      <c r="C88" s="33" t="s">
        <v>161</v>
      </c>
      <c r="D88" s="33" t="s">
        <v>181</v>
      </c>
      <c r="E88" s="33" t="s">
        <v>534</v>
      </c>
      <c r="F88" s="33" t="s">
        <v>204</v>
      </c>
      <c r="G88" s="81">
        <f t="shared" si="6"/>
        <v>1035.0870100000002</v>
      </c>
      <c r="H88" s="81">
        <f>1402.9-504.6-2+138.78701</f>
        <v>1035.0870100000002</v>
      </c>
      <c r="I88" s="81"/>
    </row>
    <row r="89" spans="1:9" ht="15" hidden="1">
      <c r="A89" s="14" t="s">
        <v>207</v>
      </c>
      <c r="B89" s="18" t="s">
        <v>192</v>
      </c>
      <c r="C89" s="33" t="s">
        <v>161</v>
      </c>
      <c r="D89" s="33" t="s">
        <v>181</v>
      </c>
      <c r="E89" s="33" t="s">
        <v>534</v>
      </c>
      <c r="F89" s="33" t="s">
        <v>208</v>
      </c>
      <c r="G89" s="81">
        <f t="shared" si="6"/>
        <v>0</v>
      </c>
      <c r="H89" s="81">
        <f>H90</f>
        <v>0</v>
      </c>
      <c r="I89" s="81"/>
    </row>
    <row r="90" spans="1:9" ht="15" hidden="1">
      <c r="A90" s="34" t="s">
        <v>205</v>
      </c>
      <c r="B90" s="18" t="s">
        <v>192</v>
      </c>
      <c r="C90" s="33" t="s">
        <v>161</v>
      </c>
      <c r="D90" s="33" t="s">
        <v>181</v>
      </c>
      <c r="E90" s="33" t="s">
        <v>534</v>
      </c>
      <c r="F90" s="33" t="s">
        <v>206</v>
      </c>
      <c r="G90" s="81">
        <f t="shared" si="6"/>
        <v>0</v>
      </c>
      <c r="H90" s="81"/>
      <c r="I90" s="81"/>
    </row>
    <row r="91" spans="1:9" ht="15" hidden="1">
      <c r="A91" s="96" t="s">
        <v>567</v>
      </c>
      <c r="B91" s="70" t="s">
        <v>192</v>
      </c>
      <c r="C91" s="54" t="s">
        <v>161</v>
      </c>
      <c r="D91" s="54" t="s">
        <v>181</v>
      </c>
      <c r="E91" s="54" t="s">
        <v>568</v>
      </c>
      <c r="F91" s="54" t="s">
        <v>426</v>
      </c>
      <c r="G91" s="90">
        <f t="shared" si="6"/>
        <v>0</v>
      </c>
      <c r="H91" s="90">
        <f>H92+H94</f>
        <v>0</v>
      </c>
      <c r="I91" s="90"/>
    </row>
    <row r="92" spans="1:9" ht="30" hidden="1">
      <c r="A92" s="14" t="s">
        <v>202</v>
      </c>
      <c r="B92" s="18" t="s">
        <v>192</v>
      </c>
      <c r="C92" s="33" t="s">
        <v>161</v>
      </c>
      <c r="D92" s="33" t="s">
        <v>181</v>
      </c>
      <c r="E92" s="33" t="s">
        <v>568</v>
      </c>
      <c r="F92" s="33" t="s">
        <v>170</v>
      </c>
      <c r="G92" s="81">
        <f t="shared" si="6"/>
        <v>0</v>
      </c>
      <c r="H92" s="81">
        <f>H93</f>
        <v>0</v>
      </c>
      <c r="I92" s="90"/>
    </row>
    <row r="93" spans="1:9" ht="45" hidden="1">
      <c r="A93" s="42" t="s">
        <v>203</v>
      </c>
      <c r="B93" s="18" t="s">
        <v>192</v>
      </c>
      <c r="C93" s="33" t="s">
        <v>161</v>
      </c>
      <c r="D93" s="33" t="s">
        <v>181</v>
      </c>
      <c r="E93" s="33" t="s">
        <v>568</v>
      </c>
      <c r="F93" s="33" t="s">
        <v>204</v>
      </c>
      <c r="G93" s="81">
        <f t="shared" si="6"/>
        <v>0</v>
      </c>
      <c r="H93" s="81"/>
      <c r="I93" s="81"/>
    </row>
    <row r="94" spans="1:9" ht="15" hidden="1">
      <c r="A94" s="14" t="s">
        <v>207</v>
      </c>
      <c r="B94" s="18" t="s">
        <v>192</v>
      </c>
      <c r="C94" s="33" t="s">
        <v>161</v>
      </c>
      <c r="D94" s="33" t="s">
        <v>181</v>
      </c>
      <c r="E94" s="33" t="s">
        <v>568</v>
      </c>
      <c r="F94" s="33" t="s">
        <v>208</v>
      </c>
      <c r="G94" s="81">
        <f t="shared" si="6"/>
        <v>0</v>
      </c>
      <c r="H94" s="81">
        <f>H95</f>
        <v>0</v>
      </c>
      <c r="I94" s="81"/>
    </row>
    <row r="95" spans="1:9" ht="15" hidden="1">
      <c r="A95" s="34" t="s">
        <v>205</v>
      </c>
      <c r="B95" s="18" t="s">
        <v>192</v>
      </c>
      <c r="C95" s="33" t="s">
        <v>161</v>
      </c>
      <c r="D95" s="33" t="s">
        <v>181</v>
      </c>
      <c r="E95" s="33" t="s">
        <v>568</v>
      </c>
      <c r="F95" s="33" t="s">
        <v>206</v>
      </c>
      <c r="G95" s="81">
        <f t="shared" si="6"/>
        <v>0</v>
      </c>
      <c r="H95" s="81"/>
      <c r="I95" s="81"/>
    </row>
    <row r="96" spans="1:9" ht="60.75" customHeight="1">
      <c r="A96" s="68" t="s">
        <v>582</v>
      </c>
      <c r="B96" s="83" t="s">
        <v>192</v>
      </c>
      <c r="C96" s="69" t="s">
        <v>161</v>
      </c>
      <c r="D96" s="69" t="s">
        <v>181</v>
      </c>
      <c r="E96" s="69" t="s">
        <v>337</v>
      </c>
      <c r="F96" s="69" t="s">
        <v>426</v>
      </c>
      <c r="G96" s="84">
        <f>H96+I96</f>
        <v>879.9198700000001</v>
      </c>
      <c r="H96" s="84">
        <v>0</v>
      </c>
      <c r="I96" s="84">
        <f>I97</f>
        <v>879.9198700000001</v>
      </c>
    </row>
    <row r="97" spans="1:9" ht="30">
      <c r="A97" s="14" t="s">
        <v>522</v>
      </c>
      <c r="B97" s="18" t="s">
        <v>192</v>
      </c>
      <c r="C97" s="33" t="s">
        <v>161</v>
      </c>
      <c r="D97" s="33" t="s">
        <v>181</v>
      </c>
      <c r="E97" s="33" t="s">
        <v>19</v>
      </c>
      <c r="F97" s="33" t="s">
        <v>426</v>
      </c>
      <c r="G97" s="81">
        <f aca="true" t="shared" si="7" ref="G97:G105">H97+I97</f>
        <v>879.9198700000001</v>
      </c>
      <c r="H97" s="81"/>
      <c r="I97" s="81">
        <f>I98</f>
        <v>879.9198700000001</v>
      </c>
    </row>
    <row r="98" spans="1:11" ht="45">
      <c r="A98" s="14" t="s">
        <v>165</v>
      </c>
      <c r="B98" s="18" t="s">
        <v>192</v>
      </c>
      <c r="C98" s="33" t="s">
        <v>161</v>
      </c>
      <c r="D98" s="33" t="s">
        <v>181</v>
      </c>
      <c r="E98" s="33" t="s">
        <v>20</v>
      </c>
      <c r="F98" s="33" t="s">
        <v>426</v>
      </c>
      <c r="G98" s="81">
        <f t="shared" si="7"/>
        <v>879.9198700000001</v>
      </c>
      <c r="H98" s="81"/>
      <c r="I98" s="81">
        <f>I99+I101</f>
        <v>879.9198700000001</v>
      </c>
      <c r="J98" s="248"/>
      <c r="K98" s="190"/>
    </row>
    <row r="99" spans="1:9" ht="90">
      <c r="A99" s="14" t="s">
        <v>199</v>
      </c>
      <c r="B99" s="18" t="s">
        <v>192</v>
      </c>
      <c r="C99" s="33" t="s">
        <v>161</v>
      </c>
      <c r="D99" s="33" t="s">
        <v>181</v>
      </c>
      <c r="E99" s="33" t="s">
        <v>583</v>
      </c>
      <c r="F99" s="33" t="s">
        <v>166</v>
      </c>
      <c r="G99" s="81">
        <f t="shared" si="7"/>
        <v>843.033</v>
      </c>
      <c r="H99" s="81">
        <v>0</v>
      </c>
      <c r="I99" s="81">
        <f>I100</f>
        <v>843.033</v>
      </c>
    </row>
    <row r="100" spans="1:9" ht="30">
      <c r="A100" s="14" t="s">
        <v>201</v>
      </c>
      <c r="B100" s="18" t="s">
        <v>192</v>
      </c>
      <c r="C100" s="33" t="s">
        <v>161</v>
      </c>
      <c r="D100" s="33" t="s">
        <v>181</v>
      </c>
      <c r="E100" s="33" t="s">
        <v>583</v>
      </c>
      <c r="F100" s="33" t="s">
        <v>200</v>
      </c>
      <c r="G100" s="81">
        <f t="shared" si="7"/>
        <v>843.033</v>
      </c>
      <c r="H100" s="81"/>
      <c r="I100" s="81">
        <v>843.033</v>
      </c>
    </row>
    <row r="101" spans="1:9" ht="30">
      <c r="A101" s="14" t="s">
        <v>202</v>
      </c>
      <c r="B101" s="18" t="s">
        <v>192</v>
      </c>
      <c r="C101" s="33" t="s">
        <v>161</v>
      </c>
      <c r="D101" s="33" t="s">
        <v>181</v>
      </c>
      <c r="E101" s="33" t="s">
        <v>583</v>
      </c>
      <c r="F101" s="33" t="s">
        <v>170</v>
      </c>
      <c r="G101" s="81">
        <f t="shared" si="7"/>
        <v>36.88687</v>
      </c>
      <c r="H101" s="81">
        <v>0</v>
      </c>
      <c r="I101" s="81">
        <f>I102</f>
        <v>36.88687</v>
      </c>
    </row>
    <row r="102" spans="1:9" ht="45">
      <c r="A102" s="42" t="s">
        <v>203</v>
      </c>
      <c r="B102" s="18" t="s">
        <v>192</v>
      </c>
      <c r="C102" s="33" t="s">
        <v>161</v>
      </c>
      <c r="D102" s="33" t="s">
        <v>181</v>
      </c>
      <c r="E102" s="33" t="s">
        <v>583</v>
      </c>
      <c r="F102" s="33" t="s">
        <v>204</v>
      </c>
      <c r="G102" s="81">
        <f t="shared" si="7"/>
        <v>36.88687</v>
      </c>
      <c r="H102" s="81"/>
      <c r="I102" s="81">
        <v>36.88687</v>
      </c>
    </row>
    <row r="103" spans="1:9" ht="45">
      <c r="A103" s="51" t="s">
        <v>773</v>
      </c>
      <c r="B103" s="70" t="s">
        <v>192</v>
      </c>
      <c r="C103" s="54" t="s">
        <v>161</v>
      </c>
      <c r="D103" s="54" t="s">
        <v>181</v>
      </c>
      <c r="E103" s="54" t="s">
        <v>774</v>
      </c>
      <c r="F103" s="54" t="s">
        <v>426</v>
      </c>
      <c r="G103" s="90">
        <f t="shared" si="7"/>
        <v>84.729</v>
      </c>
      <c r="H103" s="90">
        <f>H104</f>
        <v>84.729</v>
      </c>
      <c r="I103" s="81"/>
    </row>
    <row r="104" spans="1:9" ht="30">
      <c r="A104" s="14" t="s">
        <v>202</v>
      </c>
      <c r="B104" s="18" t="s">
        <v>192</v>
      </c>
      <c r="C104" s="33" t="s">
        <v>161</v>
      </c>
      <c r="D104" s="33" t="s">
        <v>181</v>
      </c>
      <c r="E104" s="33" t="s">
        <v>774</v>
      </c>
      <c r="F104" s="33" t="s">
        <v>170</v>
      </c>
      <c r="G104" s="81">
        <f t="shared" si="7"/>
        <v>84.729</v>
      </c>
      <c r="H104" s="81">
        <f>H105</f>
        <v>84.729</v>
      </c>
      <c r="I104" s="81"/>
    </row>
    <row r="105" spans="1:9" ht="45">
      <c r="A105" s="42" t="s">
        <v>203</v>
      </c>
      <c r="B105" s="18" t="s">
        <v>192</v>
      </c>
      <c r="C105" s="33" t="s">
        <v>161</v>
      </c>
      <c r="D105" s="33" t="s">
        <v>181</v>
      </c>
      <c r="E105" s="33" t="s">
        <v>774</v>
      </c>
      <c r="F105" s="33" t="s">
        <v>204</v>
      </c>
      <c r="G105" s="81">
        <f t="shared" si="7"/>
        <v>84.729</v>
      </c>
      <c r="H105" s="81">
        <f>11.45+24.964+25.292+6.497+16.526</f>
        <v>84.729</v>
      </c>
      <c r="I105" s="81"/>
    </row>
    <row r="106" spans="1:9" ht="45">
      <c r="A106" s="50" t="s">
        <v>490</v>
      </c>
      <c r="B106" s="70">
        <v>951</v>
      </c>
      <c r="C106" s="54" t="s">
        <v>161</v>
      </c>
      <c r="D106" s="54" t="s">
        <v>181</v>
      </c>
      <c r="E106" s="54" t="s">
        <v>38</v>
      </c>
      <c r="F106" s="54" t="s">
        <v>426</v>
      </c>
      <c r="G106" s="90">
        <f t="shared" si="1"/>
        <v>83</v>
      </c>
      <c r="H106" s="90">
        <f>H110+H118+H107+H121</f>
        <v>83</v>
      </c>
      <c r="I106" s="90">
        <f>I110</f>
        <v>0</v>
      </c>
    </row>
    <row r="107" spans="1:9" ht="30" hidden="1">
      <c r="A107" s="77" t="s">
        <v>40</v>
      </c>
      <c r="B107" s="70">
        <v>951</v>
      </c>
      <c r="C107" s="54" t="s">
        <v>161</v>
      </c>
      <c r="D107" s="54" t="s">
        <v>181</v>
      </c>
      <c r="E107" s="18" t="s">
        <v>39</v>
      </c>
      <c r="F107" s="33" t="s">
        <v>426</v>
      </c>
      <c r="G107" s="81">
        <f t="shared" si="1"/>
        <v>0</v>
      </c>
      <c r="H107" s="81">
        <f>H108</f>
        <v>0</v>
      </c>
      <c r="I107" s="81">
        <f>I108</f>
        <v>0</v>
      </c>
    </row>
    <row r="108" spans="1:9" ht="30" hidden="1">
      <c r="A108" s="14" t="s">
        <v>202</v>
      </c>
      <c r="B108" s="70">
        <v>951</v>
      </c>
      <c r="C108" s="54" t="s">
        <v>161</v>
      </c>
      <c r="D108" s="54" t="s">
        <v>181</v>
      </c>
      <c r="E108" s="18" t="s">
        <v>39</v>
      </c>
      <c r="F108" s="33" t="s">
        <v>170</v>
      </c>
      <c r="G108" s="81">
        <f t="shared" si="1"/>
        <v>0</v>
      </c>
      <c r="H108" s="81">
        <f>H109</f>
        <v>0</v>
      </c>
      <c r="I108" s="81">
        <f>I109</f>
        <v>0</v>
      </c>
    </row>
    <row r="109" spans="1:9" ht="45" hidden="1">
      <c r="A109" s="42" t="s">
        <v>203</v>
      </c>
      <c r="B109" s="70">
        <v>951</v>
      </c>
      <c r="C109" s="54" t="s">
        <v>161</v>
      </c>
      <c r="D109" s="54" t="s">
        <v>181</v>
      </c>
      <c r="E109" s="18" t="s">
        <v>39</v>
      </c>
      <c r="F109" s="33" t="s">
        <v>204</v>
      </c>
      <c r="G109" s="81">
        <f t="shared" si="1"/>
        <v>0</v>
      </c>
      <c r="H109" s="81"/>
      <c r="I109" s="81"/>
    </row>
    <row r="110" spans="1:9" ht="45">
      <c r="A110" s="128" t="s">
        <v>312</v>
      </c>
      <c r="B110" s="70">
        <v>951</v>
      </c>
      <c r="C110" s="54" t="s">
        <v>161</v>
      </c>
      <c r="D110" s="54" t="s">
        <v>181</v>
      </c>
      <c r="E110" s="18" t="s">
        <v>56</v>
      </c>
      <c r="F110" s="33" t="s">
        <v>426</v>
      </c>
      <c r="G110" s="81">
        <f>G111</f>
        <v>0</v>
      </c>
      <c r="H110" s="81">
        <f>H111</f>
        <v>0</v>
      </c>
      <c r="I110" s="81">
        <f>I111</f>
        <v>0</v>
      </c>
    </row>
    <row r="111" spans="1:9" ht="60" hidden="1">
      <c r="A111" s="50" t="s">
        <v>705</v>
      </c>
      <c r="B111" s="70">
        <v>951</v>
      </c>
      <c r="C111" s="54" t="s">
        <v>161</v>
      </c>
      <c r="D111" s="54" t="s">
        <v>181</v>
      </c>
      <c r="E111" s="54" t="s">
        <v>337</v>
      </c>
      <c r="F111" s="54" t="s">
        <v>426</v>
      </c>
      <c r="G111" s="90">
        <f>H111+I111</f>
        <v>0</v>
      </c>
      <c r="H111" s="90">
        <f>H115</f>
        <v>0</v>
      </c>
      <c r="I111" s="90">
        <f>I112</f>
        <v>0</v>
      </c>
    </row>
    <row r="112" spans="1:9" ht="89.25" hidden="1">
      <c r="A112" s="14" t="s">
        <v>726</v>
      </c>
      <c r="B112" s="18">
        <v>951</v>
      </c>
      <c r="C112" s="33" t="s">
        <v>161</v>
      </c>
      <c r="D112" s="33" t="s">
        <v>181</v>
      </c>
      <c r="E112" s="33" t="s">
        <v>711</v>
      </c>
      <c r="F112" s="33" t="s">
        <v>426</v>
      </c>
      <c r="G112" s="81">
        <f aca="true" t="shared" si="8" ref="G112:G117">H112+I112</f>
        <v>0</v>
      </c>
      <c r="H112" s="81"/>
      <c r="I112" s="81">
        <f>I113</f>
        <v>0</v>
      </c>
    </row>
    <row r="113" spans="1:9" ht="45" hidden="1">
      <c r="A113" s="42" t="s">
        <v>621</v>
      </c>
      <c r="B113" s="18">
        <v>951</v>
      </c>
      <c r="C113" s="33" t="s">
        <v>161</v>
      </c>
      <c r="D113" s="33" t="s">
        <v>181</v>
      </c>
      <c r="E113" s="33" t="s">
        <v>711</v>
      </c>
      <c r="F113" s="33" t="s">
        <v>622</v>
      </c>
      <c r="G113" s="81">
        <f t="shared" si="8"/>
        <v>0</v>
      </c>
      <c r="H113" s="81"/>
      <c r="I113" s="81">
        <f>I114</f>
        <v>0</v>
      </c>
    </row>
    <row r="114" spans="1:9" ht="15" hidden="1">
      <c r="A114" s="42" t="s">
        <v>623</v>
      </c>
      <c r="B114" s="18">
        <v>951</v>
      </c>
      <c r="C114" s="33" t="s">
        <v>161</v>
      </c>
      <c r="D114" s="33" t="s">
        <v>181</v>
      </c>
      <c r="E114" s="33" t="s">
        <v>711</v>
      </c>
      <c r="F114" s="33" t="s">
        <v>624</v>
      </c>
      <c r="G114" s="81">
        <f t="shared" si="8"/>
        <v>0</v>
      </c>
      <c r="H114" s="81"/>
      <c r="I114" s="81">
        <v>0</v>
      </c>
    </row>
    <row r="115" spans="1:9" ht="105" hidden="1">
      <c r="A115" s="14" t="s">
        <v>727</v>
      </c>
      <c r="B115" s="18">
        <v>951</v>
      </c>
      <c r="C115" s="33" t="s">
        <v>161</v>
      </c>
      <c r="D115" s="33" t="s">
        <v>181</v>
      </c>
      <c r="E115" s="33" t="s">
        <v>759</v>
      </c>
      <c r="F115" s="33" t="s">
        <v>426</v>
      </c>
      <c r="G115" s="81">
        <f t="shared" si="8"/>
        <v>0</v>
      </c>
      <c r="H115" s="81">
        <f>H116</f>
        <v>0</v>
      </c>
      <c r="I115" s="81"/>
    </row>
    <row r="116" spans="1:9" ht="45" hidden="1">
      <c r="A116" s="42" t="s">
        <v>621</v>
      </c>
      <c r="B116" s="18">
        <v>951</v>
      </c>
      <c r="C116" s="33" t="s">
        <v>161</v>
      </c>
      <c r="D116" s="33" t="s">
        <v>181</v>
      </c>
      <c r="E116" s="33" t="s">
        <v>759</v>
      </c>
      <c r="F116" s="33" t="s">
        <v>622</v>
      </c>
      <c r="G116" s="81">
        <f t="shared" si="8"/>
        <v>0</v>
      </c>
      <c r="H116" s="81">
        <f>H117</f>
        <v>0</v>
      </c>
      <c r="I116" s="81"/>
    </row>
    <row r="117" spans="1:9" ht="15" hidden="1">
      <c r="A117" s="42" t="s">
        <v>623</v>
      </c>
      <c r="B117" s="18">
        <v>951</v>
      </c>
      <c r="C117" s="33" t="s">
        <v>161</v>
      </c>
      <c r="D117" s="33" t="s">
        <v>181</v>
      </c>
      <c r="E117" s="33" t="s">
        <v>759</v>
      </c>
      <c r="F117" s="33" t="s">
        <v>624</v>
      </c>
      <c r="G117" s="81">
        <f t="shared" si="8"/>
        <v>0</v>
      </c>
      <c r="H117" s="81">
        <f>325-255-70</f>
        <v>0</v>
      </c>
      <c r="I117" s="81"/>
    </row>
    <row r="118" spans="1:9" ht="71.25" customHeight="1" hidden="1">
      <c r="A118" s="50" t="s">
        <v>721</v>
      </c>
      <c r="B118" s="70">
        <v>951</v>
      </c>
      <c r="C118" s="54" t="s">
        <v>161</v>
      </c>
      <c r="D118" s="54" t="s">
        <v>181</v>
      </c>
      <c r="E118" s="54" t="s">
        <v>712</v>
      </c>
      <c r="F118" s="54" t="s">
        <v>426</v>
      </c>
      <c r="G118" s="90">
        <f>H118+I118</f>
        <v>0</v>
      </c>
      <c r="H118" s="90">
        <f>H119</f>
        <v>0</v>
      </c>
      <c r="I118" s="90"/>
    </row>
    <row r="119" spans="1:9" ht="30" hidden="1">
      <c r="A119" s="14" t="s">
        <v>202</v>
      </c>
      <c r="B119" s="18">
        <v>951</v>
      </c>
      <c r="C119" s="33" t="s">
        <v>161</v>
      </c>
      <c r="D119" s="33" t="s">
        <v>181</v>
      </c>
      <c r="E119" s="33" t="s">
        <v>712</v>
      </c>
      <c r="F119" s="33" t="s">
        <v>170</v>
      </c>
      <c r="G119" s="81">
        <f>H119+I119</f>
        <v>0</v>
      </c>
      <c r="H119" s="81">
        <f>H120</f>
        <v>0</v>
      </c>
      <c r="I119" s="81"/>
    </row>
    <row r="120" spans="1:9" ht="45" hidden="1">
      <c r="A120" s="42" t="s">
        <v>203</v>
      </c>
      <c r="B120" s="18">
        <v>951</v>
      </c>
      <c r="C120" s="33" t="s">
        <v>161</v>
      </c>
      <c r="D120" s="33" t="s">
        <v>181</v>
      </c>
      <c r="E120" s="33" t="s">
        <v>712</v>
      </c>
      <c r="F120" s="33" t="s">
        <v>204</v>
      </c>
      <c r="G120" s="81">
        <f>H120+I120</f>
        <v>0</v>
      </c>
      <c r="H120" s="81">
        <v>0</v>
      </c>
      <c r="I120" s="81"/>
    </row>
    <row r="121" spans="1:9" ht="33" customHeight="1">
      <c r="A121" s="77" t="s">
        <v>43</v>
      </c>
      <c r="B121" s="18">
        <v>951</v>
      </c>
      <c r="C121" s="33" t="s">
        <v>161</v>
      </c>
      <c r="D121" s="33" t="s">
        <v>181</v>
      </c>
      <c r="E121" s="33" t="s">
        <v>44</v>
      </c>
      <c r="F121" s="33" t="s">
        <v>426</v>
      </c>
      <c r="G121" s="81">
        <f t="shared" si="1"/>
        <v>83</v>
      </c>
      <c r="H121" s="81">
        <f>H122</f>
        <v>83</v>
      </c>
      <c r="I121" s="81">
        <f>I122</f>
        <v>0</v>
      </c>
    </row>
    <row r="122" spans="1:9" ht="29.25" customHeight="1">
      <c r="A122" s="14" t="s">
        <v>202</v>
      </c>
      <c r="B122" s="18">
        <v>951</v>
      </c>
      <c r="C122" s="33" t="s">
        <v>161</v>
      </c>
      <c r="D122" s="33" t="s">
        <v>181</v>
      </c>
      <c r="E122" s="33" t="s">
        <v>714</v>
      </c>
      <c r="F122" s="33" t="s">
        <v>170</v>
      </c>
      <c r="G122" s="81">
        <f t="shared" si="1"/>
        <v>83</v>
      </c>
      <c r="H122" s="81">
        <f>H123</f>
        <v>83</v>
      </c>
      <c r="I122" s="81">
        <f>I123</f>
        <v>0</v>
      </c>
    </row>
    <row r="123" spans="1:9" ht="43.5" customHeight="1">
      <c r="A123" s="42" t="s">
        <v>203</v>
      </c>
      <c r="B123" s="18">
        <v>951</v>
      </c>
      <c r="C123" s="33" t="s">
        <v>161</v>
      </c>
      <c r="D123" s="33" t="s">
        <v>181</v>
      </c>
      <c r="E123" s="33" t="s">
        <v>714</v>
      </c>
      <c r="F123" s="33" t="s">
        <v>204</v>
      </c>
      <c r="G123" s="81">
        <f t="shared" si="1"/>
        <v>83</v>
      </c>
      <c r="H123" s="81">
        <v>83</v>
      </c>
      <c r="I123" s="81"/>
    </row>
    <row r="124" spans="1:9" ht="75">
      <c r="A124" s="50" t="s">
        <v>505</v>
      </c>
      <c r="B124" s="70">
        <v>951</v>
      </c>
      <c r="C124" s="54" t="s">
        <v>161</v>
      </c>
      <c r="D124" s="54" t="s">
        <v>181</v>
      </c>
      <c r="E124" s="54" t="s">
        <v>45</v>
      </c>
      <c r="F124" s="54" t="s">
        <v>426</v>
      </c>
      <c r="G124" s="90">
        <f t="shared" si="1"/>
        <v>10</v>
      </c>
      <c r="H124" s="90">
        <f>H125</f>
        <v>10</v>
      </c>
      <c r="I124" s="90">
        <f>I125</f>
        <v>0</v>
      </c>
    </row>
    <row r="125" spans="1:9" ht="33.75" customHeight="1">
      <c r="A125" s="14" t="s">
        <v>202</v>
      </c>
      <c r="B125" s="18">
        <v>951</v>
      </c>
      <c r="C125" s="33" t="s">
        <v>161</v>
      </c>
      <c r="D125" s="33" t="s">
        <v>181</v>
      </c>
      <c r="E125" s="33" t="s">
        <v>47</v>
      </c>
      <c r="F125" s="33" t="s">
        <v>170</v>
      </c>
      <c r="G125" s="81">
        <f t="shared" si="1"/>
        <v>10</v>
      </c>
      <c r="H125" s="81">
        <f>H126</f>
        <v>10</v>
      </c>
      <c r="I125" s="81">
        <f>I126</f>
        <v>0</v>
      </c>
    </row>
    <row r="126" spans="1:9" ht="45">
      <c r="A126" s="42" t="s">
        <v>203</v>
      </c>
      <c r="B126" s="18">
        <v>951</v>
      </c>
      <c r="C126" s="33" t="s">
        <v>161</v>
      </c>
      <c r="D126" s="33" t="s">
        <v>181</v>
      </c>
      <c r="E126" s="33" t="s">
        <v>47</v>
      </c>
      <c r="F126" s="33" t="s">
        <v>204</v>
      </c>
      <c r="G126" s="81">
        <f t="shared" si="1"/>
        <v>10</v>
      </c>
      <c r="H126" s="81">
        <v>10</v>
      </c>
      <c r="I126" s="81"/>
    </row>
    <row r="127" spans="1:9" ht="75">
      <c r="A127" s="51" t="s">
        <v>865</v>
      </c>
      <c r="B127" s="70" t="s">
        <v>192</v>
      </c>
      <c r="C127" s="54" t="s">
        <v>161</v>
      </c>
      <c r="D127" s="54" t="s">
        <v>181</v>
      </c>
      <c r="E127" s="54" t="s">
        <v>584</v>
      </c>
      <c r="F127" s="54" t="s">
        <v>426</v>
      </c>
      <c r="G127" s="90">
        <f t="shared" si="1"/>
        <v>15</v>
      </c>
      <c r="H127" s="90">
        <f>H128</f>
        <v>15</v>
      </c>
      <c r="I127" s="90"/>
    </row>
    <row r="128" spans="1:9" ht="48" customHeight="1">
      <c r="A128" s="42" t="s">
        <v>585</v>
      </c>
      <c r="B128" s="70" t="s">
        <v>192</v>
      </c>
      <c r="C128" s="33" t="s">
        <v>161</v>
      </c>
      <c r="D128" s="33" t="s">
        <v>181</v>
      </c>
      <c r="E128" s="33" t="s">
        <v>586</v>
      </c>
      <c r="F128" s="33" t="s">
        <v>170</v>
      </c>
      <c r="G128" s="81">
        <f t="shared" si="1"/>
        <v>15</v>
      </c>
      <c r="H128" s="81">
        <f>H129</f>
        <v>15</v>
      </c>
      <c r="I128" s="81"/>
    </row>
    <row r="129" spans="1:9" ht="16.5" customHeight="1">
      <c r="A129" s="42" t="s">
        <v>639</v>
      </c>
      <c r="B129" s="70" t="s">
        <v>192</v>
      </c>
      <c r="C129" s="33" t="s">
        <v>161</v>
      </c>
      <c r="D129" s="33" t="s">
        <v>181</v>
      </c>
      <c r="E129" s="33" t="s">
        <v>588</v>
      </c>
      <c r="F129" s="33" t="s">
        <v>204</v>
      </c>
      <c r="G129" s="81">
        <f t="shared" si="1"/>
        <v>15</v>
      </c>
      <c r="H129" s="81">
        <v>15</v>
      </c>
      <c r="I129" s="81"/>
    </row>
    <row r="130" spans="1:9" ht="15" hidden="1">
      <c r="A130" s="75" t="s">
        <v>388</v>
      </c>
      <c r="B130" s="70" t="s">
        <v>192</v>
      </c>
      <c r="C130" s="33" t="s">
        <v>161</v>
      </c>
      <c r="D130" s="33" t="s">
        <v>181</v>
      </c>
      <c r="E130" s="76" t="s">
        <v>337</v>
      </c>
      <c r="F130" s="76" t="s">
        <v>426</v>
      </c>
      <c r="G130" s="89">
        <f>H130+I130</f>
        <v>0</v>
      </c>
      <c r="H130" s="89">
        <f aca="true" t="shared" si="9" ref="H130:I133">H131</f>
        <v>0</v>
      </c>
      <c r="I130" s="89">
        <f t="shared" si="9"/>
        <v>0</v>
      </c>
    </row>
    <row r="131" spans="1:9" ht="75" hidden="1">
      <c r="A131" s="50" t="s">
        <v>570</v>
      </c>
      <c r="B131" s="70" t="s">
        <v>192</v>
      </c>
      <c r="C131" s="33" t="s">
        <v>161</v>
      </c>
      <c r="D131" s="33" t="s">
        <v>181</v>
      </c>
      <c r="E131" s="33" t="s">
        <v>337</v>
      </c>
      <c r="F131" s="33" t="s">
        <v>426</v>
      </c>
      <c r="G131" s="81">
        <f>H131+I131</f>
        <v>0</v>
      </c>
      <c r="H131" s="81">
        <f t="shared" si="9"/>
        <v>0</v>
      </c>
      <c r="I131" s="81">
        <f t="shared" si="9"/>
        <v>0</v>
      </c>
    </row>
    <row r="132" spans="1:9" ht="45" hidden="1">
      <c r="A132" s="14" t="s">
        <v>389</v>
      </c>
      <c r="B132" s="70" t="s">
        <v>192</v>
      </c>
      <c r="C132" s="33" t="s">
        <v>161</v>
      </c>
      <c r="D132" s="33" t="s">
        <v>181</v>
      </c>
      <c r="E132" s="33" t="s">
        <v>548</v>
      </c>
      <c r="F132" s="33" t="s">
        <v>426</v>
      </c>
      <c r="G132" s="81">
        <f t="shared" si="1"/>
        <v>0</v>
      </c>
      <c r="H132" s="81">
        <f t="shared" si="9"/>
        <v>0</v>
      </c>
      <c r="I132" s="81">
        <f t="shared" si="9"/>
        <v>0</v>
      </c>
    </row>
    <row r="133" spans="1:9" ht="15" hidden="1">
      <c r="A133" s="14" t="s">
        <v>213</v>
      </c>
      <c r="B133" s="70" t="s">
        <v>192</v>
      </c>
      <c r="C133" s="33" t="s">
        <v>161</v>
      </c>
      <c r="D133" s="33" t="s">
        <v>181</v>
      </c>
      <c r="E133" s="33" t="s">
        <v>548</v>
      </c>
      <c r="F133" s="33" t="s">
        <v>214</v>
      </c>
      <c r="G133" s="81">
        <f>H133+I133</f>
        <v>0</v>
      </c>
      <c r="H133" s="81">
        <f t="shared" si="9"/>
        <v>0</v>
      </c>
      <c r="I133" s="81">
        <f t="shared" si="9"/>
        <v>0</v>
      </c>
    </row>
    <row r="134" spans="1:9" ht="15" hidden="1">
      <c r="A134" s="14" t="s">
        <v>182</v>
      </c>
      <c r="B134" s="70" t="s">
        <v>192</v>
      </c>
      <c r="C134" s="33" t="s">
        <v>161</v>
      </c>
      <c r="D134" s="33" t="s">
        <v>181</v>
      </c>
      <c r="E134" s="33" t="s">
        <v>548</v>
      </c>
      <c r="F134" s="33" t="s">
        <v>390</v>
      </c>
      <c r="G134" s="81">
        <f>H134+I134</f>
        <v>0</v>
      </c>
      <c r="H134" s="81"/>
      <c r="I134" s="81">
        <v>0</v>
      </c>
    </row>
    <row r="135" spans="1:9" ht="42.75">
      <c r="A135" s="75" t="s">
        <v>391</v>
      </c>
      <c r="B135" s="82" t="s">
        <v>192</v>
      </c>
      <c r="C135" s="76" t="s">
        <v>168</v>
      </c>
      <c r="D135" s="76" t="s">
        <v>162</v>
      </c>
      <c r="E135" s="76" t="s">
        <v>337</v>
      </c>
      <c r="F135" s="76" t="s">
        <v>426</v>
      </c>
      <c r="G135" s="89">
        <f>H135+I135</f>
        <v>100</v>
      </c>
      <c r="H135" s="89">
        <f aca="true" t="shared" si="10" ref="H135:I138">H136</f>
        <v>100</v>
      </c>
      <c r="I135" s="89">
        <f t="shared" si="10"/>
        <v>0</v>
      </c>
    </row>
    <row r="136" spans="1:9" ht="43.5" customHeight="1">
      <c r="A136" s="14" t="s">
        <v>392</v>
      </c>
      <c r="B136" s="70" t="s">
        <v>192</v>
      </c>
      <c r="C136" s="33" t="s">
        <v>168</v>
      </c>
      <c r="D136" s="33" t="s">
        <v>393</v>
      </c>
      <c r="E136" s="33" t="s">
        <v>29</v>
      </c>
      <c r="F136" s="33" t="s">
        <v>426</v>
      </c>
      <c r="G136" s="81">
        <f aca="true" t="shared" si="11" ref="G136:G332">H136+I136</f>
        <v>100</v>
      </c>
      <c r="H136" s="81">
        <f>H137</f>
        <v>100</v>
      </c>
      <c r="I136" s="81">
        <f t="shared" si="10"/>
        <v>0</v>
      </c>
    </row>
    <row r="137" spans="1:9" ht="43.5" customHeight="1">
      <c r="A137" s="14" t="s">
        <v>394</v>
      </c>
      <c r="B137" s="70" t="s">
        <v>192</v>
      </c>
      <c r="C137" s="33" t="s">
        <v>168</v>
      </c>
      <c r="D137" s="33" t="s">
        <v>393</v>
      </c>
      <c r="E137" s="33" t="s">
        <v>29</v>
      </c>
      <c r="F137" s="33" t="s">
        <v>426</v>
      </c>
      <c r="G137" s="81">
        <f t="shared" si="11"/>
        <v>100</v>
      </c>
      <c r="H137" s="81">
        <f>H138</f>
        <v>100</v>
      </c>
      <c r="I137" s="81">
        <f t="shared" si="10"/>
        <v>0</v>
      </c>
    </row>
    <row r="138" spans="1:9" ht="31.5" customHeight="1">
      <c r="A138" s="14" t="s">
        <v>202</v>
      </c>
      <c r="B138" s="70" t="s">
        <v>192</v>
      </c>
      <c r="C138" s="33" t="s">
        <v>168</v>
      </c>
      <c r="D138" s="33" t="s">
        <v>393</v>
      </c>
      <c r="E138" s="33" t="s">
        <v>29</v>
      </c>
      <c r="F138" s="33" t="s">
        <v>170</v>
      </c>
      <c r="G138" s="81">
        <f t="shared" si="11"/>
        <v>100</v>
      </c>
      <c r="H138" s="81">
        <f>H139</f>
        <v>100</v>
      </c>
      <c r="I138" s="81">
        <f t="shared" si="10"/>
        <v>0</v>
      </c>
    </row>
    <row r="139" spans="1:9" ht="43.5" customHeight="1">
      <c r="A139" s="42" t="s">
        <v>203</v>
      </c>
      <c r="B139" s="70" t="s">
        <v>192</v>
      </c>
      <c r="C139" s="33" t="s">
        <v>168</v>
      </c>
      <c r="D139" s="33" t="s">
        <v>393</v>
      </c>
      <c r="E139" s="33" t="s">
        <v>29</v>
      </c>
      <c r="F139" s="33" t="s">
        <v>204</v>
      </c>
      <c r="G139" s="81">
        <f t="shared" si="11"/>
        <v>100</v>
      </c>
      <c r="H139" s="81">
        <v>100</v>
      </c>
      <c r="I139" s="81"/>
    </row>
    <row r="140" spans="1:9" ht="84.75" customHeight="1" hidden="1">
      <c r="A140" s="51" t="s">
        <v>787</v>
      </c>
      <c r="B140" s="70" t="s">
        <v>192</v>
      </c>
      <c r="C140" s="33" t="s">
        <v>161</v>
      </c>
      <c r="D140" s="33" t="s">
        <v>181</v>
      </c>
      <c r="E140" s="54" t="s">
        <v>771</v>
      </c>
      <c r="F140" s="33" t="s">
        <v>426</v>
      </c>
      <c r="G140" s="90">
        <f>H140+I140</f>
        <v>0</v>
      </c>
      <c r="H140" s="90"/>
      <c r="I140" s="90">
        <f>I141</f>
        <v>0</v>
      </c>
    </row>
    <row r="141" spans="1:9" ht="84.75" customHeight="1" hidden="1">
      <c r="A141" s="14" t="s">
        <v>199</v>
      </c>
      <c r="B141" s="18" t="s">
        <v>192</v>
      </c>
      <c r="C141" s="33" t="s">
        <v>161</v>
      </c>
      <c r="D141" s="33" t="s">
        <v>181</v>
      </c>
      <c r="E141" s="33" t="s">
        <v>771</v>
      </c>
      <c r="F141" s="33" t="s">
        <v>166</v>
      </c>
      <c r="G141" s="81">
        <f>H141+I141</f>
        <v>0</v>
      </c>
      <c r="H141" s="81"/>
      <c r="I141" s="81">
        <f>I142</f>
        <v>0</v>
      </c>
    </row>
    <row r="142" spans="1:9" ht="30.75" customHeight="1" hidden="1">
      <c r="A142" s="42" t="s">
        <v>201</v>
      </c>
      <c r="B142" s="18" t="s">
        <v>192</v>
      </c>
      <c r="C142" s="33" t="s">
        <v>161</v>
      </c>
      <c r="D142" s="33" t="s">
        <v>181</v>
      </c>
      <c r="E142" s="33" t="s">
        <v>771</v>
      </c>
      <c r="F142" s="33" t="s">
        <v>200</v>
      </c>
      <c r="G142" s="81">
        <f>H142+I142</f>
        <v>0</v>
      </c>
      <c r="H142" s="81"/>
      <c r="I142" s="81">
        <v>0</v>
      </c>
    </row>
    <row r="143" spans="1:9" ht="70.5" customHeight="1" hidden="1">
      <c r="A143" s="51" t="s">
        <v>788</v>
      </c>
      <c r="B143" s="70" t="s">
        <v>192</v>
      </c>
      <c r="C143" s="54" t="s">
        <v>161</v>
      </c>
      <c r="D143" s="54" t="s">
        <v>181</v>
      </c>
      <c r="E143" s="54" t="s">
        <v>772</v>
      </c>
      <c r="F143" s="54" t="s">
        <v>426</v>
      </c>
      <c r="G143" s="90">
        <f>H143</f>
        <v>0</v>
      </c>
      <c r="H143" s="90">
        <f>H144+H146</f>
        <v>0</v>
      </c>
      <c r="I143" s="90"/>
    </row>
    <row r="144" spans="1:9" ht="81.75" customHeight="1" hidden="1">
      <c r="A144" s="14" t="s">
        <v>199</v>
      </c>
      <c r="B144" s="18" t="s">
        <v>192</v>
      </c>
      <c r="C144" s="33" t="s">
        <v>161</v>
      </c>
      <c r="D144" s="33" t="s">
        <v>181</v>
      </c>
      <c r="E144" s="33" t="s">
        <v>772</v>
      </c>
      <c r="F144" s="33" t="s">
        <v>166</v>
      </c>
      <c r="G144" s="81">
        <f>H144</f>
        <v>0</v>
      </c>
      <c r="H144" s="81">
        <f>H145</f>
        <v>0</v>
      </c>
      <c r="I144" s="81"/>
    </row>
    <row r="145" spans="1:9" ht="30" customHeight="1" hidden="1">
      <c r="A145" s="42" t="s">
        <v>201</v>
      </c>
      <c r="B145" s="18" t="s">
        <v>192</v>
      </c>
      <c r="C145" s="33" t="s">
        <v>161</v>
      </c>
      <c r="D145" s="33" t="s">
        <v>181</v>
      </c>
      <c r="E145" s="33" t="s">
        <v>772</v>
      </c>
      <c r="F145" s="33" t="s">
        <v>200</v>
      </c>
      <c r="G145" s="81">
        <f>H145</f>
        <v>0</v>
      </c>
      <c r="H145" s="81">
        <v>0</v>
      </c>
      <c r="I145" s="81"/>
    </row>
    <row r="146" spans="1:9" ht="30.75" customHeight="1" hidden="1">
      <c r="A146" s="14" t="s">
        <v>202</v>
      </c>
      <c r="B146" s="18" t="s">
        <v>192</v>
      </c>
      <c r="C146" s="33" t="s">
        <v>161</v>
      </c>
      <c r="D146" s="33" t="s">
        <v>181</v>
      </c>
      <c r="E146" s="33" t="s">
        <v>772</v>
      </c>
      <c r="F146" s="33" t="s">
        <v>170</v>
      </c>
      <c r="G146" s="81">
        <f>H146</f>
        <v>0</v>
      </c>
      <c r="H146" s="81">
        <f>H147</f>
        <v>0</v>
      </c>
      <c r="I146" s="81"/>
    </row>
    <row r="147" spans="1:9" ht="42" customHeight="1" hidden="1">
      <c r="A147" s="42" t="s">
        <v>203</v>
      </c>
      <c r="B147" s="18" t="s">
        <v>192</v>
      </c>
      <c r="C147" s="33" t="s">
        <v>161</v>
      </c>
      <c r="D147" s="33" t="s">
        <v>181</v>
      </c>
      <c r="E147" s="33" t="s">
        <v>772</v>
      </c>
      <c r="F147" s="33" t="s">
        <v>204</v>
      </c>
      <c r="G147" s="81">
        <f>H147</f>
        <v>0</v>
      </c>
      <c r="H147" s="81">
        <v>0</v>
      </c>
      <c r="I147" s="81"/>
    </row>
    <row r="148" spans="1:9" ht="82.5" customHeight="1" hidden="1">
      <c r="A148" s="51" t="s">
        <v>789</v>
      </c>
      <c r="B148" s="70" t="s">
        <v>192</v>
      </c>
      <c r="C148" s="54" t="s">
        <v>161</v>
      </c>
      <c r="D148" s="54" t="s">
        <v>181</v>
      </c>
      <c r="E148" s="54" t="s">
        <v>790</v>
      </c>
      <c r="F148" s="54" t="s">
        <v>426</v>
      </c>
      <c r="G148" s="90">
        <f aca="true" t="shared" si="12" ref="G148:G155">H148+I148</f>
        <v>0</v>
      </c>
      <c r="H148" s="90"/>
      <c r="I148" s="90">
        <f>I149</f>
        <v>0</v>
      </c>
    </row>
    <row r="149" spans="1:9" ht="33" customHeight="1" hidden="1">
      <c r="A149" s="14" t="s">
        <v>202</v>
      </c>
      <c r="B149" s="18" t="s">
        <v>192</v>
      </c>
      <c r="C149" s="33" t="s">
        <v>161</v>
      </c>
      <c r="D149" s="33" t="s">
        <v>181</v>
      </c>
      <c r="E149" s="33" t="s">
        <v>790</v>
      </c>
      <c r="F149" s="33" t="s">
        <v>170</v>
      </c>
      <c r="G149" s="81">
        <f t="shared" si="12"/>
        <v>0</v>
      </c>
      <c r="H149" s="81"/>
      <c r="I149" s="81">
        <f>I150</f>
        <v>0</v>
      </c>
    </row>
    <row r="150" spans="1:9" ht="41.25" customHeight="1" hidden="1">
      <c r="A150" s="42" t="s">
        <v>203</v>
      </c>
      <c r="B150" s="18" t="s">
        <v>192</v>
      </c>
      <c r="C150" s="33" t="s">
        <v>161</v>
      </c>
      <c r="D150" s="33" t="s">
        <v>181</v>
      </c>
      <c r="E150" s="33" t="s">
        <v>790</v>
      </c>
      <c r="F150" s="33" t="s">
        <v>204</v>
      </c>
      <c r="G150" s="81">
        <f t="shared" si="12"/>
        <v>0</v>
      </c>
      <c r="H150" s="81"/>
      <c r="I150" s="81">
        <v>0</v>
      </c>
    </row>
    <row r="151" spans="1:9" ht="42" customHeight="1" hidden="1">
      <c r="A151" s="75" t="s">
        <v>391</v>
      </c>
      <c r="B151" s="164">
        <v>951</v>
      </c>
      <c r="C151" s="76" t="s">
        <v>168</v>
      </c>
      <c r="D151" s="76" t="s">
        <v>162</v>
      </c>
      <c r="E151" s="76" t="s">
        <v>337</v>
      </c>
      <c r="F151" s="76" t="s">
        <v>426</v>
      </c>
      <c r="G151" s="114">
        <f t="shared" si="12"/>
        <v>0</v>
      </c>
      <c r="H151" s="89">
        <f aca="true" t="shared" si="13" ref="H151:I154">H152</f>
        <v>0</v>
      </c>
      <c r="I151" s="89">
        <f t="shared" si="13"/>
        <v>0</v>
      </c>
    </row>
    <row r="152" spans="1:9" ht="43.5" customHeight="1" hidden="1">
      <c r="A152" s="14" t="s">
        <v>392</v>
      </c>
      <c r="B152" s="73">
        <v>951</v>
      </c>
      <c r="C152" s="33" t="s">
        <v>168</v>
      </c>
      <c r="D152" s="33" t="s">
        <v>393</v>
      </c>
      <c r="E152" s="33" t="s">
        <v>337</v>
      </c>
      <c r="F152" s="33" t="s">
        <v>426</v>
      </c>
      <c r="G152" s="81">
        <f t="shared" si="12"/>
        <v>0</v>
      </c>
      <c r="H152" s="105">
        <f>H153</f>
        <v>0</v>
      </c>
      <c r="I152" s="105">
        <f t="shared" si="13"/>
        <v>0</v>
      </c>
    </row>
    <row r="153" spans="1:9" ht="58.5" customHeight="1" hidden="1">
      <c r="A153" s="14" t="s">
        <v>805</v>
      </c>
      <c r="B153" s="73">
        <v>951</v>
      </c>
      <c r="C153" s="33" t="s">
        <v>168</v>
      </c>
      <c r="D153" s="33" t="s">
        <v>393</v>
      </c>
      <c r="E153" s="33" t="s">
        <v>806</v>
      </c>
      <c r="F153" s="33" t="s">
        <v>426</v>
      </c>
      <c r="G153" s="81">
        <f t="shared" si="12"/>
        <v>0</v>
      </c>
      <c r="H153" s="105">
        <f>H154</f>
        <v>0</v>
      </c>
      <c r="I153" s="105">
        <f t="shared" si="13"/>
        <v>0</v>
      </c>
    </row>
    <row r="154" spans="1:9" ht="34.5" customHeight="1" hidden="1">
      <c r="A154" s="14" t="s">
        <v>202</v>
      </c>
      <c r="B154" s="73">
        <v>951</v>
      </c>
      <c r="C154" s="33" t="s">
        <v>168</v>
      </c>
      <c r="D154" s="33" t="s">
        <v>393</v>
      </c>
      <c r="E154" s="33" t="s">
        <v>806</v>
      </c>
      <c r="F154" s="33" t="s">
        <v>170</v>
      </c>
      <c r="G154" s="81">
        <f t="shared" si="12"/>
        <v>0</v>
      </c>
      <c r="H154" s="105">
        <f>H155</f>
        <v>0</v>
      </c>
      <c r="I154" s="105">
        <f t="shared" si="13"/>
        <v>0</v>
      </c>
    </row>
    <row r="155" spans="1:9" ht="43.5" customHeight="1" hidden="1">
      <c r="A155" s="42" t="s">
        <v>203</v>
      </c>
      <c r="B155" s="73">
        <v>951</v>
      </c>
      <c r="C155" s="33" t="s">
        <v>168</v>
      </c>
      <c r="D155" s="33" t="s">
        <v>393</v>
      </c>
      <c r="E155" s="33" t="s">
        <v>806</v>
      </c>
      <c r="F155" s="33" t="s">
        <v>204</v>
      </c>
      <c r="G155" s="81">
        <f t="shared" si="12"/>
        <v>0</v>
      </c>
      <c r="H155" s="105">
        <v>0</v>
      </c>
      <c r="I155" s="105"/>
    </row>
    <row r="156" spans="1:9" ht="14.25">
      <c r="A156" s="101" t="s">
        <v>395</v>
      </c>
      <c r="B156" s="164">
        <v>951</v>
      </c>
      <c r="C156" s="76" t="s">
        <v>172</v>
      </c>
      <c r="D156" s="76" t="s">
        <v>162</v>
      </c>
      <c r="E156" s="76" t="s">
        <v>337</v>
      </c>
      <c r="F156" s="76" t="s">
        <v>426</v>
      </c>
      <c r="G156" s="114">
        <f>I156+H156</f>
        <v>29636.240299999998</v>
      </c>
      <c r="H156" s="89">
        <f>H161+H174+H195+H157</f>
        <v>26366.94229</v>
      </c>
      <c r="I156" s="89">
        <f>I161+I174+I195+I157+I200</f>
        <v>3269.29801</v>
      </c>
    </row>
    <row r="157" spans="1:9" ht="15">
      <c r="A157" s="14" t="s">
        <v>258</v>
      </c>
      <c r="B157" s="18" t="s">
        <v>192</v>
      </c>
      <c r="C157" s="33" t="s">
        <v>172</v>
      </c>
      <c r="D157" s="33" t="s">
        <v>405</v>
      </c>
      <c r="E157" s="33" t="s">
        <v>337</v>
      </c>
      <c r="F157" s="33" t="s">
        <v>426</v>
      </c>
      <c r="G157" s="81">
        <f t="shared" si="11"/>
        <v>265.91093</v>
      </c>
      <c r="H157" s="81">
        <f>H158</f>
        <v>0</v>
      </c>
      <c r="I157" s="81">
        <f>I158</f>
        <v>265.91093</v>
      </c>
    </row>
    <row r="158" spans="1:9" ht="105">
      <c r="A158" s="14" t="s">
        <v>735</v>
      </c>
      <c r="B158" s="18" t="s">
        <v>192</v>
      </c>
      <c r="C158" s="33" t="s">
        <v>172</v>
      </c>
      <c r="D158" s="33" t="s">
        <v>405</v>
      </c>
      <c r="E158" s="33" t="s">
        <v>49</v>
      </c>
      <c r="F158" s="33" t="s">
        <v>426</v>
      </c>
      <c r="G158" s="81">
        <f t="shared" si="11"/>
        <v>265.91093</v>
      </c>
      <c r="H158" s="81"/>
      <c r="I158" s="81">
        <f>I159</f>
        <v>265.91093</v>
      </c>
    </row>
    <row r="159" spans="1:9" ht="30" customHeight="1">
      <c r="A159" s="14" t="s">
        <v>202</v>
      </c>
      <c r="B159" s="18" t="s">
        <v>192</v>
      </c>
      <c r="C159" s="33" t="s">
        <v>172</v>
      </c>
      <c r="D159" s="33" t="s">
        <v>405</v>
      </c>
      <c r="E159" s="33" t="s">
        <v>49</v>
      </c>
      <c r="F159" s="33" t="s">
        <v>170</v>
      </c>
      <c r="G159" s="81">
        <f t="shared" si="11"/>
        <v>265.91093</v>
      </c>
      <c r="H159" s="81"/>
      <c r="I159" s="81">
        <f>I160</f>
        <v>265.91093</v>
      </c>
    </row>
    <row r="160" spans="1:9" ht="45" customHeight="1">
      <c r="A160" s="42" t="s">
        <v>203</v>
      </c>
      <c r="B160" s="18" t="s">
        <v>192</v>
      </c>
      <c r="C160" s="33" t="s">
        <v>172</v>
      </c>
      <c r="D160" s="33" t="s">
        <v>405</v>
      </c>
      <c r="E160" s="33" t="s">
        <v>49</v>
      </c>
      <c r="F160" s="33" t="s">
        <v>204</v>
      </c>
      <c r="G160" s="81">
        <f t="shared" si="11"/>
        <v>265.91093</v>
      </c>
      <c r="H160" s="81"/>
      <c r="I160" s="81">
        <v>265.91093</v>
      </c>
    </row>
    <row r="161" spans="1:9" ht="15">
      <c r="A161" s="14" t="s">
        <v>433</v>
      </c>
      <c r="B161" s="18">
        <v>951</v>
      </c>
      <c r="C161" s="33" t="s">
        <v>172</v>
      </c>
      <c r="D161" s="33" t="s">
        <v>396</v>
      </c>
      <c r="E161" s="33" t="s">
        <v>337</v>
      </c>
      <c r="F161" s="33" t="s">
        <v>426</v>
      </c>
      <c r="G161" s="81">
        <f t="shared" si="11"/>
        <v>2303.38708</v>
      </c>
      <c r="H161" s="81">
        <f>H162</f>
        <v>2300</v>
      </c>
      <c r="I161" s="81">
        <f>I163+I171</f>
        <v>3.38708</v>
      </c>
    </row>
    <row r="162" spans="1:9" ht="87.75" customHeight="1">
      <c r="A162" s="50" t="s">
        <v>508</v>
      </c>
      <c r="B162" s="70" t="s">
        <v>192</v>
      </c>
      <c r="C162" s="54" t="s">
        <v>172</v>
      </c>
      <c r="D162" s="54" t="s">
        <v>396</v>
      </c>
      <c r="E162" s="54" t="s">
        <v>337</v>
      </c>
      <c r="F162" s="54" t="s">
        <v>426</v>
      </c>
      <c r="G162" s="90">
        <f t="shared" si="11"/>
        <v>2300</v>
      </c>
      <c r="H162" s="90">
        <f>H163+H167</f>
        <v>2300</v>
      </c>
      <c r="I162" s="90"/>
    </row>
    <row r="163" spans="1:9" ht="15">
      <c r="A163" s="14" t="s">
        <v>434</v>
      </c>
      <c r="B163" s="18">
        <v>951</v>
      </c>
      <c r="C163" s="33" t="s">
        <v>172</v>
      </c>
      <c r="D163" s="33" t="s">
        <v>396</v>
      </c>
      <c r="E163" s="33" t="s">
        <v>509</v>
      </c>
      <c r="F163" s="33" t="s">
        <v>426</v>
      </c>
      <c r="G163" s="81">
        <f t="shared" si="11"/>
        <v>2300</v>
      </c>
      <c r="H163" s="81">
        <f>H164+H169</f>
        <v>2300</v>
      </c>
      <c r="I163" s="81">
        <f aca="true" t="shared" si="14" ref="H163:I165">I164</f>
        <v>0</v>
      </c>
    </row>
    <row r="164" spans="1:9" ht="30.75" customHeight="1">
      <c r="A164" s="14" t="s">
        <v>435</v>
      </c>
      <c r="B164" s="18">
        <v>951</v>
      </c>
      <c r="C164" s="33" t="s">
        <v>172</v>
      </c>
      <c r="D164" s="33" t="s">
        <v>396</v>
      </c>
      <c r="E164" s="33" t="s">
        <v>509</v>
      </c>
      <c r="F164" s="33" t="s">
        <v>426</v>
      </c>
      <c r="G164" s="81">
        <f t="shared" si="11"/>
        <v>2296.175</v>
      </c>
      <c r="H164" s="81">
        <f t="shared" si="14"/>
        <v>2296.175</v>
      </c>
      <c r="I164" s="81">
        <f t="shared" si="14"/>
        <v>0</v>
      </c>
    </row>
    <row r="165" spans="1:9" ht="15">
      <c r="A165" s="14" t="s">
        <v>207</v>
      </c>
      <c r="B165" s="18">
        <v>951</v>
      </c>
      <c r="C165" s="33" t="s">
        <v>172</v>
      </c>
      <c r="D165" s="33" t="s">
        <v>396</v>
      </c>
      <c r="E165" s="33" t="s">
        <v>509</v>
      </c>
      <c r="F165" s="33" t="s">
        <v>208</v>
      </c>
      <c r="G165" s="81">
        <f t="shared" si="11"/>
        <v>2296.175</v>
      </c>
      <c r="H165" s="81">
        <f t="shared" si="14"/>
        <v>2296.175</v>
      </c>
      <c r="I165" s="81">
        <f t="shared" si="14"/>
        <v>0</v>
      </c>
    </row>
    <row r="166" spans="1:9" ht="48.75" customHeight="1">
      <c r="A166" s="14" t="s">
        <v>730</v>
      </c>
      <c r="B166" s="18">
        <v>951</v>
      </c>
      <c r="C166" s="33" t="s">
        <v>172</v>
      </c>
      <c r="D166" s="33" t="s">
        <v>396</v>
      </c>
      <c r="E166" s="33" t="s">
        <v>509</v>
      </c>
      <c r="F166" s="33" t="s">
        <v>475</v>
      </c>
      <c r="G166" s="81">
        <f t="shared" si="11"/>
        <v>2296.175</v>
      </c>
      <c r="H166" s="81">
        <f>2300-3.825</f>
        <v>2296.175</v>
      </c>
      <c r="I166" s="81"/>
    </row>
    <row r="167" spans="1:9" ht="17.25" customHeight="1" hidden="1">
      <c r="A167" s="42" t="s">
        <v>213</v>
      </c>
      <c r="B167" s="18">
        <v>951</v>
      </c>
      <c r="C167" s="33" t="s">
        <v>172</v>
      </c>
      <c r="D167" s="33" t="s">
        <v>396</v>
      </c>
      <c r="E167" s="33" t="s">
        <v>702</v>
      </c>
      <c r="F167" s="33" t="s">
        <v>214</v>
      </c>
      <c r="G167" s="81">
        <f>H167+I167</f>
        <v>0</v>
      </c>
      <c r="H167" s="81">
        <f>H168</f>
        <v>0</v>
      </c>
      <c r="I167" s="81"/>
    </row>
    <row r="168" spans="1:9" ht="18.75" customHeight="1" hidden="1">
      <c r="A168" s="42" t="s">
        <v>319</v>
      </c>
      <c r="B168" s="18">
        <v>951</v>
      </c>
      <c r="C168" s="33" t="s">
        <v>172</v>
      </c>
      <c r="D168" s="33" t="s">
        <v>396</v>
      </c>
      <c r="E168" s="33" t="s">
        <v>702</v>
      </c>
      <c r="F168" s="33" t="s">
        <v>472</v>
      </c>
      <c r="G168" s="81">
        <f>H168+I168</f>
        <v>0</v>
      </c>
      <c r="H168" s="81">
        <v>0</v>
      </c>
      <c r="I168" s="81"/>
    </row>
    <row r="169" spans="1:9" ht="32.25" customHeight="1">
      <c r="A169" s="14" t="s">
        <v>202</v>
      </c>
      <c r="B169" s="18">
        <v>951</v>
      </c>
      <c r="C169" s="33" t="s">
        <v>172</v>
      </c>
      <c r="D169" s="33" t="s">
        <v>396</v>
      </c>
      <c r="E169" s="33" t="s">
        <v>509</v>
      </c>
      <c r="F169" s="33" t="s">
        <v>170</v>
      </c>
      <c r="G169" s="81">
        <f>H169</f>
        <v>3.825</v>
      </c>
      <c r="H169" s="81">
        <f>H170</f>
        <v>3.825</v>
      </c>
      <c r="I169" s="81"/>
    </row>
    <row r="170" spans="1:9" ht="52.5" customHeight="1">
      <c r="A170" s="42" t="s">
        <v>203</v>
      </c>
      <c r="B170" s="18">
        <v>951</v>
      </c>
      <c r="C170" s="33" t="s">
        <v>172</v>
      </c>
      <c r="D170" s="33" t="s">
        <v>396</v>
      </c>
      <c r="E170" s="33" t="s">
        <v>509</v>
      </c>
      <c r="F170" s="33" t="s">
        <v>204</v>
      </c>
      <c r="G170" s="81">
        <f>H170</f>
        <v>3.825</v>
      </c>
      <c r="H170" s="81">
        <v>3.825</v>
      </c>
      <c r="I170" s="81"/>
    </row>
    <row r="171" spans="1:9" ht="111.75" customHeight="1">
      <c r="A171" s="51" t="s">
        <v>589</v>
      </c>
      <c r="B171" s="70" t="s">
        <v>192</v>
      </c>
      <c r="C171" s="54" t="s">
        <v>172</v>
      </c>
      <c r="D171" s="54" t="s">
        <v>396</v>
      </c>
      <c r="E171" s="54" t="s">
        <v>337</v>
      </c>
      <c r="F171" s="54" t="s">
        <v>426</v>
      </c>
      <c r="G171" s="90">
        <f>H171+I171</f>
        <v>3.38708</v>
      </c>
      <c r="H171" s="90"/>
      <c r="I171" s="90">
        <f>I172</f>
        <v>3.38708</v>
      </c>
    </row>
    <row r="172" spans="1:9" ht="33" customHeight="1">
      <c r="A172" s="14" t="s">
        <v>202</v>
      </c>
      <c r="B172" s="18" t="s">
        <v>192</v>
      </c>
      <c r="C172" s="33" t="s">
        <v>172</v>
      </c>
      <c r="D172" s="33" t="s">
        <v>396</v>
      </c>
      <c r="E172" s="33" t="s">
        <v>590</v>
      </c>
      <c r="F172" s="33" t="s">
        <v>170</v>
      </c>
      <c r="G172" s="81">
        <f>H172+I172</f>
        <v>3.38708</v>
      </c>
      <c r="H172" s="81"/>
      <c r="I172" s="81">
        <f>I173</f>
        <v>3.38708</v>
      </c>
    </row>
    <row r="173" spans="1:9" ht="33" customHeight="1">
      <c r="A173" s="42" t="s">
        <v>203</v>
      </c>
      <c r="B173" s="18" t="s">
        <v>192</v>
      </c>
      <c r="C173" s="33" t="s">
        <v>172</v>
      </c>
      <c r="D173" s="33" t="s">
        <v>396</v>
      </c>
      <c r="E173" s="33" t="s">
        <v>590</v>
      </c>
      <c r="F173" s="33" t="s">
        <v>204</v>
      </c>
      <c r="G173" s="81">
        <f>H173+I173</f>
        <v>3.38708</v>
      </c>
      <c r="H173" s="81"/>
      <c r="I173" s="81">
        <v>3.38708</v>
      </c>
    </row>
    <row r="174" spans="1:9" ht="17.25" customHeight="1">
      <c r="A174" s="50" t="s">
        <v>397</v>
      </c>
      <c r="B174" s="70">
        <v>951</v>
      </c>
      <c r="C174" s="54" t="s">
        <v>172</v>
      </c>
      <c r="D174" s="54" t="s">
        <v>393</v>
      </c>
      <c r="E174" s="54" t="s">
        <v>337</v>
      </c>
      <c r="F174" s="54" t="s">
        <v>426</v>
      </c>
      <c r="G174" s="90">
        <f t="shared" si="11"/>
        <v>27066.94229</v>
      </c>
      <c r="H174" s="90">
        <f>H175+H188</f>
        <v>24066.94229</v>
      </c>
      <c r="I174" s="90">
        <f>I175</f>
        <v>3000</v>
      </c>
    </row>
    <row r="175" spans="1:9" ht="87" customHeight="1">
      <c r="A175" s="50" t="s">
        <v>508</v>
      </c>
      <c r="B175" s="70" t="s">
        <v>192</v>
      </c>
      <c r="C175" s="54" t="s">
        <v>172</v>
      </c>
      <c r="D175" s="54" t="s">
        <v>393</v>
      </c>
      <c r="E175" s="54" t="s">
        <v>337</v>
      </c>
      <c r="F175" s="54" t="s">
        <v>426</v>
      </c>
      <c r="G175" s="90">
        <f t="shared" si="11"/>
        <v>26946.48429</v>
      </c>
      <c r="H175" s="90">
        <f>H176+H179+H183</f>
        <v>23946.48429</v>
      </c>
      <c r="I175" s="90">
        <f>I176+I183</f>
        <v>3000</v>
      </c>
    </row>
    <row r="176" spans="1:9" ht="33" customHeight="1">
      <c r="A176" s="14" t="s">
        <v>398</v>
      </c>
      <c r="B176" s="18">
        <v>951</v>
      </c>
      <c r="C176" s="33" t="s">
        <v>172</v>
      </c>
      <c r="D176" s="33" t="s">
        <v>393</v>
      </c>
      <c r="E176" s="33" t="s">
        <v>511</v>
      </c>
      <c r="F176" s="33" t="s">
        <v>426</v>
      </c>
      <c r="G176" s="81">
        <f t="shared" si="11"/>
        <v>14490.181260000001</v>
      </c>
      <c r="H176" s="81">
        <f>H177</f>
        <v>14490.181260000001</v>
      </c>
      <c r="I176" s="81">
        <f>I177</f>
        <v>0</v>
      </c>
    </row>
    <row r="177" spans="1:9" ht="33" customHeight="1">
      <c r="A177" s="14" t="s">
        <v>202</v>
      </c>
      <c r="B177" s="18">
        <v>951</v>
      </c>
      <c r="C177" s="33" t="s">
        <v>172</v>
      </c>
      <c r="D177" s="33" t="s">
        <v>393</v>
      </c>
      <c r="E177" s="33" t="s">
        <v>511</v>
      </c>
      <c r="F177" s="33" t="s">
        <v>170</v>
      </c>
      <c r="G177" s="81">
        <f t="shared" si="11"/>
        <v>14490.181260000001</v>
      </c>
      <c r="H177" s="81">
        <f>H178</f>
        <v>14490.181260000001</v>
      </c>
      <c r="I177" s="81">
        <f>I178</f>
        <v>0</v>
      </c>
    </row>
    <row r="178" spans="1:9" ht="41.25" customHeight="1">
      <c r="A178" s="42" t="s">
        <v>203</v>
      </c>
      <c r="B178" s="18">
        <v>951</v>
      </c>
      <c r="C178" s="33" t="s">
        <v>172</v>
      </c>
      <c r="D178" s="33" t="s">
        <v>393</v>
      </c>
      <c r="E178" s="33" t="s">
        <v>511</v>
      </c>
      <c r="F178" s="33" t="s">
        <v>204</v>
      </c>
      <c r="G178" s="81">
        <f t="shared" si="11"/>
        <v>14490.181260000001</v>
      </c>
      <c r="H178" s="81">
        <f>5217-30.30303+9986.48429+161.18502-282-562.18502</f>
        <v>14490.181260000001</v>
      </c>
      <c r="I178" s="81"/>
    </row>
    <row r="179" spans="1:9" ht="15">
      <c r="A179" s="42" t="s">
        <v>213</v>
      </c>
      <c r="B179" s="18">
        <v>951</v>
      </c>
      <c r="C179" s="33" t="s">
        <v>172</v>
      </c>
      <c r="D179" s="33" t="s">
        <v>393</v>
      </c>
      <c r="E179" s="33" t="s">
        <v>510</v>
      </c>
      <c r="F179" s="33" t="s">
        <v>214</v>
      </c>
      <c r="G179" s="81">
        <f t="shared" si="11"/>
        <v>9426</v>
      </c>
      <c r="H179" s="81">
        <f>H180+H181+H182</f>
        <v>9426</v>
      </c>
      <c r="I179" s="81"/>
    </row>
    <row r="180" spans="1:9" ht="15">
      <c r="A180" s="42" t="s">
        <v>319</v>
      </c>
      <c r="B180" s="18">
        <v>951</v>
      </c>
      <c r="C180" s="33" t="s">
        <v>172</v>
      </c>
      <c r="D180" s="33" t="s">
        <v>393</v>
      </c>
      <c r="E180" s="33" t="s">
        <v>510</v>
      </c>
      <c r="F180" s="33" t="s">
        <v>472</v>
      </c>
      <c r="G180" s="81">
        <f t="shared" si="11"/>
        <v>9426</v>
      </c>
      <c r="H180" s="81">
        <f>9542-161.18502-517+562.18502</f>
        <v>9426</v>
      </c>
      <c r="I180" s="81"/>
    </row>
    <row r="181" spans="1:9" ht="90" hidden="1">
      <c r="A181" s="42" t="s">
        <v>531</v>
      </c>
      <c r="B181" s="18">
        <v>952</v>
      </c>
      <c r="C181" s="33" t="s">
        <v>172</v>
      </c>
      <c r="D181" s="33" t="s">
        <v>393</v>
      </c>
      <c r="E181" s="33" t="s">
        <v>532</v>
      </c>
      <c r="F181" s="33" t="s">
        <v>472</v>
      </c>
      <c r="G181" s="81">
        <f>H181</f>
        <v>0</v>
      </c>
      <c r="H181" s="81"/>
      <c r="I181" s="81"/>
    </row>
    <row r="182" spans="1:9" ht="105" hidden="1">
      <c r="A182" s="42" t="s">
        <v>535</v>
      </c>
      <c r="B182" s="18">
        <v>953</v>
      </c>
      <c r="C182" s="33" t="s">
        <v>172</v>
      </c>
      <c r="D182" s="33" t="s">
        <v>393</v>
      </c>
      <c r="E182" s="33" t="s">
        <v>532</v>
      </c>
      <c r="F182" s="33" t="s">
        <v>472</v>
      </c>
      <c r="G182" s="81">
        <f>H182</f>
        <v>0</v>
      </c>
      <c r="H182" s="81"/>
      <c r="I182" s="81"/>
    </row>
    <row r="183" spans="1:9" ht="29.25" customHeight="1">
      <c r="A183" s="51" t="s">
        <v>743</v>
      </c>
      <c r="B183" s="70">
        <v>951</v>
      </c>
      <c r="C183" s="54" t="s">
        <v>172</v>
      </c>
      <c r="D183" s="54" t="s">
        <v>393</v>
      </c>
      <c r="E183" s="54" t="s">
        <v>488</v>
      </c>
      <c r="F183" s="54" t="s">
        <v>426</v>
      </c>
      <c r="G183" s="90">
        <f>H183+I183</f>
        <v>3030.30303</v>
      </c>
      <c r="H183" s="90">
        <f>H185+H187</f>
        <v>30.30303</v>
      </c>
      <c r="I183" s="90">
        <f>I185+I187</f>
        <v>3000</v>
      </c>
    </row>
    <row r="184" spans="1:9" ht="29.25" customHeight="1">
      <c r="A184" s="14" t="s">
        <v>202</v>
      </c>
      <c r="B184" s="18">
        <v>951</v>
      </c>
      <c r="C184" s="33" t="s">
        <v>172</v>
      </c>
      <c r="D184" s="33" t="s">
        <v>393</v>
      </c>
      <c r="E184" s="33" t="s">
        <v>737</v>
      </c>
      <c r="F184" s="33" t="s">
        <v>170</v>
      </c>
      <c r="G184" s="81">
        <f>I184</f>
        <v>3000</v>
      </c>
      <c r="H184" s="81"/>
      <c r="I184" s="81">
        <f>I185</f>
        <v>3000</v>
      </c>
    </row>
    <row r="185" spans="1:9" ht="45">
      <c r="A185" s="42" t="s">
        <v>203</v>
      </c>
      <c r="B185" s="18">
        <v>951</v>
      </c>
      <c r="C185" s="33" t="s">
        <v>172</v>
      </c>
      <c r="D185" s="33" t="s">
        <v>393</v>
      </c>
      <c r="E185" s="33" t="s">
        <v>737</v>
      </c>
      <c r="F185" s="33" t="s">
        <v>204</v>
      </c>
      <c r="G185" s="81">
        <f>H185+I185</f>
        <v>3000</v>
      </c>
      <c r="H185" s="81"/>
      <c r="I185" s="81">
        <v>3000</v>
      </c>
    </row>
    <row r="186" spans="1:9" ht="30">
      <c r="A186" s="14" t="s">
        <v>202</v>
      </c>
      <c r="B186" s="18">
        <v>951</v>
      </c>
      <c r="C186" s="33" t="s">
        <v>172</v>
      </c>
      <c r="D186" s="33" t="s">
        <v>393</v>
      </c>
      <c r="E186" s="33" t="s">
        <v>762</v>
      </c>
      <c r="F186" s="33" t="s">
        <v>170</v>
      </c>
      <c r="G186" s="81">
        <f>H186</f>
        <v>30.30303</v>
      </c>
      <c r="H186" s="81">
        <f>H187</f>
        <v>30.30303</v>
      </c>
      <c r="I186" s="81"/>
    </row>
    <row r="187" spans="1:9" ht="45">
      <c r="A187" s="42" t="s">
        <v>203</v>
      </c>
      <c r="B187" s="18">
        <v>951</v>
      </c>
      <c r="C187" s="33" t="s">
        <v>172</v>
      </c>
      <c r="D187" s="33" t="s">
        <v>393</v>
      </c>
      <c r="E187" s="33" t="s">
        <v>762</v>
      </c>
      <c r="F187" s="33" t="s">
        <v>204</v>
      </c>
      <c r="G187" s="81">
        <f>H187</f>
        <v>30.30303</v>
      </c>
      <c r="H187" s="81">
        <v>30.30303</v>
      </c>
      <c r="I187" s="131"/>
    </row>
    <row r="188" spans="1:9" ht="30.75" customHeight="1">
      <c r="A188" s="51" t="s">
        <v>164</v>
      </c>
      <c r="B188" s="70" t="s">
        <v>192</v>
      </c>
      <c r="C188" s="54" t="s">
        <v>172</v>
      </c>
      <c r="D188" s="54" t="s">
        <v>393</v>
      </c>
      <c r="E188" s="54" t="s">
        <v>19</v>
      </c>
      <c r="F188" s="54" t="s">
        <v>426</v>
      </c>
      <c r="G188" s="90">
        <f t="shared" si="11"/>
        <v>120.458</v>
      </c>
      <c r="H188" s="90">
        <f>H189</f>
        <v>120.458</v>
      </c>
      <c r="I188" s="90"/>
    </row>
    <row r="189" spans="1:9" ht="31.5" customHeight="1">
      <c r="A189" s="42" t="s">
        <v>165</v>
      </c>
      <c r="B189" s="18" t="s">
        <v>192</v>
      </c>
      <c r="C189" s="33" t="s">
        <v>172</v>
      </c>
      <c r="D189" s="33" t="s">
        <v>393</v>
      </c>
      <c r="E189" s="33" t="s">
        <v>20</v>
      </c>
      <c r="F189" s="33" t="s">
        <v>426</v>
      </c>
      <c r="G189" s="81">
        <f t="shared" si="11"/>
        <v>120.458</v>
      </c>
      <c r="H189" s="81">
        <f>H190</f>
        <v>120.458</v>
      </c>
      <c r="I189" s="81"/>
    </row>
    <row r="190" spans="1:9" ht="19.5" customHeight="1">
      <c r="A190" s="14" t="s">
        <v>591</v>
      </c>
      <c r="B190" s="18" t="s">
        <v>192</v>
      </c>
      <c r="C190" s="33" t="s">
        <v>172</v>
      </c>
      <c r="D190" s="33" t="s">
        <v>393</v>
      </c>
      <c r="E190" s="18" t="s">
        <v>592</v>
      </c>
      <c r="F190" s="33" t="s">
        <v>426</v>
      </c>
      <c r="G190" s="81">
        <f t="shared" si="11"/>
        <v>120.458</v>
      </c>
      <c r="H190" s="81">
        <f>H191+H193</f>
        <v>120.458</v>
      </c>
      <c r="I190" s="81"/>
    </row>
    <row r="191" spans="1:9" ht="30.75" customHeight="1" hidden="1">
      <c r="A191" s="14" t="s">
        <v>202</v>
      </c>
      <c r="B191" s="18" t="s">
        <v>192</v>
      </c>
      <c r="C191" s="33" t="s">
        <v>172</v>
      </c>
      <c r="D191" s="33" t="s">
        <v>393</v>
      </c>
      <c r="E191" s="18" t="s">
        <v>592</v>
      </c>
      <c r="F191" s="33" t="s">
        <v>170</v>
      </c>
      <c r="G191" s="81">
        <f t="shared" si="11"/>
        <v>0</v>
      </c>
      <c r="H191" s="81">
        <f>H192</f>
        <v>0</v>
      </c>
      <c r="I191" s="81"/>
    </row>
    <row r="192" spans="1:9" ht="45" customHeight="1" hidden="1">
      <c r="A192" s="42" t="s">
        <v>203</v>
      </c>
      <c r="B192" s="18" t="s">
        <v>192</v>
      </c>
      <c r="C192" s="33" t="s">
        <v>172</v>
      </c>
      <c r="D192" s="33" t="s">
        <v>393</v>
      </c>
      <c r="E192" s="18" t="s">
        <v>592</v>
      </c>
      <c r="F192" s="33" t="s">
        <v>204</v>
      </c>
      <c r="G192" s="81">
        <f t="shared" si="11"/>
        <v>0</v>
      </c>
      <c r="H192" s="81">
        <v>0</v>
      </c>
      <c r="I192" s="81"/>
    </row>
    <row r="193" spans="1:9" ht="18" customHeight="1">
      <c r="A193" s="14" t="s">
        <v>207</v>
      </c>
      <c r="B193" s="18" t="s">
        <v>192</v>
      </c>
      <c r="C193" s="33" t="s">
        <v>172</v>
      </c>
      <c r="D193" s="33" t="s">
        <v>393</v>
      </c>
      <c r="E193" s="18" t="s">
        <v>592</v>
      </c>
      <c r="F193" s="33" t="s">
        <v>208</v>
      </c>
      <c r="G193" s="81">
        <f t="shared" si="11"/>
        <v>120.458</v>
      </c>
      <c r="H193" s="81">
        <f>H194</f>
        <v>120.458</v>
      </c>
      <c r="I193" s="81"/>
    </row>
    <row r="194" spans="1:9" ht="15" customHeight="1">
      <c r="A194" s="34" t="s">
        <v>205</v>
      </c>
      <c r="B194" s="18" t="s">
        <v>192</v>
      </c>
      <c r="C194" s="33" t="s">
        <v>172</v>
      </c>
      <c r="D194" s="33" t="s">
        <v>393</v>
      </c>
      <c r="E194" s="18" t="s">
        <v>592</v>
      </c>
      <c r="F194" s="33" t="s">
        <v>206</v>
      </c>
      <c r="G194" s="81">
        <f t="shared" si="11"/>
        <v>120.458</v>
      </c>
      <c r="H194" s="81">
        <f>80.3+40.158</f>
        <v>120.458</v>
      </c>
      <c r="I194" s="81"/>
    </row>
    <row r="195" spans="1:9" ht="30" hidden="1">
      <c r="A195" s="14" t="s">
        <v>377</v>
      </c>
      <c r="B195" s="73">
        <v>951</v>
      </c>
      <c r="C195" s="33" t="s">
        <v>172</v>
      </c>
      <c r="D195" s="33" t="s">
        <v>399</v>
      </c>
      <c r="E195" s="33" t="s">
        <v>337</v>
      </c>
      <c r="F195" s="33" t="s">
        <v>426</v>
      </c>
      <c r="G195" s="81">
        <f t="shared" si="11"/>
        <v>0</v>
      </c>
      <c r="H195" s="105">
        <f>H196</f>
        <v>0</v>
      </c>
      <c r="I195" s="105">
        <f>I196</f>
        <v>0</v>
      </c>
    </row>
    <row r="196" spans="1:9" ht="43.5" customHeight="1" hidden="1">
      <c r="A196" s="50" t="s">
        <v>485</v>
      </c>
      <c r="B196" s="73">
        <v>951</v>
      </c>
      <c r="C196" s="33" t="s">
        <v>172</v>
      </c>
      <c r="D196" s="33" t="s">
        <v>399</v>
      </c>
      <c r="E196" s="54" t="s">
        <v>486</v>
      </c>
      <c r="F196" s="33" t="s">
        <v>426</v>
      </c>
      <c r="G196" s="81">
        <f t="shared" si="11"/>
        <v>0</v>
      </c>
      <c r="H196" s="105">
        <f aca="true" t="shared" si="15" ref="H196:I198">H197</f>
        <v>0</v>
      </c>
      <c r="I196" s="105">
        <f t="shared" si="15"/>
        <v>0</v>
      </c>
    </row>
    <row r="197" spans="1:9" ht="99" customHeight="1" hidden="1">
      <c r="A197" s="14" t="s">
        <v>401</v>
      </c>
      <c r="B197" s="73">
        <v>951</v>
      </c>
      <c r="C197" s="33" t="s">
        <v>172</v>
      </c>
      <c r="D197" s="33" t="s">
        <v>399</v>
      </c>
      <c r="E197" s="33" t="s">
        <v>487</v>
      </c>
      <c r="F197" s="33" t="s">
        <v>426</v>
      </c>
      <c r="G197" s="81">
        <f t="shared" si="11"/>
        <v>0</v>
      </c>
      <c r="H197" s="105">
        <f t="shared" si="15"/>
        <v>0</v>
      </c>
      <c r="I197" s="105">
        <f t="shared" si="15"/>
        <v>0</v>
      </c>
    </row>
    <row r="198" spans="1:9" ht="16.5" customHeight="1" hidden="1">
      <c r="A198" s="14" t="s">
        <v>207</v>
      </c>
      <c r="B198" s="73">
        <v>951</v>
      </c>
      <c r="C198" s="33" t="s">
        <v>172</v>
      </c>
      <c r="D198" s="33" t="s">
        <v>399</v>
      </c>
      <c r="E198" s="33" t="s">
        <v>487</v>
      </c>
      <c r="F198" s="33" t="s">
        <v>208</v>
      </c>
      <c r="G198" s="81">
        <f t="shared" si="11"/>
        <v>0</v>
      </c>
      <c r="H198" s="105">
        <f t="shared" si="15"/>
        <v>0</v>
      </c>
      <c r="I198" s="105">
        <f t="shared" si="15"/>
        <v>0</v>
      </c>
    </row>
    <row r="199" spans="1:9" ht="48" customHeight="1" hidden="1">
      <c r="A199" s="14" t="s">
        <v>730</v>
      </c>
      <c r="B199" s="73">
        <v>951</v>
      </c>
      <c r="C199" s="33" t="s">
        <v>172</v>
      </c>
      <c r="D199" s="33" t="s">
        <v>399</v>
      </c>
      <c r="E199" s="33" t="s">
        <v>487</v>
      </c>
      <c r="F199" s="33" t="s">
        <v>403</v>
      </c>
      <c r="G199" s="81">
        <f t="shared" si="11"/>
        <v>0</v>
      </c>
      <c r="H199" s="105">
        <f>100-100</f>
        <v>0</v>
      </c>
      <c r="I199" s="105"/>
    </row>
    <row r="200" spans="1:9" ht="15" hidden="1">
      <c r="A200" s="50"/>
      <c r="B200" s="70"/>
      <c r="C200" s="54"/>
      <c r="D200" s="54"/>
      <c r="E200" s="54"/>
      <c r="F200" s="54"/>
      <c r="G200" s="90"/>
      <c r="H200" s="90"/>
      <c r="I200" s="90"/>
    </row>
    <row r="201" spans="1:9" ht="15" hidden="1">
      <c r="A201" s="42"/>
      <c r="B201" s="73"/>
      <c r="C201" s="33"/>
      <c r="D201" s="33"/>
      <c r="E201" s="33"/>
      <c r="F201" s="33"/>
      <c r="G201" s="81"/>
      <c r="H201" s="105"/>
      <c r="I201" s="105"/>
    </row>
    <row r="202" spans="1:9" ht="15" hidden="1">
      <c r="A202" s="42"/>
      <c r="B202" s="73"/>
      <c r="C202" s="33"/>
      <c r="D202" s="33"/>
      <c r="E202" s="33"/>
      <c r="F202" s="33"/>
      <c r="G202" s="81"/>
      <c r="H202" s="105"/>
      <c r="I202" s="105"/>
    </row>
    <row r="203" spans="1:9" ht="29.25" customHeight="1">
      <c r="A203" s="101" t="s">
        <v>404</v>
      </c>
      <c r="B203" s="164">
        <v>951</v>
      </c>
      <c r="C203" s="76" t="s">
        <v>405</v>
      </c>
      <c r="D203" s="76" t="s">
        <v>162</v>
      </c>
      <c r="E203" s="76" t="s">
        <v>337</v>
      </c>
      <c r="F203" s="76" t="s">
        <v>426</v>
      </c>
      <c r="G203" s="114">
        <f>H203+I203</f>
        <v>8848.713529999999</v>
      </c>
      <c r="H203" s="89">
        <f>H204+H237+H228</f>
        <v>7464.531999999999</v>
      </c>
      <c r="I203" s="89">
        <f>I204+I237+I228</f>
        <v>1384.18153</v>
      </c>
    </row>
    <row r="204" spans="1:9" ht="15">
      <c r="A204" s="50" t="s">
        <v>378</v>
      </c>
      <c r="B204" s="70">
        <v>951</v>
      </c>
      <c r="C204" s="54" t="s">
        <v>405</v>
      </c>
      <c r="D204" s="54" t="s">
        <v>163</v>
      </c>
      <c r="E204" s="54" t="s">
        <v>337</v>
      </c>
      <c r="F204" s="54" t="s">
        <v>426</v>
      </c>
      <c r="G204" s="90">
        <f t="shared" si="11"/>
        <v>2768.88629</v>
      </c>
      <c r="H204" s="90">
        <f>H205+H209+H212+H215+H220+H225</f>
        <v>1386.3999999999999</v>
      </c>
      <c r="I204" s="90">
        <f>I205+I215</f>
        <v>1382.48629</v>
      </c>
    </row>
    <row r="205" spans="1:9" ht="17.25" customHeight="1">
      <c r="A205" s="14" t="s">
        <v>379</v>
      </c>
      <c r="B205" s="18">
        <v>951</v>
      </c>
      <c r="C205" s="33" t="s">
        <v>405</v>
      </c>
      <c r="D205" s="33" t="s">
        <v>163</v>
      </c>
      <c r="E205" s="33" t="s">
        <v>33</v>
      </c>
      <c r="F205" s="33" t="s">
        <v>426</v>
      </c>
      <c r="G205" s="81">
        <f>H205+I205</f>
        <v>503.9</v>
      </c>
      <c r="H205" s="81">
        <f>H206</f>
        <v>503.9</v>
      </c>
      <c r="I205" s="81">
        <f aca="true" t="shared" si="16" ref="H205:I207">I206</f>
        <v>0</v>
      </c>
    </row>
    <row r="206" spans="1:9" ht="30">
      <c r="A206" s="14" t="s">
        <v>593</v>
      </c>
      <c r="B206" s="18">
        <v>951</v>
      </c>
      <c r="C206" s="33" t="s">
        <v>405</v>
      </c>
      <c r="D206" s="33" t="s">
        <v>163</v>
      </c>
      <c r="E206" s="33" t="s">
        <v>33</v>
      </c>
      <c r="F206" s="33" t="s">
        <v>426</v>
      </c>
      <c r="G206" s="81">
        <f t="shared" si="11"/>
        <v>503.9</v>
      </c>
      <c r="H206" s="81">
        <f t="shared" si="16"/>
        <v>503.9</v>
      </c>
      <c r="I206" s="81">
        <f t="shared" si="16"/>
        <v>0</v>
      </c>
    </row>
    <row r="207" spans="1:9" ht="30" customHeight="1">
      <c r="A207" s="14" t="s">
        <v>202</v>
      </c>
      <c r="B207" s="18">
        <v>951</v>
      </c>
      <c r="C207" s="33" t="s">
        <v>405</v>
      </c>
      <c r="D207" s="33" t="s">
        <v>163</v>
      </c>
      <c r="E207" s="33" t="s">
        <v>33</v>
      </c>
      <c r="F207" s="33" t="s">
        <v>170</v>
      </c>
      <c r="G207" s="81">
        <f t="shared" si="11"/>
        <v>503.9</v>
      </c>
      <c r="H207" s="81">
        <f t="shared" si="16"/>
        <v>503.9</v>
      </c>
      <c r="I207" s="81">
        <f t="shared" si="16"/>
        <v>0</v>
      </c>
    </row>
    <row r="208" spans="1:9" ht="43.5" customHeight="1">
      <c r="A208" s="42" t="s">
        <v>203</v>
      </c>
      <c r="B208" s="18">
        <v>951</v>
      </c>
      <c r="C208" s="33" t="s">
        <v>405</v>
      </c>
      <c r="D208" s="33" t="s">
        <v>163</v>
      </c>
      <c r="E208" s="33" t="s">
        <v>33</v>
      </c>
      <c r="F208" s="33" t="s">
        <v>204</v>
      </c>
      <c r="G208" s="81">
        <f t="shared" si="11"/>
        <v>503.9</v>
      </c>
      <c r="H208" s="81">
        <v>503.9</v>
      </c>
      <c r="I208" s="81"/>
    </row>
    <row r="209" spans="1:9" ht="30">
      <c r="A209" s="14" t="s">
        <v>507</v>
      </c>
      <c r="B209" s="18">
        <v>951</v>
      </c>
      <c r="C209" s="33" t="s">
        <v>405</v>
      </c>
      <c r="D209" s="33" t="s">
        <v>163</v>
      </c>
      <c r="E209" s="33" t="s">
        <v>101</v>
      </c>
      <c r="F209" s="33" t="s">
        <v>426</v>
      </c>
      <c r="G209" s="81">
        <f t="shared" si="11"/>
        <v>670.9</v>
      </c>
      <c r="H209" s="81">
        <f>H210</f>
        <v>670.9</v>
      </c>
      <c r="I209" s="81"/>
    </row>
    <row r="210" spans="1:9" ht="30">
      <c r="A210" s="14" t="s">
        <v>202</v>
      </c>
      <c r="B210" s="18">
        <v>951</v>
      </c>
      <c r="C210" s="33" t="s">
        <v>405</v>
      </c>
      <c r="D210" s="33" t="s">
        <v>163</v>
      </c>
      <c r="E210" s="33" t="s">
        <v>101</v>
      </c>
      <c r="F210" s="33" t="s">
        <v>170</v>
      </c>
      <c r="G210" s="81">
        <f t="shared" si="11"/>
        <v>670.9</v>
      </c>
      <c r="H210" s="81">
        <f>H211</f>
        <v>670.9</v>
      </c>
      <c r="I210" s="81"/>
    </row>
    <row r="211" spans="1:9" ht="45">
      <c r="A211" s="42" t="s">
        <v>203</v>
      </c>
      <c r="B211" s="18">
        <v>951</v>
      </c>
      <c r="C211" s="33" t="s">
        <v>405</v>
      </c>
      <c r="D211" s="33" t="s">
        <v>163</v>
      </c>
      <c r="E211" s="33" t="s">
        <v>101</v>
      </c>
      <c r="F211" s="33" t="s">
        <v>204</v>
      </c>
      <c r="G211" s="81">
        <f t="shared" si="11"/>
        <v>670.9</v>
      </c>
      <c r="H211" s="81">
        <f>655.9+15</f>
        <v>670.9</v>
      </c>
      <c r="I211" s="81"/>
    </row>
    <row r="212" spans="1:9" ht="45" hidden="1">
      <c r="A212" s="51" t="s">
        <v>773</v>
      </c>
      <c r="B212" s="70">
        <v>951</v>
      </c>
      <c r="C212" s="54" t="s">
        <v>405</v>
      </c>
      <c r="D212" s="54" t="s">
        <v>163</v>
      </c>
      <c r="E212" s="54" t="s">
        <v>774</v>
      </c>
      <c r="F212" s="54" t="s">
        <v>426</v>
      </c>
      <c r="G212" s="90">
        <f t="shared" si="11"/>
        <v>0</v>
      </c>
      <c r="H212" s="90">
        <f>H213</f>
        <v>0</v>
      </c>
      <c r="I212" s="81"/>
    </row>
    <row r="213" spans="1:9" ht="30" hidden="1">
      <c r="A213" s="14" t="s">
        <v>202</v>
      </c>
      <c r="B213" s="18">
        <v>951</v>
      </c>
      <c r="C213" s="33" t="s">
        <v>405</v>
      </c>
      <c r="D213" s="33" t="s">
        <v>163</v>
      </c>
      <c r="E213" s="33" t="s">
        <v>774</v>
      </c>
      <c r="F213" s="33" t="s">
        <v>170</v>
      </c>
      <c r="G213" s="81">
        <f t="shared" si="11"/>
        <v>0</v>
      </c>
      <c r="H213" s="81">
        <f>H214</f>
        <v>0</v>
      </c>
      <c r="I213" s="81"/>
    </row>
    <row r="214" spans="1:9" ht="45" hidden="1">
      <c r="A214" s="42" t="s">
        <v>203</v>
      </c>
      <c r="B214" s="18">
        <v>951</v>
      </c>
      <c r="C214" s="33" t="s">
        <v>405</v>
      </c>
      <c r="D214" s="33" t="s">
        <v>163</v>
      </c>
      <c r="E214" s="33" t="s">
        <v>774</v>
      </c>
      <c r="F214" s="33" t="s">
        <v>204</v>
      </c>
      <c r="G214" s="81">
        <f t="shared" si="11"/>
        <v>0</v>
      </c>
      <c r="H214" s="81">
        <v>0</v>
      </c>
      <c r="I214" s="81"/>
    </row>
    <row r="215" spans="1:9" ht="69.75" customHeight="1">
      <c r="A215" s="50" t="s">
        <v>594</v>
      </c>
      <c r="B215" s="70" t="s">
        <v>192</v>
      </c>
      <c r="C215" s="54" t="s">
        <v>405</v>
      </c>
      <c r="D215" s="54" t="s">
        <v>163</v>
      </c>
      <c r="E215" s="54" t="s">
        <v>595</v>
      </c>
      <c r="F215" s="54" t="s">
        <v>426</v>
      </c>
      <c r="G215" s="90">
        <f t="shared" si="11"/>
        <v>1412.48629</v>
      </c>
      <c r="H215" s="90">
        <f>H216</f>
        <v>30</v>
      </c>
      <c r="I215" s="90">
        <f>I216</f>
        <v>1382.48629</v>
      </c>
    </row>
    <row r="216" spans="1:9" ht="60">
      <c r="A216" s="42" t="s">
        <v>596</v>
      </c>
      <c r="B216" s="18" t="s">
        <v>192</v>
      </c>
      <c r="C216" s="33" t="s">
        <v>405</v>
      </c>
      <c r="D216" s="33" t="s">
        <v>163</v>
      </c>
      <c r="E216" s="33" t="s">
        <v>595</v>
      </c>
      <c r="F216" s="33" t="s">
        <v>426</v>
      </c>
      <c r="G216" s="81">
        <f t="shared" si="11"/>
        <v>1412.48629</v>
      </c>
      <c r="H216" s="81">
        <f>H217</f>
        <v>30</v>
      </c>
      <c r="I216" s="81">
        <f>I217</f>
        <v>1382.48629</v>
      </c>
    </row>
    <row r="217" spans="1:9" ht="15">
      <c r="A217" s="14" t="s">
        <v>207</v>
      </c>
      <c r="B217" s="18" t="s">
        <v>192</v>
      </c>
      <c r="C217" s="33" t="s">
        <v>405</v>
      </c>
      <c r="D217" s="33" t="s">
        <v>163</v>
      </c>
      <c r="E217" s="33" t="s">
        <v>595</v>
      </c>
      <c r="F217" s="33" t="s">
        <v>208</v>
      </c>
      <c r="G217" s="81">
        <f t="shared" si="11"/>
        <v>1412.48629</v>
      </c>
      <c r="H217" s="81">
        <f>H219</f>
        <v>30</v>
      </c>
      <c r="I217" s="81">
        <f>I218</f>
        <v>1382.48629</v>
      </c>
    </row>
    <row r="218" spans="1:9" ht="41.25" customHeight="1">
      <c r="A218" s="14" t="s">
        <v>733</v>
      </c>
      <c r="B218" s="18" t="s">
        <v>192</v>
      </c>
      <c r="C218" s="33" t="s">
        <v>405</v>
      </c>
      <c r="D218" s="33" t="s">
        <v>163</v>
      </c>
      <c r="E218" s="33" t="s">
        <v>597</v>
      </c>
      <c r="F218" s="33" t="s">
        <v>475</v>
      </c>
      <c r="G218" s="81">
        <f t="shared" si="11"/>
        <v>1382.48629</v>
      </c>
      <c r="H218" s="81"/>
      <c r="I218" s="81">
        <v>1382.48629</v>
      </c>
    </row>
    <row r="219" spans="1:9" ht="43.5" customHeight="1">
      <c r="A219" s="14" t="s">
        <v>734</v>
      </c>
      <c r="B219" s="18" t="s">
        <v>192</v>
      </c>
      <c r="C219" s="33" t="s">
        <v>405</v>
      </c>
      <c r="D219" s="33" t="s">
        <v>163</v>
      </c>
      <c r="E219" s="33" t="s">
        <v>761</v>
      </c>
      <c r="F219" s="33" t="s">
        <v>475</v>
      </c>
      <c r="G219" s="81">
        <f t="shared" si="11"/>
        <v>30</v>
      </c>
      <c r="H219" s="81">
        <f>20+10</f>
        <v>30</v>
      </c>
      <c r="I219" s="81"/>
    </row>
    <row r="220" spans="1:9" ht="33" customHeight="1">
      <c r="A220" s="51" t="s">
        <v>164</v>
      </c>
      <c r="B220" s="18" t="s">
        <v>192</v>
      </c>
      <c r="C220" s="33" t="s">
        <v>405</v>
      </c>
      <c r="D220" s="33" t="s">
        <v>163</v>
      </c>
      <c r="E220" s="54" t="s">
        <v>19</v>
      </c>
      <c r="F220" s="54" t="s">
        <v>426</v>
      </c>
      <c r="G220" s="90">
        <f t="shared" si="11"/>
        <v>100</v>
      </c>
      <c r="H220" s="90">
        <f>H221</f>
        <v>100</v>
      </c>
      <c r="I220" s="81"/>
    </row>
    <row r="221" spans="1:9" ht="30.75" customHeight="1">
      <c r="A221" s="42" t="s">
        <v>165</v>
      </c>
      <c r="B221" s="18" t="s">
        <v>192</v>
      </c>
      <c r="C221" s="33" t="s">
        <v>405</v>
      </c>
      <c r="D221" s="33" t="s">
        <v>163</v>
      </c>
      <c r="E221" s="33" t="s">
        <v>20</v>
      </c>
      <c r="F221" s="33" t="s">
        <v>426</v>
      </c>
      <c r="G221" s="81">
        <f t="shared" si="11"/>
        <v>100</v>
      </c>
      <c r="H221" s="81">
        <f>H222</f>
        <v>100</v>
      </c>
      <c r="I221" s="81"/>
    </row>
    <row r="222" spans="1:9" ht="105">
      <c r="A222" s="71" t="s">
        <v>598</v>
      </c>
      <c r="B222" s="83" t="s">
        <v>192</v>
      </c>
      <c r="C222" s="69" t="s">
        <v>405</v>
      </c>
      <c r="D222" s="69" t="s">
        <v>163</v>
      </c>
      <c r="E222" s="69" t="s">
        <v>599</v>
      </c>
      <c r="F222" s="69" t="s">
        <v>426</v>
      </c>
      <c r="G222" s="84">
        <f t="shared" si="11"/>
        <v>100</v>
      </c>
      <c r="H222" s="84">
        <f>H223</f>
        <v>100</v>
      </c>
      <c r="I222" s="84"/>
    </row>
    <row r="223" spans="1:9" ht="30">
      <c r="A223" s="14" t="s">
        <v>202</v>
      </c>
      <c r="B223" s="18" t="s">
        <v>192</v>
      </c>
      <c r="C223" s="33" t="s">
        <v>405</v>
      </c>
      <c r="D223" s="33" t="s">
        <v>163</v>
      </c>
      <c r="E223" s="33" t="s">
        <v>599</v>
      </c>
      <c r="F223" s="33" t="s">
        <v>170</v>
      </c>
      <c r="G223" s="81">
        <f t="shared" si="11"/>
        <v>100</v>
      </c>
      <c r="H223" s="81">
        <f>H224</f>
        <v>100</v>
      </c>
      <c r="I223" s="81"/>
    </row>
    <row r="224" spans="1:9" ht="45" customHeight="1">
      <c r="A224" s="42" t="s">
        <v>203</v>
      </c>
      <c r="B224" s="18" t="s">
        <v>192</v>
      </c>
      <c r="C224" s="33" t="s">
        <v>405</v>
      </c>
      <c r="D224" s="33" t="s">
        <v>163</v>
      </c>
      <c r="E224" s="33" t="s">
        <v>599</v>
      </c>
      <c r="F224" s="33" t="s">
        <v>204</v>
      </c>
      <c r="G224" s="81">
        <f t="shared" si="11"/>
        <v>100</v>
      </c>
      <c r="H224" s="81">
        <f>250-150</f>
        <v>100</v>
      </c>
      <c r="I224" s="81"/>
    </row>
    <row r="225" spans="1:9" ht="57.75" customHeight="1">
      <c r="A225" s="51" t="s">
        <v>551</v>
      </c>
      <c r="B225" s="70" t="s">
        <v>192</v>
      </c>
      <c r="C225" s="54" t="s">
        <v>405</v>
      </c>
      <c r="D225" s="54" t="s">
        <v>163</v>
      </c>
      <c r="E225" s="54" t="s">
        <v>337</v>
      </c>
      <c r="F225" s="54" t="s">
        <v>426</v>
      </c>
      <c r="G225" s="90">
        <f t="shared" si="11"/>
        <v>81.6</v>
      </c>
      <c r="H225" s="90">
        <f>H226</f>
        <v>81.6</v>
      </c>
      <c r="I225" s="90"/>
    </row>
    <row r="226" spans="1:9" ht="27.75" customHeight="1">
      <c r="A226" s="72" t="s">
        <v>202</v>
      </c>
      <c r="B226" s="73" t="s">
        <v>192</v>
      </c>
      <c r="C226" s="22" t="s">
        <v>405</v>
      </c>
      <c r="D226" s="22" t="s">
        <v>163</v>
      </c>
      <c r="E226" s="33" t="s">
        <v>691</v>
      </c>
      <c r="F226" s="33" t="s">
        <v>170</v>
      </c>
      <c r="G226" s="105">
        <f t="shared" si="11"/>
        <v>81.6</v>
      </c>
      <c r="H226" s="105">
        <f>H227</f>
        <v>81.6</v>
      </c>
      <c r="I226" s="81"/>
    </row>
    <row r="227" spans="1:9" ht="42" customHeight="1">
      <c r="A227" s="74" t="s">
        <v>203</v>
      </c>
      <c r="B227" s="73" t="s">
        <v>192</v>
      </c>
      <c r="C227" s="22" t="s">
        <v>405</v>
      </c>
      <c r="D227" s="22" t="s">
        <v>163</v>
      </c>
      <c r="E227" s="33" t="s">
        <v>691</v>
      </c>
      <c r="F227" s="33" t="s">
        <v>204</v>
      </c>
      <c r="G227" s="105">
        <f t="shared" si="11"/>
        <v>81.6</v>
      </c>
      <c r="H227" s="105">
        <f>31.6+50</f>
        <v>81.6</v>
      </c>
      <c r="I227" s="81"/>
    </row>
    <row r="228" spans="1:9" ht="15">
      <c r="A228" s="51" t="s">
        <v>410</v>
      </c>
      <c r="B228" s="70">
        <v>951</v>
      </c>
      <c r="C228" s="54" t="s">
        <v>405</v>
      </c>
      <c r="D228" s="54" t="s">
        <v>168</v>
      </c>
      <c r="E228" s="54" t="s">
        <v>337</v>
      </c>
      <c r="F228" s="54" t="s">
        <v>426</v>
      </c>
      <c r="G228" s="90">
        <f t="shared" si="11"/>
        <v>2422.002</v>
      </c>
      <c r="H228" s="90">
        <f>H229+H232</f>
        <v>2422.002</v>
      </c>
      <c r="I228" s="90">
        <f>I229+I232</f>
        <v>0</v>
      </c>
    </row>
    <row r="229" spans="1:9" ht="15">
      <c r="A229" s="42" t="s">
        <v>411</v>
      </c>
      <c r="B229" s="18">
        <v>951</v>
      </c>
      <c r="C229" s="33" t="s">
        <v>405</v>
      </c>
      <c r="D229" s="33" t="s">
        <v>168</v>
      </c>
      <c r="E229" s="33" t="s">
        <v>34</v>
      </c>
      <c r="F229" s="33" t="s">
        <v>426</v>
      </c>
      <c r="G229" s="81">
        <f t="shared" si="11"/>
        <v>75</v>
      </c>
      <c r="H229" s="81">
        <f>H230</f>
        <v>75</v>
      </c>
      <c r="I229" s="81">
        <f>I230</f>
        <v>0</v>
      </c>
    </row>
    <row r="230" spans="1:9" ht="30">
      <c r="A230" s="14" t="s">
        <v>202</v>
      </c>
      <c r="B230" s="18">
        <v>951</v>
      </c>
      <c r="C230" s="33" t="s">
        <v>405</v>
      </c>
      <c r="D230" s="33" t="s">
        <v>168</v>
      </c>
      <c r="E230" s="33" t="s">
        <v>34</v>
      </c>
      <c r="F230" s="33" t="s">
        <v>170</v>
      </c>
      <c r="G230" s="81">
        <f t="shared" si="11"/>
        <v>75</v>
      </c>
      <c r="H230" s="81">
        <f>H231</f>
        <v>75</v>
      </c>
      <c r="I230" s="81">
        <f>I231</f>
        <v>0</v>
      </c>
    </row>
    <row r="231" spans="1:9" ht="45">
      <c r="A231" s="42" t="s">
        <v>203</v>
      </c>
      <c r="B231" s="18">
        <v>951</v>
      </c>
      <c r="C231" s="33" t="s">
        <v>405</v>
      </c>
      <c r="D231" s="33" t="s">
        <v>168</v>
      </c>
      <c r="E231" s="33" t="s">
        <v>34</v>
      </c>
      <c r="F231" s="33" t="s">
        <v>204</v>
      </c>
      <c r="G231" s="81">
        <f t="shared" si="11"/>
        <v>75</v>
      </c>
      <c r="H231" s="81">
        <f>90-15</f>
        <v>75</v>
      </c>
      <c r="I231" s="81"/>
    </row>
    <row r="232" spans="1:9" ht="15">
      <c r="A232" s="42" t="s">
        <v>412</v>
      </c>
      <c r="B232" s="18">
        <v>951</v>
      </c>
      <c r="C232" s="33" t="s">
        <v>405</v>
      </c>
      <c r="D232" s="33" t="s">
        <v>168</v>
      </c>
      <c r="E232" s="33" t="s">
        <v>35</v>
      </c>
      <c r="F232" s="33" t="s">
        <v>426</v>
      </c>
      <c r="G232" s="81">
        <f t="shared" si="11"/>
        <v>2347.002</v>
      </c>
      <c r="H232" s="81">
        <f>H233+H235</f>
        <v>2347.002</v>
      </c>
      <c r="I232" s="81">
        <f>I233</f>
        <v>0</v>
      </c>
    </row>
    <row r="233" spans="1:9" ht="30">
      <c r="A233" s="14" t="s">
        <v>202</v>
      </c>
      <c r="B233" s="18">
        <v>951</v>
      </c>
      <c r="C233" s="33" t="s">
        <v>405</v>
      </c>
      <c r="D233" s="33" t="s">
        <v>168</v>
      </c>
      <c r="E233" s="33" t="s">
        <v>35</v>
      </c>
      <c r="F233" s="33" t="s">
        <v>170</v>
      </c>
      <c r="G233" s="81">
        <f t="shared" si="11"/>
        <v>2050.404</v>
      </c>
      <c r="H233" s="81">
        <f>H234</f>
        <v>2050.404</v>
      </c>
      <c r="I233" s="81">
        <f>I234</f>
        <v>0</v>
      </c>
    </row>
    <row r="234" spans="1:9" ht="45">
      <c r="A234" s="42" t="s">
        <v>203</v>
      </c>
      <c r="B234" s="18">
        <v>951</v>
      </c>
      <c r="C234" s="33" t="s">
        <v>405</v>
      </c>
      <c r="D234" s="33" t="s">
        <v>168</v>
      </c>
      <c r="E234" s="33" t="s">
        <v>35</v>
      </c>
      <c r="F234" s="33" t="s">
        <v>204</v>
      </c>
      <c r="G234" s="81">
        <f t="shared" si="11"/>
        <v>2050.404</v>
      </c>
      <c r="H234" s="81">
        <f>100+1950.4+0.004</f>
        <v>2050.404</v>
      </c>
      <c r="I234" s="81"/>
    </row>
    <row r="235" spans="1:9" ht="45">
      <c r="A235" s="42" t="s">
        <v>621</v>
      </c>
      <c r="B235" s="18" t="s">
        <v>192</v>
      </c>
      <c r="C235" s="33" t="s">
        <v>405</v>
      </c>
      <c r="D235" s="33" t="s">
        <v>168</v>
      </c>
      <c r="E235" s="33" t="s">
        <v>35</v>
      </c>
      <c r="F235" s="33" t="s">
        <v>622</v>
      </c>
      <c r="G235" s="81">
        <f>H235</f>
        <v>296.598</v>
      </c>
      <c r="H235" s="81">
        <f>H236</f>
        <v>296.598</v>
      </c>
      <c r="I235" s="81"/>
    </row>
    <row r="236" spans="1:9" ht="15">
      <c r="A236" s="42" t="s">
        <v>623</v>
      </c>
      <c r="B236" s="18" t="s">
        <v>192</v>
      </c>
      <c r="C236" s="33" t="s">
        <v>405</v>
      </c>
      <c r="D236" s="33" t="s">
        <v>168</v>
      </c>
      <c r="E236" s="33" t="s">
        <v>35</v>
      </c>
      <c r="F236" s="33" t="s">
        <v>624</v>
      </c>
      <c r="G236" s="81">
        <f>H236</f>
        <v>296.598</v>
      </c>
      <c r="H236" s="81">
        <v>296.598</v>
      </c>
      <c r="I236" s="81"/>
    </row>
    <row r="237" spans="1:9" ht="30">
      <c r="A237" s="14" t="s">
        <v>382</v>
      </c>
      <c r="B237" s="18">
        <v>951</v>
      </c>
      <c r="C237" s="33" t="s">
        <v>405</v>
      </c>
      <c r="D237" s="33" t="s">
        <v>405</v>
      </c>
      <c r="E237" s="33" t="s">
        <v>337</v>
      </c>
      <c r="F237" s="33" t="s">
        <v>426</v>
      </c>
      <c r="G237" s="81">
        <f t="shared" si="11"/>
        <v>3657.82524</v>
      </c>
      <c r="H237" s="81">
        <f aca="true" t="shared" si="17" ref="H237:I239">H238</f>
        <v>3656.13</v>
      </c>
      <c r="I237" s="81">
        <f>I238+I245</f>
        <v>1.69524</v>
      </c>
    </row>
    <row r="238" spans="1:9" ht="30">
      <c r="A238" s="14" t="s">
        <v>164</v>
      </c>
      <c r="B238" s="18">
        <v>951</v>
      </c>
      <c r="C238" s="33" t="s">
        <v>405</v>
      </c>
      <c r="D238" s="33" t="s">
        <v>405</v>
      </c>
      <c r="E238" s="33" t="s">
        <v>19</v>
      </c>
      <c r="F238" s="33" t="s">
        <v>426</v>
      </c>
      <c r="G238" s="81">
        <f t="shared" si="11"/>
        <v>3656.13</v>
      </c>
      <c r="H238" s="81">
        <f t="shared" si="17"/>
        <v>3656.13</v>
      </c>
      <c r="I238" s="81">
        <f t="shared" si="17"/>
        <v>0</v>
      </c>
    </row>
    <row r="239" spans="1:9" ht="45">
      <c r="A239" s="14" t="s">
        <v>165</v>
      </c>
      <c r="B239" s="18">
        <v>951</v>
      </c>
      <c r="C239" s="33" t="s">
        <v>405</v>
      </c>
      <c r="D239" s="33" t="s">
        <v>405</v>
      </c>
      <c r="E239" s="33" t="s">
        <v>20</v>
      </c>
      <c r="F239" s="33" t="s">
        <v>426</v>
      </c>
      <c r="G239" s="81">
        <f t="shared" si="11"/>
        <v>3656.13</v>
      </c>
      <c r="H239" s="81">
        <f t="shared" si="17"/>
        <v>3656.13</v>
      </c>
      <c r="I239" s="81">
        <f t="shared" si="17"/>
        <v>0</v>
      </c>
    </row>
    <row r="240" spans="1:11" ht="45">
      <c r="A240" s="14" t="s">
        <v>406</v>
      </c>
      <c r="B240" s="18">
        <v>951</v>
      </c>
      <c r="C240" s="33" t="s">
        <v>405</v>
      </c>
      <c r="D240" s="33" t="s">
        <v>405</v>
      </c>
      <c r="E240" s="33" t="s">
        <v>23</v>
      </c>
      <c r="F240" s="33" t="s">
        <v>426</v>
      </c>
      <c r="G240" s="81">
        <f t="shared" si="11"/>
        <v>3656.13</v>
      </c>
      <c r="H240" s="81">
        <f>H241+H243</f>
        <v>3656.13</v>
      </c>
      <c r="I240" s="81">
        <f>I241+I243</f>
        <v>0</v>
      </c>
      <c r="J240" s="246"/>
      <c r="K240" s="80"/>
    </row>
    <row r="241" spans="1:9" ht="90">
      <c r="A241" s="14" t="s">
        <v>199</v>
      </c>
      <c r="B241" s="18">
        <v>951</v>
      </c>
      <c r="C241" s="33" t="s">
        <v>405</v>
      </c>
      <c r="D241" s="33" t="s">
        <v>405</v>
      </c>
      <c r="E241" s="33" t="s">
        <v>23</v>
      </c>
      <c r="F241" s="33" t="s">
        <v>166</v>
      </c>
      <c r="G241" s="81">
        <f t="shared" si="11"/>
        <v>3582.5</v>
      </c>
      <c r="H241" s="81">
        <f>H242</f>
        <v>3582.5</v>
      </c>
      <c r="I241" s="81">
        <f>I242</f>
        <v>0</v>
      </c>
    </row>
    <row r="242" spans="1:9" ht="30">
      <c r="A242" s="42" t="s">
        <v>201</v>
      </c>
      <c r="B242" s="18">
        <v>951</v>
      </c>
      <c r="C242" s="33" t="s">
        <v>405</v>
      </c>
      <c r="D242" s="33" t="s">
        <v>405</v>
      </c>
      <c r="E242" s="33" t="s">
        <v>23</v>
      </c>
      <c r="F242" s="33" t="s">
        <v>200</v>
      </c>
      <c r="G242" s="81">
        <f t="shared" si="11"/>
        <v>3582.5</v>
      </c>
      <c r="H242" s="81">
        <f>2717+45+820.5</f>
        <v>3582.5</v>
      </c>
      <c r="I242" s="81"/>
    </row>
    <row r="243" spans="1:9" ht="30">
      <c r="A243" s="14" t="s">
        <v>202</v>
      </c>
      <c r="B243" s="18">
        <v>951</v>
      </c>
      <c r="C243" s="33" t="s">
        <v>405</v>
      </c>
      <c r="D243" s="33" t="s">
        <v>405</v>
      </c>
      <c r="E243" s="33" t="s">
        <v>23</v>
      </c>
      <c r="F243" s="33" t="s">
        <v>170</v>
      </c>
      <c r="G243" s="81">
        <f t="shared" si="11"/>
        <v>73.63</v>
      </c>
      <c r="H243" s="81">
        <f>H244</f>
        <v>73.63</v>
      </c>
      <c r="I243" s="81">
        <f>I244</f>
        <v>0</v>
      </c>
    </row>
    <row r="244" spans="1:9" ht="45">
      <c r="A244" s="42" t="s">
        <v>203</v>
      </c>
      <c r="B244" s="18">
        <v>951</v>
      </c>
      <c r="C244" s="33" t="s">
        <v>405</v>
      </c>
      <c r="D244" s="33" t="s">
        <v>405</v>
      </c>
      <c r="E244" s="33" t="s">
        <v>23</v>
      </c>
      <c r="F244" s="33" t="s">
        <v>204</v>
      </c>
      <c r="G244" s="81">
        <f t="shared" si="11"/>
        <v>73.63</v>
      </c>
      <c r="H244" s="81">
        <f>58.63+15</f>
        <v>73.63</v>
      </c>
      <c r="I244" s="81"/>
    </row>
    <row r="245" spans="1:9" ht="75">
      <c r="A245" s="42" t="s">
        <v>758</v>
      </c>
      <c r="B245" s="18" t="s">
        <v>192</v>
      </c>
      <c r="C245" s="33" t="s">
        <v>405</v>
      </c>
      <c r="D245" s="33" t="s">
        <v>405</v>
      </c>
      <c r="E245" s="33" t="s">
        <v>36</v>
      </c>
      <c r="F245" s="33" t="s">
        <v>426</v>
      </c>
      <c r="G245" s="81">
        <f t="shared" si="11"/>
        <v>1.69524</v>
      </c>
      <c r="H245" s="81"/>
      <c r="I245" s="81">
        <f>I246</f>
        <v>1.69524</v>
      </c>
    </row>
    <row r="246" spans="1:9" ht="83.25" customHeight="1">
      <c r="A246" s="42" t="s">
        <v>380</v>
      </c>
      <c r="B246" s="18" t="s">
        <v>192</v>
      </c>
      <c r="C246" s="33" t="s">
        <v>405</v>
      </c>
      <c r="D246" s="33" t="s">
        <v>405</v>
      </c>
      <c r="E246" s="33" t="s">
        <v>36</v>
      </c>
      <c r="F246" s="33" t="s">
        <v>166</v>
      </c>
      <c r="G246" s="81">
        <f t="shared" si="11"/>
        <v>1.69524</v>
      </c>
      <c r="H246" s="81"/>
      <c r="I246" s="81">
        <f>I247</f>
        <v>1.69524</v>
      </c>
    </row>
    <row r="247" spans="1:9" ht="30">
      <c r="A247" s="42" t="s">
        <v>201</v>
      </c>
      <c r="B247" s="18" t="s">
        <v>192</v>
      </c>
      <c r="C247" s="33" t="s">
        <v>405</v>
      </c>
      <c r="D247" s="33" t="s">
        <v>405</v>
      </c>
      <c r="E247" s="33" t="s">
        <v>36</v>
      </c>
      <c r="F247" s="33" t="s">
        <v>200</v>
      </c>
      <c r="G247" s="81">
        <f t="shared" si="11"/>
        <v>1.69524</v>
      </c>
      <c r="H247" s="81"/>
      <c r="I247" s="81">
        <v>1.69524</v>
      </c>
    </row>
    <row r="248" spans="1:9" ht="30" hidden="1">
      <c r="A248" s="42" t="s">
        <v>202</v>
      </c>
      <c r="B248" s="18" t="s">
        <v>192</v>
      </c>
      <c r="C248" s="33" t="s">
        <v>405</v>
      </c>
      <c r="D248" s="33" t="s">
        <v>405</v>
      </c>
      <c r="E248" s="33" t="s">
        <v>36</v>
      </c>
      <c r="F248" s="33" t="s">
        <v>170</v>
      </c>
      <c r="G248" s="81">
        <f t="shared" si="11"/>
        <v>0</v>
      </c>
      <c r="H248" s="81"/>
      <c r="I248" s="81">
        <f>I249</f>
        <v>0</v>
      </c>
    </row>
    <row r="249" spans="1:9" ht="45" hidden="1">
      <c r="A249" s="42" t="s">
        <v>203</v>
      </c>
      <c r="B249" s="18" t="s">
        <v>192</v>
      </c>
      <c r="C249" s="33" t="s">
        <v>405</v>
      </c>
      <c r="D249" s="33" t="s">
        <v>405</v>
      </c>
      <c r="E249" s="33" t="s">
        <v>36</v>
      </c>
      <c r="F249" s="33" t="s">
        <v>204</v>
      </c>
      <c r="G249" s="81">
        <f t="shared" si="11"/>
        <v>0</v>
      </c>
      <c r="H249" s="81"/>
      <c r="I249" s="81"/>
    </row>
    <row r="250" spans="1:9" ht="14.25">
      <c r="A250" s="216" t="s">
        <v>383</v>
      </c>
      <c r="B250" s="164">
        <v>951</v>
      </c>
      <c r="C250" s="164" t="s">
        <v>408</v>
      </c>
      <c r="D250" s="164" t="s">
        <v>162</v>
      </c>
      <c r="E250" s="164" t="s">
        <v>337</v>
      </c>
      <c r="F250" s="164" t="s">
        <v>426</v>
      </c>
      <c r="G250" s="114">
        <f>I250+H250</f>
        <v>16552.447999999997</v>
      </c>
      <c r="H250" s="89">
        <f>H262+H285+H289+H292</f>
        <v>14686.599999999999</v>
      </c>
      <c r="I250" s="89">
        <f>I262+I285+I289+I292+I299</f>
        <v>1865.848</v>
      </c>
    </row>
    <row r="251" spans="1:9" ht="15" hidden="1">
      <c r="A251" s="97" t="s">
        <v>185</v>
      </c>
      <c r="B251" s="73">
        <v>951</v>
      </c>
      <c r="C251" s="22" t="s">
        <v>408</v>
      </c>
      <c r="D251" s="22" t="s">
        <v>163</v>
      </c>
      <c r="E251" s="73" t="s">
        <v>337</v>
      </c>
      <c r="F251" s="73" t="s">
        <v>426</v>
      </c>
      <c r="G251" s="105">
        <f>H251+I251</f>
        <v>0</v>
      </c>
      <c r="H251" s="105">
        <f>H252</f>
        <v>0</v>
      </c>
      <c r="I251" s="105">
        <f>I252</f>
        <v>0</v>
      </c>
    </row>
    <row r="252" spans="1:9" ht="30" hidden="1">
      <c r="A252" s="98" t="s">
        <v>306</v>
      </c>
      <c r="B252" s="73">
        <v>951</v>
      </c>
      <c r="C252" s="22" t="s">
        <v>408</v>
      </c>
      <c r="D252" s="22" t="s">
        <v>163</v>
      </c>
      <c r="E252" s="22" t="s">
        <v>64</v>
      </c>
      <c r="F252" s="22" t="s">
        <v>426</v>
      </c>
      <c r="G252" s="105">
        <f aca="true" t="shared" si="18" ref="G252:G277">H252+I252</f>
        <v>0</v>
      </c>
      <c r="H252" s="105">
        <f>H253+H256</f>
        <v>0</v>
      </c>
      <c r="I252" s="105">
        <f>I253+I256+I285</f>
        <v>0</v>
      </c>
    </row>
    <row r="253" spans="1:9" ht="30" hidden="1">
      <c r="A253" s="72" t="s">
        <v>228</v>
      </c>
      <c r="B253" s="73" t="s">
        <v>192</v>
      </c>
      <c r="C253" s="22" t="s">
        <v>408</v>
      </c>
      <c r="D253" s="22" t="s">
        <v>163</v>
      </c>
      <c r="E253" s="22" t="s">
        <v>65</v>
      </c>
      <c r="F253" s="22" t="s">
        <v>426</v>
      </c>
      <c r="G253" s="105">
        <f t="shared" si="18"/>
        <v>0</v>
      </c>
      <c r="H253" s="105">
        <f>H254</f>
        <v>0</v>
      </c>
      <c r="I253" s="105"/>
    </row>
    <row r="254" spans="1:9" ht="45" hidden="1">
      <c r="A254" s="72" t="s">
        <v>225</v>
      </c>
      <c r="B254" s="73" t="s">
        <v>192</v>
      </c>
      <c r="C254" s="22" t="s">
        <v>408</v>
      </c>
      <c r="D254" s="22" t="s">
        <v>163</v>
      </c>
      <c r="E254" s="22" t="s">
        <v>65</v>
      </c>
      <c r="F254" s="22" t="s">
        <v>226</v>
      </c>
      <c r="G254" s="105">
        <f t="shared" si="18"/>
        <v>0</v>
      </c>
      <c r="H254" s="105">
        <f>H255</f>
        <v>0</v>
      </c>
      <c r="I254" s="105"/>
    </row>
    <row r="255" spans="1:9" ht="15" hidden="1">
      <c r="A255" s="72" t="s">
        <v>227</v>
      </c>
      <c r="B255" s="73" t="s">
        <v>192</v>
      </c>
      <c r="C255" s="22" t="s">
        <v>408</v>
      </c>
      <c r="D255" s="22" t="s">
        <v>163</v>
      </c>
      <c r="E255" s="22" t="s">
        <v>68</v>
      </c>
      <c r="F255" s="22" t="s">
        <v>304</v>
      </c>
      <c r="G255" s="105">
        <f t="shared" si="18"/>
        <v>0</v>
      </c>
      <c r="H255" s="105"/>
      <c r="I255" s="105"/>
    </row>
    <row r="256" spans="1:9" ht="30" hidden="1">
      <c r="A256" s="72" t="s">
        <v>229</v>
      </c>
      <c r="B256" s="73" t="s">
        <v>192</v>
      </c>
      <c r="C256" s="22" t="s">
        <v>408</v>
      </c>
      <c r="D256" s="22" t="s">
        <v>163</v>
      </c>
      <c r="E256" s="22" t="s">
        <v>65</v>
      </c>
      <c r="F256" s="22" t="s">
        <v>426</v>
      </c>
      <c r="G256" s="105">
        <f t="shared" si="18"/>
        <v>0</v>
      </c>
      <c r="H256" s="105">
        <f>H257</f>
        <v>0</v>
      </c>
      <c r="I256" s="105"/>
    </row>
    <row r="257" spans="1:9" ht="45" hidden="1">
      <c r="A257" s="72" t="s">
        <v>225</v>
      </c>
      <c r="B257" s="73" t="s">
        <v>192</v>
      </c>
      <c r="C257" s="22" t="s">
        <v>408</v>
      </c>
      <c r="D257" s="22" t="s">
        <v>163</v>
      </c>
      <c r="E257" s="22" t="s">
        <v>65</v>
      </c>
      <c r="F257" s="22" t="s">
        <v>226</v>
      </c>
      <c r="G257" s="105">
        <f t="shared" si="18"/>
        <v>0</v>
      </c>
      <c r="H257" s="105">
        <f>H258</f>
        <v>0</v>
      </c>
      <c r="I257" s="105"/>
    </row>
    <row r="258" spans="1:9" ht="15" hidden="1">
      <c r="A258" s="72" t="s">
        <v>227</v>
      </c>
      <c r="B258" s="73">
        <v>951</v>
      </c>
      <c r="C258" s="22" t="s">
        <v>408</v>
      </c>
      <c r="D258" s="22" t="s">
        <v>163</v>
      </c>
      <c r="E258" s="22" t="s">
        <v>69</v>
      </c>
      <c r="F258" s="22" t="s">
        <v>304</v>
      </c>
      <c r="G258" s="105">
        <f t="shared" si="18"/>
        <v>0</v>
      </c>
      <c r="H258" s="105"/>
      <c r="I258" s="105"/>
    </row>
    <row r="259" spans="1:9" ht="60" hidden="1">
      <c r="A259" s="50" t="s">
        <v>504</v>
      </c>
      <c r="B259" s="73" t="s">
        <v>192</v>
      </c>
      <c r="C259" s="22" t="s">
        <v>408</v>
      </c>
      <c r="D259" s="22" t="s">
        <v>408</v>
      </c>
      <c r="E259" s="22" t="s">
        <v>488</v>
      </c>
      <c r="F259" s="22" t="s">
        <v>426</v>
      </c>
      <c r="G259" s="105">
        <f t="shared" si="18"/>
        <v>0</v>
      </c>
      <c r="H259" s="105">
        <f>H260</f>
        <v>0</v>
      </c>
      <c r="I259" s="105"/>
    </row>
    <row r="260" spans="1:9" ht="30" hidden="1">
      <c r="A260" s="14" t="s">
        <v>202</v>
      </c>
      <c r="B260" s="73" t="s">
        <v>192</v>
      </c>
      <c r="C260" s="22" t="s">
        <v>408</v>
      </c>
      <c r="D260" s="22" t="s">
        <v>408</v>
      </c>
      <c r="E260" s="22" t="s">
        <v>489</v>
      </c>
      <c r="F260" s="22" t="s">
        <v>170</v>
      </c>
      <c r="G260" s="105">
        <f t="shared" si="18"/>
        <v>0</v>
      </c>
      <c r="H260" s="105">
        <f>H261</f>
        <v>0</v>
      </c>
      <c r="I260" s="105"/>
    </row>
    <row r="261" spans="1:9" ht="45" hidden="1">
      <c r="A261" s="72" t="s">
        <v>203</v>
      </c>
      <c r="B261" s="73" t="s">
        <v>192</v>
      </c>
      <c r="C261" s="22" t="s">
        <v>408</v>
      </c>
      <c r="D261" s="22" t="s">
        <v>408</v>
      </c>
      <c r="E261" s="22" t="s">
        <v>489</v>
      </c>
      <c r="F261" s="22" t="s">
        <v>204</v>
      </c>
      <c r="G261" s="105">
        <f t="shared" si="18"/>
        <v>0</v>
      </c>
      <c r="H261" s="105">
        <v>0</v>
      </c>
      <c r="I261" s="105"/>
    </row>
    <row r="262" spans="1:9" ht="18.75" customHeight="1">
      <c r="A262" s="50" t="s">
        <v>608</v>
      </c>
      <c r="B262" s="70" t="s">
        <v>192</v>
      </c>
      <c r="C262" s="54" t="s">
        <v>408</v>
      </c>
      <c r="D262" s="54" t="s">
        <v>168</v>
      </c>
      <c r="E262" s="54" t="s">
        <v>337</v>
      </c>
      <c r="F262" s="54" t="s">
        <v>426</v>
      </c>
      <c r="G262" s="90">
        <f t="shared" si="18"/>
        <v>11117.4</v>
      </c>
      <c r="H262" s="90">
        <f>H263+H274+H278</f>
        <v>11117.4</v>
      </c>
      <c r="I262" s="90">
        <f>I263+I274+I278</f>
        <v>0</v>
      </c>
    </row>
    <row r="263" spans="1:9" ht="45">
      <c r="A263" s="67" t="s">
        <v>490</v>
      </c>
      <c r="B263" s="70" t="s">
        <v>192</v>
      </c>
      <c r="C263" s="54" t="s">
        <v>408</v>
      </c>
      <c r="D263" s="54" t="s">
        <v>168</v>
      </c>
      <c r="E263" s="54" t="s">
        <v>337</v>
      </c>
      <c r="F263" s="54" t="s">
        <v>426</v>
      </c>
      <c r="G263" s="90">
        <f t="shared" si="18"/>
        <v>11117.4</v>
      </c>
      <c r="H263" s="90">
        <f>H264</f>
        <v>11117.4</v>
      </c>
      <c r="I263" s="90"/>
    </row>
    <row r="264" spans="1:9" ht="31.5" customHeight="1">
      <c r="A264" s="98" t="s">
        <v>306</v>
      </c>
      <c r="B264" s="73" t="s">
        <v>192</v>
      </c>
      <c r="C264" s="22" t="s">
        <v>408</v>
      </c>
      <c r="D264" s="22" t="s">
        <v>168</v>
      </c>
      <c r="E264" s="22" t="s">
        <v>64</v>
      </c>
      <c r="F264" s="22" t="s">
        <v>426</v>
      </c>
      <c r="G264" s="81">
        <f t="shared" si="18"/>
        <v>11117.4</v>
      </c>
      <c r="H264" s="105">
        <f>H265+H268+H271</f>
        <v>11117.4</v>
      </c>
      <c r="I264" s="105"/>
    </row>
    <row r="265" spans="1:9" ht="30">
      <c r="A265" s="72" t="s">
        <v>912</v>
      </c>
      <c r="B265" s="73" t="s">
        <v>192</v>
      </c>
      <c r="C265" s="22" t="s">
        <v>408</v>
      </c>
      <c r="D265" s="22" t="s">
        <v>168</v>
      </c>
      <c r="E265" s="22" t="s">
        <v>913</v>
      </c>
      <c r="F265" s="22" t="s">
        <v>426</v>
      </c>
      <c r="G265" s="81">
        <f>H265</f>
        <v>800</v>
      </c>
      <c r="H265" s="105">
        <f>H266</f>
        <v>800</v>
      </c>
      <c r="I265" s="105"/>
    </row>
    <row r="266" spans="1:9" ht="45">
      <c r="A266" s="72" t="s">
        <v>225</v>
      </c>
      <c r="B266" s="73" t="s">
        <v>192</v>
      </c>
      <c r="C266" s="22" t="s">
        <v>408</v>
      </c>
      <c r="D266" s="22" t="s">
        <v>168</v>
      </c>
      <c r="E266" s="22" t="s">
        <v>913</v>
      </c>
      <c r="F266" s="22" t="s">
        <v>226</v>
      </c>
      <c r="G266" s="81">
        <f>H266</f>
        <v>800</v>
      </c>
      <c r="H266" s="105">
        <f>H267</f>
        <v>800</v>
      </c>
      <c r="I266" s="105"/>
    </row>
    <row r="267" spans="1:9" ht="15">
      <c r="A267" s="72" t="s">
        <v>227</v>
      </c>
      <c r="B267" s="73" t="s">
        <v>192</v>
      </c>
      <c r="C267" s="22" t="s">
        <v>408</v>
      </c>
      <c r="D267" s="22" t="s">
        <v>168</v>
      </c>
      <c r="E267" s="22" t="s">
        <v>913</v>
      </c>
      <c r="F267" s="22" t="s">
        <v>304</v>
      </c>
      <c r="G267" s="81">
        <f>H267</f>
        <v>800</v>
      </c>
      <c r="H267" s="105">
        <v>800</v>
      </c>
      <c r="I267" s="105"/>
    </row>
    <row r="268" spans="1:9" ht="30">
      <c r="A268" s="72" t="s">
        <v>228</v>
      </c>
      <c r="B268" s="73" t="s">
        <v>192</v>
      </c>
      <c r="C268" s="22" t="s">
        <v>408</v>
      </c>
      <c r="D268" s="22" t="s">
        <v>168</v>
      </c>
      <c r="E268" s="22" t="s">
        <v>65</v>
      </c>
      <c r="F268" s="22" t="s">
        <v>426</v>
      </c>
      <c r="G268" s="81">
        <f t="shared" si="18"/>
        <v>7071.46</v>
      </c>
      <c r="H268" s="105">
        <f>H269</f>
        <v>7071.46</v>
      </c>
      <c r="I268" s="105"/>
    </row>
    <row r="269" spans="1:9" ht="45">
      <c r="A269" s="72" t="s">
        <v>225</v>
      </c>
      <c r="B269" s="73" t="s">
        <v>192</v>
      </c>
      <c r="C269" s="22" t="s">
        <v>408</v>
      </c>
      <c r="D269" s="22" t="s">
        <v>168</v>
      </c>
      <c r="E269" s="22" t="s">
        <v>65</v>
      </c>
      <c r="F269" s="22" t="s">
        <v>226</v>
      </c>
      <c r="G269" s="81">
        <f t="shared" si="18"/>
        <v>7071.46</v>
      </c>
      <c r="H269" s="105">
        <f>H270</f>
        <v>7071.46</v>
      </c>
      <c r="I269" s="105"/>
    </row>
    <row r="270" spans="1:9" ht="15">
      <c r="A270" s="72" t="s">
        <v>227</v>
      </c>
      <c r="B270" s="73" t="s">
        <v>192</v>
      </c>
      <c r="C270" s="22" t="s">
        <v>408</v>
      </c>
      <c r="D270" s="22" t="s">
        <v>168</v>
      </c>
      <c r="E270" s="22" t="s">
        <v>68</v>
      </c>
      <c r="F270" s="22" t="s">
        <v>304</v>
      </c>
      <c r="G270" s="81">
        <f t="shared" si="18"/>
        <v>7071.46</v>
      </c>
      <c r="H270" s="105">
        <f>4998.16+1893.3+180</f>
        <v>7071.46</v>
      </c>
      <c r="I270" s="105"/>
    </row>
    <row r="271" spans="1:9" ht="30">
      <c r="A271" s="72" t="s">
        <v>229</v>
      </c>
      <c r="B271" s="73" t="s">
        <v>192</v>
      </c>
      <c r="C271" s="22" t="s">
        <v>408</v>
      </c>
      <c r="D271" s="22" t="s">
        <v>168</v>
      </c>
      <c r="E271" s="22" t="s">
        <v>65</v>
      </c>
      <c r="F271" s="22" t="s">
        <v>426</v>
      </c>
      <c r="G271" s="81">
        <f t="shared" si="18"/>
        <v>3245.9399999999996</v>
      </c>
      <c r="H271" s="105">
        <f>H272</f>
        <v>3245.9399999999996</v>
      </c>
      <c r="I271" s="105"/>
    </row>
    <row r="272" spans="1:9" ht="45">
      <c r="A272" s="72" t="s">
        <v>225</v>
      </c>
      <c r="B272" s="73" t="s">
        <v>192</v>
      </c>
      <c r="C272" s="22" t="s">
        <v>408</v>
      </c>
      <c r="D272" s="22" t="s">
        <v>168</v>
      </c>
      <c r="E272" s="22" t="s">
        <v>65</v>
      </c>
      <c r="F272" s="22" t="s">
        <v>226</v>
      </c>
      <c r="G272" s="81">
        <f t="shared" si="18"/>
        <v>3245.9399999999996</v>
      </c>
      <c r="H272" s="105">
        <f>H273</f>
        <v>3245.9399999999996</v>
      </c>
      <c r="I272" s="105"/>
    </row>
    <row r="273" spans="1:9" ht="15">
      <c r="A273" s="72" t="s">
        <v>227</v>
      </c>
      <c r="B273" s="73" t="s">
        <v>192</v>
      </c>
      <c r="C273" s="22" t="s">
        <v>408</v>
      </c>
      <c r="D273" s="22" t="s">
        <v>168</v>
      </c>
      <c r="E273" s="22" t="s">
        <v>69</v>
      </c>
      <c r="F273" s="22" t="s">
        <v>304</v>
      </c>
      <c r="G273" s="81">
        <f t="shared" si="18"/>
        <v>3245.9399999999996</v>
      </c>
      <c r="H273" s="105">
        <f>2235.64+910.3+100</f>
        <v>3245.9399999999996</v>
      </c>
      <c r="I273" s="105"/>
    </row>
    <row r="274" spans="1:9" ht="30" hidden="1">
      <c r="A274" s="122" t="s">
        <v>600</v>
      </c>
      <c r="B274" s="73" t="s">
        <v>192</v>
      </c>
      <c r="C274" s="22" t="s">
        <v>408</v>
      </c>
      <c r="D274" s="22" t="s">
        <v>168</v>
      </c>
      <c r="E274" s="69" t="s">
        <v>337</v>
      </c>
      <c r="F274" s="69" t="s">
        <v>426</v>
      </c>
      <c r="G274" s="81">
        <f t="shared" si="18"/>
        <v>0</v>
      </c>
      <c r="H274" s="84">
        <f>H275</f>
        <v>0</v>
      </c>
      <c r="I274" s="84"/>
    </row>
    <row r="275" spans="1:9" ht="30" hidden="1">
      <c r="A275" s="72" t="s">
        <v>609</v>
      </c>
      <c r="B275" s="73" t="s">
        <v>192</v>
      </c>
      <c r="C275" s="22" t="s">
        <v>408</v>
      </c>
      <c r="D275" s="22" t="s">
        <v>168</v>
      </c>
      <c r="E275" s="33" t="s">
        <v>337</v>
      </c>
      <c r="F275" s="33" t="s">
        <v>426</v>
      </c>
      <c r="G275" s="81">
        <f t="shared" si="18"/>
        <v>0</v>
      </c>
      <c r="H275" s="81">
        <f>H276</f>
        <v>0</v>
      </c>
      <c r="I275" s="81"/>
    </row>
    <row r="276" spans="1:9" ht="45" hidden="1">
      <c r="A276" s="72" t="s">
        <v>225</v>
      </c>
      <c r="B276" s="73" t="s">
        <v>192</v>
      </c>
      <c r="C276" s="22" t="s">
        <v>408</v>
      </c>
      <c r="D276" s="22" t="s">
        <v>168</v>
      </c>
      <c r="E276" s="33" t="s">
        <v>602</v>
      </c>
      <c r="F276" s="33" t="s">
        <v>226</v>
      </c>
      <c r="G276" s="81">
        <f t="shared" si="18"/>
        <v>0</v>
      </c>
      <c r="H276" s="81">
        <f>H277</f>
        <v>0</v>
      </c>
      <c r="I276" s="81"/>
    </row>
    <row r="277" spans="1:9" ht="15" hidden="1">
      <c r="A277" s="72" t="s">
        <v>227</v>
      </c>
      <c r="B277" s="73" t="s">
        <v>192</v>
      </c>
      <c r="C277" s="22" t="s">
        <v>408</v>
      </c>
      <c r="D277" s="22" t="s">
        <v>168</v>
      </c>
      <c r="E277" s="33" t="s">
        <v>602</v>
      </c>
      <c r="F277" s="33" t="s">
        <v>304</v>
      </c>
      <c r="G277" s="81">
        <f t="shared" si="18"/>
        <v>0</v>
      </c>
      <c r="H277" s="81"/>
      <c r="I277" s="81"/>
    </row>
    <row r="278" spans="1:9" ht="60" hidden="1">
      <c r="A278" s="50" t="s">
        <v>503</v>
      </c>
      <c r="B278" s="73" t="s">
        <v>192</v>
      </c>
      <c r="C278" s="22" t="s">
        <v>408</v>
      </c>
      <c r="D278" s="22" t="s">
        <v>168</v>
      </c>
      <c r="E278" s="54" t="s">
        <v>337</v>
      </c>
      <c r="F278" s="54" t="s">
        <v>426</v>
      </c>
      <c r="G278" s="90">
        <f>G279</f>
        <v>0</v>
      </c>
      <c r="H278" s="90">
        <f>H279</f>
        <v>0</v>
      </c>
      <c r="I278" s="90">
        <f>I279</f>
        <v>0</v>
      </c>
    </row>
    <row r="279" spans="1:9" ht="72.75" customHeight="1" hidden="1">
      <c r="A279" s="122" t="s">
        <v>629</v>
      </c>
      <c r="B279" s="83" t="s">
        <v>192</v>
      </c>
      <c r="C279" s="69" t="s">
        <v>408</v>
      </c>
      <c r="D279" s="69" t="s">
        <v>168</v>
      </c>
      <c r="E279" s="69" t="s">
        <v>337</v>
      </c>
      <c r="F279" s="69" t="s">
        <v>426</v>
      </c>
      <c r="G279" s="84">
        <f>H279+I279</f>
        <v>0</v>
      </c>
      <c r="H279" s="84">
        <f>H280+H282</f>
        <v>0</v>
      </c>
      <c r="I279" s="84">
        <f>I280</f>
        <v>0</v>
      </c>
    </row>
    <row r="280" spans="1:9" ht="90" hidden="1">
      <c r="A280" s="14" t="s">
        <v>677</v>
      </c>
      <c r="B280" s="18" t="s">
        <v>192</v>
      </c>
      <c r="C280" s="33" t="s">
        <v>408</v>
      </c>
      <c r="D280" s="33" t="s">
        <v>168</v>
      </c>
      <c r="E280" s="33" t="s">
        <v>748</v>
      </c>
      <c r="F280" s="33" t="s">
        <v>226</v>
      </c>
      <c r="G280" s="81">
        <f>G281</f>
        <v>0</v>
      </c>
      <c r="H280" s="81">
        <f>H281</f>
        <v>0</v>
      </c>
      <c r="I280" s="81">
        <f>I281</f>
        <v>0</v>
      </c>
    </row>
    <row r="281" spans="1:9" ht="15" hidden="1">
      <c r="A281" s="14" t="s">
        <v>227</v>
      </c>
      <c r="B281" s="18" t="s">
        <v>192</v>
      </c>
      <c r="C281" s="33" t="s">
        <v>408</v>
      </c>
      <c r="D281" s="33" t="s">
        <v>168</v>
      </c>
      <c r="E281" s="33" t="s">
        <v>748</v>
      </c>
      <c r="F281" s="33" t="s">
        <v>304</v>
      </c>
      <c r="G281" s="81">
        <f>H281+I281</f>
        <v>0</v>
      </c>
      <c r="H281" s="81"/>
      <c r="I281" s="81">
        <v>0</v>
      </c>
    </row>
    <row r="282" spans="1:9" ht="120" hidden="1">
      <c r="A282" s="14" t="s">
        <v>678</v>
      </c>
      <c r="B282" s="18" t="s">
        <v>192</v>
      </c>
      <c r="C282" s="33" t="s">
        <v>408</v>
      </c>
      <c r="D282" s="33" t="s">
        <v>168</v>
      </c>
      <c r="E282" s="33" t="s">
        <v>749</v>
      </c>
      <c r="F282" s="33" t="s">
        <v>226</v>
      </c>
      <c r="G282" s="81">
        <f>G283</f>
        <v>0</v>
      </c>
      <c r="H282" s="81">
        <f>H283</f>
        <v>0</v>
      </c>
      <c r="I282" s="81">
        <f>I283</f>
        <v>0</v>
      </c>
    </row>
    <row r="283" spans="1:9" ht="15" hidden="1">
      <c r="A283" s="14" t="s">
        <v>227</v>
      </c>
      <c r="B283" s="18" t="s">
        <v>192</v>
      </c>
      <c r="C283" s="33" t="s">
        <v>408</v>
      </c>
      <c r="D283" s="33" t="s">
        <v>168</v>
      </c>
      <c r="E283" s="33" t="s">
        <v>749</v>
      </c>
      <c r="F283" s="33" t="s">
        <v>304</v>
      </c>
      <c r="G283" s="81">
        <f>H283+I283</f>
        <v>0</v>
      </c>
      <c r="H283" s="81">
        <v>0</v>
      </c>
      <c r="I283" s="81">
        <v>0</v>
      </c>
    </row>
    <row r="284" spans="1:9" ht="15" hidden="1">
      <c r="A284" s="14"/>
      <c r="B284" s="18"/>
      <c r="C284" s="33"/>
      <c r="D284" s="33"/>
      <c r="E284" s="33"/>
      <c r="F284" s="33"/>
      <c r="G284" s="81"/>
      <c r="H284" s="81"/>
      <c r="I284" s="81"/>
    </row>
    <row r="285" spans="1:9" ht="45">
      <c r="A285" s="99" t="s">
        <v>490</v>
      </c>
      <c r="B285" s="162">
        <v>951</v>
      </c>
      <c r="C285" s="163" t="s">
        <v>408</v>
      </c>
      <c r="D285" s="163" t="s">
        <v>393</v>
      </c>
      <c r="E285" s="54" t="s">
        <v>38</v>
      </c>
      <c r="F285" s="163" t="s">
        <v>426</v>
      </c>
      <c r="G285" s="113">
        <f t="shared" si="11"/>
        <v>111</v>
      </c>
      <c r="H285" s="113">
        <f>H286</f>
        <v>111</v>
      </c>
      <c r="I285" s="113">
        <f aca="true" t="shared" si="19" ref="H285:I287">I286</f>
        <v>0</v>
      </c>
    </row>
    <row r="286" spans="1:9" ht="30">
      <c r="A286" s="100" t="s">
        <v>480</v>
      </c>
      <c r="B286" s="73">
        <v>951</v>
      </c>
      <c r="C286" s="22" t="s">
        <v>408</v>
      </c>
      <c r="D286" s="22" t="s">
        <v>393</v>
      </c>
      <c r="E286" s="22" t="s">
        <v>39</v>
      </c>
      <c r="F286" s="22" t="s">
        <v>426</v>
      </c>
      <c r="G286" s="105">
        <f t="shared" si="11"/>
        <v>111</v>
      </c>
      <c r="H286" s="105">
        <f t="shared" si="19"/>
        <v>111</v>
      </c>
      <c r="I286" s="105">
        <f t="shared" si="19"/>
        <v>0</v>
      </c>
    </row>
    <row r="287" spans="1:9" ht="30">
      <c r="A287" s="72" t="s">
        <v>202</v>
      </c>
      <c r="B287" s="73">
        <v>951</v>
      </c>
      <c r="C287" s="22" t="s">
        <v>408</v>
      </c>
      <c r="D287" s="22" t="s">
        <v>393</v>
      </c>
      <c r="E287" s="22" t="s">
        <v>41</v>
      </c>
      <c r="F287" s="22" t="s">
        <v>170</v>
      </c>
      <c r="G287" s="105">
        <f t="shared" si="11"/>
        <v>111</v>
      </c>
      <c r="H287" s="105">
        <f t="shared" si="19"/>
        <v>111</v>
      </c>
      <c r="I287" s="105">
        <f t="shared" si="19"/>
        <v>0</v>
      </c>
    </row>
    <row r="288" spans="1:9" ht="45">
      <c r="A288" s="74" t="s">
        <v>203</v>
      </c>
      <c r="B288" s="73">
        <v>951</v>
      </c>
      <c r="C288" s="22" t="s">
        <v>408</v>
      </c>
      <c r="D288" s="22" t="s">
        <v>393</v>
      </c>
      <c r="E288" s="22" t="s">
        <v>42</v>
      </c>
      <c r="F288" s="22" t="s">
        <v>204</v>
      </c>
      <c r="G288" s="105">
        <f t="shared" si="11"/>
        <v>111</v>
      </c>
      <c r="H288" s="105">
        <v>111</v>
      </c>
      <c r="I288" s="105"/>
    </row>
    <row r="289" spans="1:9" ht="60" hidden="1">
      <c r="A289" s="50" t="s">
        <v>302</v>
      </c>
      <c r="B289" s="73">
        <v>951</v>
      </c>
      <c r="C289" s="22" t="s">
        <v>408</v>
      </c>
      <c r="D289" s="22" t="s">
        <v>393</v>
      </c>
      <c r="E289" s="54" t="s">
        <v>48</v>
      </c>
      <c r="F289" s="22" t="s">
        <v>426</v>
      </c>
      <c r="G289" s="105">
        <f t="shared" si="11"/>
        <v>0</v>
      </c>
      <c r="H289" s="105">
        <f>H290</f>
        <v>0</v>
      </c>
      <c r="I289" s="105"/>
    </row>
    <row r="290" spans="1:9" ht="30" hidden="1">
      <c r="A290" s="72" t="s">
        <v>202</v>
      </c>
      <c r="B290" s="73">
        <v>951</v>
      </c>
      <c r="C290" s="22" t="s">
        <v>408</v>
      </c>
      <c r="D290" s="22" t="s">
        <v>393</v>
      </c>
      <c r="E290" s="33" t="s">
        <v>553</v>
      </c>
      <c r="F290" s="22" t="s">
        <v>170</v>
      </c>
      <c r="G290" s="105">
        <f t="shared" si="11"/>
        <v>0</v>
      </c>
      <c r="H290" s="105">
        <f>H291</f>
        <v>0</v>
      </c>
      <c r="I290" s="105"/>
    </row>
    <row r="291" spans="1:9" ht="45" hidden="1">
      <c r="A291" s="74" t="s">
        <v>203</v>
      </c>
      <c r="B291" s="73">
        <v>951</v>
      </c>
      <c r="C291" s="22" t="s">
        <v>408</v>
      </c>
      <c r="D291" s="22" t="s">
        <v>393</v>
      </c>
      <c r="E291" s="33" t="s">
        <v>553</v>
      </c>
      <c r="F291" s="22" t="s">
        <v>204</v>
      </c>
      <c r="G291" s="105">
        <f t="shared" si="11"/>
        <v>0</v>
      </c>
      <c r="H291" s="105">
        <v>0</v>
      </c>
      <c r="I291" s="105"/>
    </row>
    <row r="292" spans="1:9" ht="30">
      <c r="A292" s="97" t="s">
        <v>164</v>
      </c>
      <c r="B292" s="73">
        <v>951</v>
      </c>
      <c r="C292" s="22" t="s">
        <v>408</v>
      </c>
      <c r="D292" s="22" t="s">
        <v>393</v>
      </c>
      <c r="E292" s="22" t="s">
        <v>19</v>
      </c>
      <c r="F292" s="22" t="s">
        <v>426</v>
      </c>
      <c r="G292" s="105">
        <f t="shared" si="11"/>
        <v>3458.2</v>
      </c>
      <c r="H292" s="105">
        <f>H293</f>
        <v>3458.2</v>
      </c>
      <c r="I292" s="105">
        <f>I293</f>
        <v>0</v>
      </c>
    </row>
    <row r="293" spans="1:9" ht="42.75" customHeight="1">
      <c r="A293" s="72" t="s">
        <v>165</v>
      </c>
      <c r="B293" s="73">
        <v>951</v>
      </c>
      <c r="C293" s="22" t="s">
        <v>408</v>
      </c>
      <c r="D293" s="22" t="s">
        <v>393</v>
      </c>
      <c r="E293" s="22" t="s">
        <v>20</v>
      </c>
      <c r="F293" s="22" t="s">
        <v>426</v>
      </c>
      <c r="G293" s="105">
        <f t="shared" si="11"/>
        <v>3458.2</v>
      </c>
      <c r="H293" s="105">
        <f>H294</f>
        <v>3458.2</v>
      </c>
      <c r="I293" s="105">
        <f>I294</f>
        <v>0</v>
      </c>
    </row>
    <row r="294" spans="1:11" ht="45">
      <c r="A294" s="72" t="s">
        <v>169</v>
      </c>
      <c r="B294" s="73">
        <v>951</v>
      </c>
      <c r="C294" s="22" t="s">
        <v>408</v>
      </c>
      <c r="D294" s="22" t="s">
        <v>393</v>
      </c>
      <c r="E294" s="22" t="s">
        <v>23</v>
      </c>
      <c r="F294" s="22" t="s">
        <v>426</v>
      </c>
      <c r="G294" s="105">
        <f t="shared" si="11"/>
        <v>3458.2</v>
      </c>
      <c r="H294" s="105">
        <f>H295+H297</f>
        <v>3458.2</v>
      </c>
      <c r="I294" s="105">
        <f>I295+I297</f>
        <v>0</v>
      </c>
      <c r="K294" s="80"/>
    </row>
    <row r="295" spans="1:9" ht="81.75" customHeight="1">
      <c r="A295" s="72" t="s">
        <v>199</v>
      </c>
      <c r="B295" s="73">
        <v>951</v>
      </c>
      <c r="C295" s="22" t="s">
        <v>408</v>
      </c>
      <c r="D295" s="22" t="s">
        <v>393</v>
      </c>
      <c r="E295" s="22" t="s">
        <v>23</v>
      </c>
      <c r="F295" s="22" t="s">
        <v>166</v>
      </c>
      <c r="G295" s="105">
        <f>H295+I295</f>
        <v>3313.2</v>
      </c>
      <c r="H295" s="105">
        <f>H296</f>
        <v>3313.2</v>
      </c>
      <c r="I295" s="105">
        <f>I296</f>
        <v>0</v>
      </c>
    </row>
    <row r="296" spans="1:9" ht="30">
      <c r="A296" s="72" t="s">
        <v>201</v>
      </c>
      <c r="B296" s="73">
        <v>951</v>
      </c>
      <c r="C296" s="22" t="s">
        <v>408</v>
      </c>
      <c r="D296" s="22" t="s">
        <v>393</v>
      </c>
      <c r="E296" s="22" t="s">
        <v>23</v>
      </c>
      <c r="F296" s="22" t="s">
        <v>200</v>
      </c>
      <c r="G296" s="105">
        <f>H296+I296</f>
        <v>3313.2</v>
      </c>
      <c r="H296" s="105">
        <f>2510.9+44+758.3</f>
        <v>3313.2</v>
      </c>
      <c r="I296" s="105"/>
    </row>
    <row r="297" spans="1:9" ht="30">
      <c r="A297" s="72" t="s">
        <v>202</v>
      </c>
      <c r="B297" s="73">
        <v>951</v>
      </c>
      <c r="C297" s="22" t="s">
        <v>408</v>
      </c>
      <c r="D297" s="22" t="s">
        <v>393</v>
      </c>
      <c r="E297" s="22" t="s">
        <v>23</v>
      </c>
      <c r="F297" s="22" t="s">
        <v>170</v>
      </c>
      <c r="G297" s="105">
        <f t="shared" si="11"/>
        <v>145</v>
      </c>
      <c r="H297" s="105">
        <f>H298</f>
        <v>145</v>
      </c>
      <c r="I297" s="105">
        <f>I298</f>
        <v>0</v>
      </c>
    </row>
    <row r="298" spans="1:9" ht="45">
      <c r="A298" s="74" t="s">
        <v>203</v>
      </c>
      <c r="B298" s="73">
        <v>951</v>
      </c>
      <c r="C298" s="22" t="s">
        <v>408</v>
      </c>
      <c r="D298" s="22" t="s">
        <v>393</v>
      </c>
      <c r="E298" s="22" t="s">
        <v>23</v>
      </c>
      <c r="F298" s="22" t="s">
        <v>204</v>
      </c>
      <c r="G298" s="105">
        <f t="shared" si="11"/>
        <v>145</v>
      </c>
      <c r="H298" s="105">
        <f>145</f>
        <v>145</v>
      </c>
      <c r="I298" s="105"/>
    </row>
    <row r="299" spans="1:11" ht="70.5" customHeight="1">
      <c r="A299" s="14" t="s">
        <v>710</v>
      </c>
      <c r="B299" s="18">
        <v>951</v>
      </c>
      <c r="C299" s="33" t="s">
        <v>408</v>
      </c>
      <c r="D299" s="33" t="s">
        <v>393</v>
      </c>
      <c r="E299" s="33" t="s">
        <v>718</v>
      </c>
      <c r="F299" s="33" t="s">
        <v>426</v>
      </c>
      <c r="G299" s="81">
        <f t="shared" si="11"/>
        <v>1865.848</v>
      </c>
      <c r="H299" s="81">
        <f>H300+H302</f>
        <v>0</v>
      </c>
      <c r="I299" s="81">
        <f>I300+I302</f>
        <v>1865.848</v>
      </c>
      <c r="K299" s="80"/>
    </row>
    <row r="300" spans="1:9" ht="85.5" customHeight="1">
      <c r="A300" s="14" t="s">
        <v>199</v>
      </c>
      <c r="B300" s="18">
        <v>951</v>
      </c>
      <c r="C300" s="33" t="s">
        <v>408</v>
      </c>
      <c r="D300" s="33" t="s">
        <v>393</v>
      </c>
      <c r="E300" s="33" t="s">
        <v>718</v>
      </c>
      <c r="F300" s="33" t="s">
        <v>166</v>
      </c>
      <c r="G300" s="81">
        <f t="shared" si="11"/>
        <v>1311.899</v>
      </c>
      <c r="H300" s="81">
        <f>H301</f>
        <v>0</v>
      </c>
      <c r="I300" s="81">
        <f>I301</f>
        <v>1311.899</v>
      </c>
    </row>
    <row r="301" spans="1:9" ht="30">
      <c r="A301" s="42" t="s">
        <v>201</v>
      </c>
      <c r="B301" s="18">
        <v>951</v>
      </c>
      <c r="C301" s="33" t="s">
        <v>408</v>
      </c>
      <c r="D301" s="33" t="s">
        <v>393</v>
      </c>
      <c r="E301" s="33" t="s">
        <v>718</v>
      </c>
      <c r="F301" s="33" t="s">
        <v>200</v>
      </c>
      <c r="G301" s="81">
        <f t="shared" si="11"/>
        <v>1311.899</v>
      </c>
      <c r="H301" s="81"/>
      <c r="I301" s="81">
        <v>1311.899</v>
      </c>
    </row>
    <row r="302" spans="1:9" ht="30">
      <c r="A302" s="14" t="s">
        <v>202</v>
      </c>
      <c r="B302" s="18">
        <v>951</v>
      </c>
      <c r="C302" s="33" t="s">
        <v>408</v>
      </c>
      <c r="D302" s="33" t="s">
        <v>393</v>
      </c>
      <c r="E302" s="33" t="s">
        <v>718</v>
      </c>
      <c r="F302" s="33" t="s">
        <v>170</v>
      </c>
      <c r="G302" s="81">
        <f t="shared" si="11"/>
        <v>553.949</v>
      </c>
      <c r="H302" s="81">
        <f>H303</f>
        <v>0</v>
      </c>
      <c r="I302" s="81">
        <f>I303</f>
        <v>553.949</v>
      </c>
    </row>
    <row r="303" spans="1:9" ht="45">
      <c r="A303" s="42" t="s">
        <v>203</v>
      </c>
      <c r="B303" s="18">
        <v>951</v>
      </c>
      <c r="C303" s="33" t="s">
        <v>408</v>
      </c>
      <c r="D303" s="33" t="s">
        <v>393</v>
      </c>
      <c r="E303" s="33" t="s">
        <v>718</v>
      </c>
      <c r="F303" s="33" t="s">
        <v>204</v>
      </c>
      <c r="G303" s="81">
        <f t="shared" si="11"/>
        <v>553.949</v>
      </c>
      <c r="H303" s="81"/>
      <c r="I303" s="81">
        <v>553.949</v>
      </c>
    </row>
    <row r="304" spans="1:9" ht="14.25">
      <c r="A304" s="101" t="s">
        <v>198</v>
      </c>
      <c r="B304" s="164">
        <v>951</v>
      </c>
      <c r="C304" s="76" t="s">
        <v>396</v>
      </c>
      <c r="D304" s="76" t="s">
        <v>162</v>
      </c>
      <c r="E304" s="76" t="s">
        <v>337</v>
      </c>
      <c r="F304" s="76" t="s">
        <v>426</v>
      </c>
      <c r="G304" s="114">
        <f>H304+I304</f>
        <v>14261.96968</v>
      </c>
      <c r="H304" s="114">
        <f>H305+H338</f>
        <v>12231.79679</v>
      </c>
      <c r="I304" s="114">
        <f>I305+I338</f>
        <v>2030.17289</v>
      </c>
    </row>
    <row r="305" spans="1:9" ht="17.25" customHeight="1">
      <c r="A305" s="47" t="s">
        <v>463</v>
      </c>
      <c r="B305" s="18">
        <v>951</v>
      </c>
      <c r="C305" s="33" t="s">
        <v>396</v>
      </c>
      <c r="D305" s="33" t="s">
        <v>161</v>
      </c>
      <c r="E305" s="33" t="s">
        <v>337</v>
      </c>
      <c r="F305" s="33" t="s">
        <v>426</v>
      </c>
      <c r="G305" s="81">
        <f t="shared" si="11"/>
        <v>13272.85968</v>
      </c>
      <c r="H305" s="81">
        <f>H306+H335</f>
        <v>11242.68679</v>
      </c>
      <c r="I305" s="81">
        <f>I306+I335</f>
        <v>2030.17289</v>
      </c>
    </row>
    <row r="306" spans="1:9" ht="41.25" customHeight="1">
      <c r="A306" s="50" t="s">
        <v>503</v>
      </c>
      <c r="B306" s="70">
        <v>951</v>
      </c>
      <c r="C306" s="54" t="s">
        <v>396</v>
      </c>
      <c r="D306" s="54" t="s">
        <v>161</v>
      </c>
      <c r="E306" s="54" t="s">
        <v>107</v>
      </c>
      <c r="F306" s="54" t="s">
        <v>426</v>
      </c>
      <c r="G306" s="90">
        <f t="shared" si="11"/>
        <v>13272.85968</v>
      </c>
      <c r="H306" s="90">
        <f>H307+H312+H321+H325+H332</f>
        <v>11242.68679</v>
      </c>
      <c r="I306" s="90">
        <f>I307+I312+I321+I325+I332</f>
        <v>2030.17289</v>
      </c>
    </row>
    <row r="307" spans="1:9" ht="62.25" customHeight="1">
      <c r="A307" s="77" t="s">
        <v>559</v>
      </c>
      <c r="B307" s="18">
        <v>951</v>
      </c>
      <c r="C307" s="33" t="s">
        <v>396</v>
      </c>
      <c r="D307" s="33" t="s">
        <v>161</v>
      </c>
      <c r="E307" s="33" t="s">
        <v>84</v>
      </c>
      <c r="F307" s="33" t="s">
        <v>426</v>
      </c>
      <c r="G307" s="81">
        <f t="shared" si="11"/>
        <v>7770.509999999999</v>
      </c>
      <c r="H307" s="81">
        <f>H308+H310</f>
        <v>7770.509999999999</v>
      </c>
      <c r="I307" s="81">
        <f>I308</f>
        <v>0</v>
      </c>
    </row>
    <row r="308" spans="1:9" ht="45">
      <c r="A308" s="14" t="s">
        <v>225</v>
      </c>
      <c r="B308" s="18">
        <v>951</v>
      </c>
      <c r="C308" s="33" t="s">
        <v>396</v>
      </c>
      <c r="D308" s="33" t="s">
        <v>161</v>
      </c>
      <c r="E308" s="33" t="s">
        <v>85</v>
      </c>
      <c r="F308" s="33" t="s">
        <v>226</v>
      </c>
      <c r="G308" s="81">
        <f>H308+I308</f>
        <v>6150.509999999999</v>
      </c>
      <c r="H308" s="81">
        <f>H309</f>
        <v>6150.509999999999</v>
      </c>
      <c r="I308" s="81"/>
    </row>
    <row r="309" spans="1:9" ht="15">
      <c r="A309" s="14" t="s">
        <v>227</v>
      </c>
      <c r="B309" s="18">
        <v>951</v>
      </c>
      <c r="C309" s="33" t="s">
        <v>396</v>
      </c>
      <c r="D309" s="33" t="s">
        <v>161</v>
      </c>
      <c r="E309" s="33" t="s">
        <v>86</v>
      </c>
      <c r="F309" s="33" t="s">
        <v>304</v>
      </c>
      <c r="G309" s="81">
        <f t="shared" si="11"/>
        <v>6150.509999999999</v>
      </c>
      <c r="H309" s="81">
        <f>5802.65+100+72.86+25+150</f>
        <v>6150.509999999999</v>
      </c>
      <c r="I309" s="81"/>
    </row>
    <row r="310" spans="1:9" ht="99" customHeight="1">
      <c r="A310" s="14" t="s">
        <v>105</v>
      </c>
      <c r="B310" s="18">
        <v>951</v>
      </c>
      <c r="C310" s="33" t="s">
        <v>396</v>
      </c>
      <c r="D310" s="33" t="s">
        <v>161</v>
      </c>
      <c r="E310" s="33" t="s">
        <v>104</v>
      </c>
      <c r="F310" s="33" t="s">
        <v>226</v>
      </c>
      <c r="G310" s="81">
        <f t="shared" si="11"/>
        <v>1620</v>
      </c>
      <c r="H310" s="81">
        <f>H311</f>
        <v>1620</v>
      </c>
      <c r="I310" s="81"/>
    </row>
    <row r="311" spans="1:9" ht="16.5" customHeight="1">
      <c r="A311" s="14" t="s">
        <v>227</v>
      </c>
      <c r="B311" s="18">
        <v>951</v>
      </c>
      <c r="C311" s="33" t="s">
        <v>396</v>
      </c>
      <c r="D311" s="33" t="s">
        <v>161</v>
      </c>
      <c r="E311" s="33" t="s">
        <v>104</v>
      </c>
      <c r="F311" s="33" t="s">
        <v>304</v>
      </c>
      <c r="G311" s="81">
        <f t="shared" si="11"/>
        <v>1620</v>
      </c>
      <c r="H311" s="81">
        <v>1620</v>
      </c>
      <c r="I311" s="81"/>
    </row>
    <row r="312" spans="1:9" ht="62.25" customHeight="1">
      <c r="A312" s="75" t="s">
        <v>610</v>
      </c>
      <c r="B312" s="18">
        <v>951</v>
      </c>
      <c r="C312" s="76" t="s">
        <v>396</v>
      </c>
      <c r="D312" s="76" t="s">
        <v>161</v>
      </c>
      <c r="E312" s="76" t="s">
        <v>84</v>
      </c>
      <c r="F312" s="76" t="s">
        <v>426</v>
      </c>
      <c r="G312" s="89">
        <f>H312+I312</f>
        <v>1823.94949</v>
      </c>
      <c r="H312" s="89">
        <f>H313+H316+H319</f>
        <v>20.21949</v>
      </c>
      <c r="I312" s="89">
        <f>I313+I316+I319</f>
        <v>1803.73</v>
      </c>
    </row>
    <row r="313" spans="1:9" ht="69" customHeight="1">
      <c r="A313" s="50" t="s">
        <v>611</v>
      </c>
      <c r="B313" s="18">
        <v>951</v>
      </c>
      <c r="C313" s="54" t="s">
        <v>396</v>
      </c>
      <c r="D313" s="54" t="s">
        <v>161</v>
      </c>
      <c r="E313" s="54" t="s">
        <v>612</v>
      </c>
      <c r="F313" s="54" t="s">
        <v>426</v>
      </c>
      <c r="G313" s="90">
        <f>H313+I313</f>
        <v>1803.73</v>
      </c>
      <c r="H313" s="90">
        <f>H314</f>
        <v>0</v>
      </c>
      <c r="I313" s="90">
        <f>I314</f>
        <v>1803.73</v>
      </c>
    </row>
    <row r="314" spans="1:9" ht="48" customHeight="1">
      <c r="A314" s="14" t="s">
        <v>225</v>
      </c>
      <c r="B314" s="18">
        <v>951</v>
      </c>
      <c r="C314" s="33" t="s">
        <v>396</v>
      </c>
      <c r="D314" s="33" t="s">
        <v>161</v>
      </c>
      <c r="E314" s="33" t="s">
        <v>612</v>
      </c>
      <c r="F314" s="33" t="s">
        <v>226</v>
      </c>
      <c r="G314" s="81">
        <f>H314+I314</f>
        <v>1803.73</v>
      </c>
      <c r="H314" s="81">
        <f>H315</f>
        <v>0</v>
      </c>
      <c r="I314" s="81">
        <f>I315</f>
        <v>1803.73</v>
      </c>
    </row>
    <row r="315" spans="1:9" ht="20.25" customHeight="1">
      <c r="A315" s="14" t="s">
        <v>227</v>
      </c>
      <c r="B315" s="18">
        <v>951</v>
      </c>
      <c r="C315" s="33" t="s">
        <v>396</v>
      </c>
      <c r="D315" s="33" t="s">
        <v>161</v>
      </c>
      <c r="E315" s="33" t="s">
        <v>612</v>
      </c>
      <c r="F315" s="33" t="s">
        <v>304</v>
      </c>
      <c r="G315" s="81">
        <f>H315+I315</f>
        <v>1803.73</v>
      </c>
      <c r="H315" s="81"/>
      <c r="I315" s="81">
        <v>1803.73</v>
      </c>
    </row>
    <row r="316" spans="1:9" ht="119.25" customHeight="1">
      <c r="A316" s="50" t="s">
        <v>640</v>
      </c>
      <c r="B316" s="18">
        <v>951</v>
      </c>
      <c r="C316" s="54" t="s">
        <v>396</v>
      </c>
      <c r="D316" s="54" t="s">
        <v>161</v>
      </c>
      <c r="E316" s="54" t="s">
        <v>613</v>
      </c>
      <c r="F316" s="54" t="s">
        <v>426</v>
      </c>
      <c r="G316" s="90">
        <f>H316</f>
        <v>20.21949</v>
      </c>
      <c r="H316" s="90">
        <f>H317</f>
        <v>20.21949</v>
      </c>
      <c r="I316" s="90"/>
    </row>
    <row r="317" spans="1:9" ht="48" customHeight="1">
      <c r="A317" s="14" t="s">
        <v>225</v>
      </c>
      <c r="B317" s="18">
        <v>951</v>
      </c>
      <c r="C317" s="33" t="s">
        <v>396</v>
      </c>
      <c r="D317" s="33" t="s">
        <v>161</v>
      </c>
      <c r="E317" s="33" t="s">
        <v>613</v>
      </c>
      <c r="F317" s="33" t="s">
        <v>226</v>
      </c>
      <c r="G317" s="81">
        <f>H317</f>
        <v>20.21949</v>
      </c>
      <c r="H317" s="81">
        <f>H318</f>
        <v>20.21949</v>
      </c>
      <c r="I317" s="81"/>
    </row>
    <row r="318" spans="1:9" ht="15.75" customHeight="1">
      <c r="A318" s="14" t="s">
        <v>227</v>
      </c>
      <c r="B318" s="18">
        <v>951</v>
      </c>
      <c r="C318" s="33" t="s">
        <v>396</v>
      </c>
      <c r="D318" s="33" t="s">
        <v>161</v>
      </c>
      <c r="E318" s="33" t="s">
        <v>613</v>
      </c>
      <c r="F318" s="33" t="s">
        <v>304</v>
      </c>
      <c r="G318" s="81">
        <f>H318</f>
        <v>20.21949</v>
      </c>
      <c r="H318" s="81">
        <f>18.21949+2</f>
        <v>20.21949</v>
      </c>
      <c r="I318" s="81"/>
    </row>
    <row r="319" spans="1:9" ht="89.25" customHeight="1">
      <c r="A319" s="14" t="s">
        <v>799</v>
      </c>
      <c r="B319" s="18">
        <v>951</v>
      </c>
      <c r="C319" s="33" t="s">
        <v>396</v>
      </c>
      <c r="D319" s="33" t="s">
        <v>161</v>
      </c>
      <c r="E319" s="33" t="s">
        <v>828</v>
      </c>
      <c r="F319" s="33" t="s">
        <v>426</v>
      </c>
      <c r="G319" s="81">
        <f>H319</f>
        <v>0</v>
      </c>
      <c r="H319" s="81">
        <f>H320</f>
        <v>0</v>
      </c>
      <c r="I319" s="81"/>
    </row>
    <row r="320" spans="1:9" ht="15.75" customHeight="1">
      <c r="A320" s="14" t="s">
        <v>227</v>
      </c>
      <c r="B320" s="18">
        <v>951</v>
      </c>
      <c r="C320" s="33" t="s">
        <v>396</v>
      </c>
      <c r="D320" s="33" t="s">
        <v>161</v>
      </c>
      <c r="E320" s="33" t="s">
        <v>828</v>
      </c>
      <c r="F320" s="33" t="s">
        <v>304</v>
      </c>
      <c r="G320" s="81">
        <f>H320</f>
        <v>0</v>
      </c>
      <c r="H320" s="81">
        <f>25-25</f>
        <v>0</v>
      </c>
      <c r="I320" s="81"/>
    </row>
    <row r="321" spans="1:9" ht="63" customHeight="1">
      <c r="A321" s="77" t="s">
        <v>560</v>
      </c>
      <c r="B321" s="18">
        <v>951</v>
      </c>
      <c r="C321" s="33" t="s">
        <v>396</v>
      </c>
      <c r="D321" s="33" t="s">
        <v>161</v>
      </c>
      <c r="E321" s="33" t="s">
        <v>87</v>
      </c>
      <c r="F321" s="33" t="s">
        <v>426</v>
      </c>
      <c r="G321" s="81">
        <f t="shared" si="11"/>
        <v>2243.2400000000002</v>
      </c>
      <c r="H321" s="81">
        <f>H322</f>
        <v>2243.2400000000002</v>
      </c>
      <c r="I321" s="81">
        <f>I322</f>
        <v>0</v>
      </c>
    </row>
    <row r="322" spans="1:9" ht="45">
      <c r="A322" s="14" t="s">
        <v>225</v>
      </c>
      <c r="B322" s="18">
        <v>951</v>
      </c>
      <c r="C322" s="33" t="s">
        <v>396</v>
      </c>
      <c r="D322" s="33" t="s">
        <v>161</v>
      </c>
      <c r="E322" s="33" t="s">
        <v>87</v>
      </c>
      <c r="F322" s="33" t="s">
        <v>426</v>
      </c>
      <c r="G322" s="81">
        <f t="shared" si="11"/>
        <v>2243.2400000000002</v>
      </c>
      <c r="H322" s="81">
        <f>H323</f>
        <v>2243.2400000000002</v>
      </c>
      <c r="I322" s="81">
        <f>I323+I324</f>
        <v>0</v>
      </c>
    </row>
    <row r="323" spans="1:9" ht="30">
      <c r="A323" s="14" t="s">
        <v>236</v>
      </c>
      <c r="B323" s="18">
        <v>951</v>
      </c>
      <c r="C323" s="33" t="s">
        <v>396</v>
      </c>
      <c r="D323" s="33" t="s">
        <v>161</v>
      </c>
      <c r="E323" s="33" t="s">
        <v>87</v>
      </c>
      <c r="F323" s="33" t="s">
        <v>226</v>
      </c>
      <c r="G323" s="81">
        <f t="shared" si="11"/>
        <v>2243.2400000000002</v>
      </c>
      <c r="H323" s="81">
        <f>H324</f>
        <v>2243.2400000000002</v>
      </c>
      <c r="I323" s="81"/>
    </row>
    <row r="324" spans="1:9" ht="16.5" customHeight="1">
      <c r="A324" s="14" t="s">
        <v>227</v>
      </c>
      <c r="B324" s="18">
        <v>951</v>
      </c>
      <c r="C324" s="33" t="s">
        <v>396</v>
      </c>
      <c r="D324" s="33" t="s">
        <v>161</v>
      </c>
      <c r="E324" s="33" t="s">
        <v>87</v>
      </c>
      <c r="F324" s="33" t="s">
        <v>304</v>
      </c>
      <c r="G324" s="81">
        <f t="shared" si="11"/>
        <v>2243.2400000000002</v>
      </c>
      <c r="H324" s="81">
        <f>1566.14+610.1+67</f>
        <v>2243.2400000000002</v>
      </c>
      <c r="I324" s="81"/>
    </row>
    <row r="325" spans="1:9" ht="63" customHeight="1">
      <c r="A325" s="75" t="s">
        <v>614</v>
      </c>
      <c r="B325" s="18">
        <v>951</v>
      </c>
      <c r="C325" s="76" t="s">
        <v>396</v>
      </c>
      <c r="D325" s="76" t="s">
        <v>161</v>
      </c>
      <c r="E325" s="76" t="s">
        <v>615</v>
      </c>
      <c r="F325" s="76" t="s">
        <v>426</v>
      </c>
      <c r="G325" s="89">
        <f>H325+I325</f>
        <v>228.73019</v>
      </c>
      <c r="H325" s="89">
        <f>H329</f>
        <v>2.2873</v>
      </c>
      <c r="I325" s="89">
        <f>I326</f>
        <v>226.44289</v>
      </c>
    </row>
    <row r="326" spans="1:9" ht="69" customHeight="1">
      <c r="A326" s="50" t="s">
        <v>641</v>
      </c>
      <c r="B326" s="18">
        <v>951</v>
      </c>
      <c r="C326" s="54" t="s">
        <v>396</v>
      </c>
      <c r="D326" s="54" t="s">
        <v>161</v>
      </c>
      <c r="E326" s="54" t="s">
        <v>616</v>
      </c>
      <c r="F326" s="54" t="s">
        <v>426</v>
      </c>
      <c r="G326" s="90">
        <f>I326</f>
        <v>226.44289</v>
      </c>
      <c r="H326" s="90"/>
      <c r="I326" s="90">
        <f>I327</f>
        <v>226.44289</v>
      </c>
    </row>
    <row r="327" spans="1:9" ht="48.75" customHeight="1">
      <c r="A327" s="14" t="s">
        <v>225</v>
      </c>
      <c r="B327" s="18">
        <v>951</v>
      </c>
      <c r="C327" s="33" t="s">
        <v>396</v>
      </c>
      <c r="D327" s="33" t="s">
        <v>161</v>
      </c>
      <c r="E327" s="33" t="s">
        <v>616</v>
      </c>
      <c r="F327" s="33" t="s">
        <v>226</v>
      </c>
      <c r="G327" s="81">
        <f>I327</f>
        <v>226.44289</v>
      </c>
      <c r="H327" s="81"/>
      <c r="I327" s="81">
        <f>I328</f>
        <v>226.44289</v>
      </c>
    </row>
    <row r="328" spans="1:9" ht="20.25" customHeight="1">
      <c r="A328" s="14" t="s">
        <v>227</v>
      </c>
      <c r="B328" s="18">
        <v>951</v>
      </c>
      <c r="C328" s="33" t="s">
        <v>396</v>
      </c>
      <c r="D328" s="33" t="s">
        <v>161</v>
      </c>
      <c r="E328" s="33" t="s">
        <v>616</v>
      </c>
      <c r="F328" s="33" t="s">
        <v>304</v>
      </c>
      <c r="G328" s="81">
        <f>I328</f>
        <v>226.44289</v>
      </c>
      <c r="H328" s="81"/>
      <c r="I328" s="81">
        <v>226.44289</v>
      </c>
    </row>
    <row r="329" spans="1:9" ht="97.5" customHeight="1">
      <c r="A329" s="50" t="s">
        <v>642</v>
      </c>
      <c r="B329" s="18">
        <v>951</v>
      </c>
      <c r="C329" s="54" t="s">
        <v>396</v>
      </c>
      <c r="D329" s="54" t="s">
        <v>161</v>
      </c>
      <c r="E329" s="54" t="s">
        <v>617</v>
      </c>
      <c r="F329" s="54" t="s">
        <v>426</v>
      </c>
      <c r="G329" s="90">
        <f>H329</f>
        <v>2.2873</v>
      </c>
      <c r="H329" s="90">
        <f>H330</f>
        <v>2.2873</v>
      </c>
      <c r="I329" s="90"/>
    </row>
    <row r="330" spans="1:9" ht="47.25" customHeight="1">
      <c r="A330" s="14" t="s">
        <v>225</v>
      </c>
      <c r="B330" s="18">
        <v>951</v>
      </c>
      <c r="C330" s="33" t="s">
        <v>396</v>
      </c>
      <c r="D330" s="33" t="s">
        <v>161</v>
      </c>
      <c r="E330" s="33" t="s">
        <v>617</v>
      </c>
      <c r="F330" s="33" t="s">
        <v>226</v>
      </c>
      <c r="G330" s="81">
        <f>H330</f>
        <v>2.2873</v>
      </c>
      <c r="H330" s="81">
        <f>H331</f>
        <v>2.2873</v>
      </c>
      <c r="I330" s="81"/>
    </row>
    <row r="331" spans="1:9" ht="18" customHeight="1">
      <c r="A331" s="14" t="s">
        <v>227</v>
      </c>
      <c r="B331" s="18">
        <v>951</v>
      </c>
      <c r="C331" s="33" t="s">
        <v>396</v>
      </c>
      <c r="D331" s="33" t="s">
        <v>161</v>
      </c>
      <c r="E331" s="33" t="s">
        <v>617</v>
      </c>
      <c r="F331" s="33" t="s">
        <v>304</v>
      </c>
      <c r="G331" s="81">
        <f>H331</f>
        <v>2.2873</v>
      </c>
      <c r="H331" s="81">
        <v>2.2873</v>
      </c>
      <c r="I331" s="81"/>
    </row>
    <row r="332" spans="1:9" ht="87" customHeight="1">
      <c r="A332" s="77" t="s">
        <v>561</v>
      </c>
      <c r="B332" s="18" t="s">
        <v>192</v>
      </c>
      <c r="C332" s="33" t="s">
        <v>396</v>
      </c>
      <c r="D332" s="33" t="s">
        <v>161</v>
      </c>
      <c r="E332" s="33" t="s">
        <v>88</v>
      </c>
      <c r="F332" s="33" t="s">
        <v>426</v>
      </c>
      <c r="G332" s="81">
        <f t="shared" si="11"/>
        <v>1206.43</v>
      </c>
      <c r="H332" s="81">
        <f>H333</f>
        <v>1206.43</v>
      </c>
      <c r="I332" s="81">
        <f>I333</f>
        <v>0</v>
      </c>
    </row>
    <row r="333" spans="1:9" ht="45">
      <c r="A333" s="14" t="s">
        <v>225</v>
      </c>
      <c r="B333" s="18" t="s">
        <v>192</v>
      </c>
      <c r="C333" s="33" t="s">
        <v>396</v>
      </c>
      <c r="D333" s="33" t="s">
        <v>161</v>
      </c>
      <c r="E333" s="33" t="s">
        <v>88</v>
      </c>
      <c r="F333" s="33" t="s">
        <v>226</v>
      </c>
      <c r="G333" s="81">
        <f>H333+I333</f>
        <v>1206.43</v>
      </c>
      <c r="H333" s="81">
        <f>H334</f>
        <v>1206.43</v>
      </c>
      <c r="I333" s="81">
        <f>I334</f>
        <v>0</v>
      </c>
    </row>
    <row r="334" spans="1:9" ht="15">
      <c r="A334" s="14" t="s">
        <v>227</v>
      </c>
      <c r="B334" s="18" t="s">
        <v>192</v>
      </c>
      <c r="C334" s="33" t="s">
        <v>396</v>
      </c>
      <c r="D334" s="33" t="s">
        <v>161</v>
      </c>
      <c r="E334" s="33" t="s">
        <v>88</v>
      </c>
      <c r="F334" s="33" t="s">
        <v>304</v>
      </c>
      <c r="G334" s="81">
        <f>H334+I334</f>
        <v>1206.43</v>
      </c>
      <c r="H334" s="81">
        <f>1181.43+25</f>
        <v>1206.43</v>
      </c>
      <c r="I334" s="81"/>
    </row>
    <row r="335" spans="1:9" ht="75" hidden="1">
      <c r="A335" s="14" t="s">
        <v>458</v>
      </c>
      <c r="B335" s="18" t="s">
        <v>192</v>
      </c>
      <c r="C335" s="33" t="s">
        <v>396</v>
      </c>
      <c r="D335" s="33" t="s">
        <v>161</v>
      </c>
      <c r="E335" s="33" t="s">
        <v>457</v>
      </c>
      <c r="F335" s="33" t="s">
        <v>426</v>
      </c>
      <c r="G335" s="81">
        <f>H335+I335</f>
        <v>0</v>
      </c>
      <c r="H335" s="81"/>
      <c r="I335" s="81">
        <f>I336</f>
        <v>0</v>
      </c>
    </row>
    <row r="336" spans="1:9" ht="45" hidden="1">
      <c r="A336" s="14" t="s">
        <v>225</v>
      </c>
      <c r="B336" s="18" t="s">
        <v>192</v>
      </c>
      <c r="C336" s="33" t="s">
        <v>396</v>
      </c>
      <c r="D336" s="33" t="s">
        <v>161</v>
      </c>
      <c r="E336" s="33" t="s">
        <v>457</v>
      </c>
      <c r="F336" s="33" t="s">
        <v>226</v>
      </c>
      <c r="G336" s="81">
        <f>H336+I336</f>
        <v>0</v>
      </c>
      <c r="H336" s="81"/>
      <c r="I336" s="81">
        <f>I337</f>
        <v>0</v>
      </c>
    </row>
    <row r="337" spans="1:9" ht="15" hidden="1">
      <c r="A337" s="14" t="s">
        <v>227</v>
      </c>
      <c r="B337" s="18" t="s">
        <v>192</v>
      </c>
      <c r="C337" s="33" t="s">
        <v>396</v>
      </c>
      <c r="D337" s="33" t="s">
        <v>161</v>
      </c>
      <c r="E337" s="33" t="s">
        <v>457</v>
      </c>
      <c r="F337" s="33" t="s">
        <v>304</v>
      </c>
      <c r="G337" s="81">
        <f>H337+I337</f>
        <v>0</v>
      </c>
      <c r="H337" s="81"/>
      <c r="I337" s="81"/>
    </row>
    <row r="338" spans="1:9" ht="30">
      <c r="A338" s="14" t="s">
        <v>14</v>
      </c>
      <c r="B338" s="18">
        <v>951</v>
      </c>
      <c r="C338" s="33" t="s">
        <v>396</v>
      </c>
      <c r="D338" s="33" t="s">
        <v>172</v>
      </c>
      <c r="E338" s="33" t="s">
        <v>337</v>
      </c>
      <c r="F338" s="33" t="s">
        <v>426</v>
      </c>
      <c r="G338" s="81">
        <f aca="true" t="shared" si="20" ref="G338:G449">H338+I338</f>
        <v>989.11</v>
      </c>
      <c r="H338" s="81">
        <f>H339+H345+H347+H342+H350</f>
        <v>989.11</v>
      </c>
      <c r="I338" s="81">
        <f>I339+I345+I347+I342</f>
        <v>0</v>
      </c>
    </row>
    <row r="339" spans="1:9" ht="37.5" customHeight="1">
      <c r="A339" s="77" t="s">
        <v>562</v>
      </c>
      <c r="B339" s="18">
        <v>951</v>
      </c>
      <c r="C339" s="33" t="s">
        <v>396</v>
      </c>
      <c r="D339" s="33" t="s">
        <v>172</v>
      </c>
      <c r="E339" s="33" t="s">
        <v>89</v>
      </c>
      <c r="F339" s="33" t="s">
        <v>426</v>
      </c>
      <c r="G339" s="81">
        <f t="shared" si="20"/>
        <v>917.91</v>
      </c>
      <c r="H339" s="81">
        <f>H340</f>
        <v>917.91</v>
      </c>
      <c r="I339" s="81">
        <f>I340</f>
        <v>0</v>
      </c>
    </row>
    <row r="340" spans="1:9" ht="45.75" customHeight="1">
      <c r="A340" s="14" t="s">
        <v>225</v>
      </c>
      <c r="B340" s="18">
        <v>951</v>
      </c>
      <c r="C340" s="33" t="s">
        <v>396</v>
      </c>
      <c r="D340" s="33" t="s">
        <v>172</v>
      </c>
      <c r="E340" s="33" t="s">
        <v>89</v>
      </c>
      <c r="F340" s="33" t="s">
        <v>226</v>
      </c>
      <c r="G340" s="81">
        <f t="shared" si="20"/>
        <v>917.91</v>
      </c>
      <c r="H340" s="81">
        <f>H341</f>
        <v>917.91</v>
      </c>
      <c r="I340" s="81">
        <f>I341</f>
        <v>0</v>
      </c>
    </row>
    <row r="341" spans="1:9" ht="16.5" customHeight="1">
      <c r="A341" s="14" t="s">
        <v>227</v>
      </c>
      <c r="B341" s="18">
        <v>951</v>
      </c>
      <c r="C341" s="33" t="s">
        <v>396</v>
      </c>
      <c r="D341" s="33" t="s">
        <v>172</v>
      </c>
      <c r="E341" s="33" t="s">
        <v>89</v>
      </c>
      <c r="F341" s="33" t="s">
        <v>304</v>
      </c>
      <c r="G341" s="81">
        <f t="shared" si="20"/>
        <v>917.91</v>
      </c>
      <c r="H341" s="81">
        <f>897.91+20</f>
        <v>917.91</v>
      </c>
      <c r="I341" s="81"/>
    </row>
    <row r="342" spans="1:9" ht="45">
      <c r="A342" s="50" t="s">
        <v>490</v>
      </c>
      <c r="B342" s="70">
        <v>951</v>
      </c>
      <c r="C342" s="54" t="s">
        <v>396</v>
      </c>
      <c r="D342" s="54" t="s">
        <v>172</v>
      </c>
      <c r="E342" s="54" t="s">
        <v>38</v>
      </c>
      <c r="F342" s="54" t="s">
        <v>426</v>
      </c>
      <c r="G342" s="90">
        <f t="shared" si="20"/>
        <v>39</v>
      </c>
      <c r="H342" s="90">
        <f>H343</f>
        <v>39</v>
      </c>
      <c r="I342" s="90">
        <f>I343</f>
        <v>0</v>
      </c>
    </row>
    <row r="343" spans="1:9" ht="30">
      <c r="A343" s="14" t="s">
        <v>90</v>
      </c>
      <c r="B343" s="18">
        <v>951</v>
      </c>
      <c r="C343" s="33" t="s">
        <v>396</v>
      </c>
      <c r="D343" s="33" t="s">
        <v>172</v>
      </c>
      <c r="E343" s="33" t="s">
        <v>515</v>
      </c>
      <c r="F343" s="33" t="s">
        <v>426</v>
      </c>
      <c r="G343" s="81">
        <f t="shared" si="20"/>
        <v>39</v>
      </c>
      <c r="H343" s="81">
        <f>H344</f>
        <v>39</v>
      </c>
      <c r="I343" s="81">
        <f>I344</f>
        <v>0</v>
      </c>
    </row>
    <row r="344" spans="1:9" ht="15">
      <c r="A344" s="14" t="s">
        <v>227</v>
      </c>
      <c r="B344" s="18">
        <v>951</v>
      </c>
      <c r="C344" s="33" t="s">
        <v>396</v>
      </c>
      <c r="D344" s="33" t="s">
        <v>172</v>
      </c>
      <c r="E344" s="33" t="s">
        <v>91</v>
      </c>
      <c r="F344" s="33" t="s">
        <v>304</v>
      </c>
      <c r="G344" s="81">
        <f t="shared" si="20"/>
        <v>39</v>
      </c>
      <c r="H344" s="81">
        <v>39</v>
      </c>
      <c r="I344" s="81"/>
    </row>
    <row r="345" spans="1:9" ht="60">
      <c r="A345" s="50" t="s">
        <v>492</v>
      </c>
      <c r="B345" s="70">
        <v>951</v>
      </c>
      <c r="C345" s="54" t="s">
        <v>396</v>
      </c>
      <c r="D345" s="54" t="s">
        <v>172</v>
      </c>
      <c r="E345" s="54" t="s">
        <v>79</v>
      </c>
      <c r="F345" s="54" t="s">
        <v>426</v>
      </c>
      <c r="G345" s="90">
        <f t="shared" si="20"/>
        <v>2</v>
      </c>
      <c r="H345" s="90">
        <f>H346</f>
        <v>2</v>
      </c>
      <c r="I345" s="90">
        <f>I346</f>
        <v>0</v>
      </c>
    </row>
    <row r="346" spans="1:9" ht="30">
      <c r="A346" s="14" t="s">
        <v>356</v>
      </c>
      <c r="B346" s="18">
        <v>951</v>
      </c>
      <c r="C346" s="33" t="s">
        <v>396</v>
      </c>
      <c r="D346" s="33" t="s">
        <v>172</v>
      </c>
      <c r="E346" s="33" t="s">
        <v>92</v>
      </c>
      <c r="F346" s="33" t="s">
        <v>304</v>
      </c>
      <c r="G346" s="81">
        <f t="shared" si="20"/>
        <v>2</v>
      </c>
      <c r="H346" s="81">
        <v>2</v>
      </c>
      <c r="I346" s="81"/>
    </row>
    <row r="347" spans="1:9" ht="60" hidden="1">
      <c r="A347" s="50" t="s">
        <v>302</v>
      </c>
      <c r="B347" s="18">
        <v>952</v>
      </c>
      <c r="C347" s="33" t="s">
        <v>396</v>
      </c>
      <c r="D347" s="33" t="s">
        <v>172</v>
      </c>
      <c r="E347" s="54" t="s">
        <v>48</v>
      </c>
      <c r="F347" s="54" t="s">
        <v>426</v>
      </c>
      <c r="G347" s="90">
        <f t="shared" si="20"/>
        <v>0</v>
      </c>
      <c r="H347" s="90">
        <f>H348</f>
        <v>0</v>
      </c>
      <c r="I347" s="90">
        <f>I348+I349</f>
        <v>0</v>
      </c>
    </row>
    <row r="348" spans="1:9" ht="15" hidden="1">
      <c r="A348" s="14" t="s">
        <v>227</v>
      </c>
      <c r="B348" s="18">
        <v>953</v>
      </c>
      <c r="C348" s="33" t="s">
        <v>396</v>
      </c>
      <c r="D348" s="33" t="s">
        <v>172</v>
      </c>
      <c r="E348" s="33" t="s">
        <v>517</v>
      </c>
      <c r="F348" s="33" t="s">
        <v>304</v>
      </c>
      <c r="G348" s="81">
        <f t="shared" si="20"/>
        <v>0</v>
      </c>
      <c r="H348" s="81"/>
      <c r="I348" s="81"/>
    </row>
    <row r="349" spans="1:9" ht="30" hidden="1">
      <c r="A349" s="14" t="s">
        <v>525</v>
      </c>
      <c r="B349" s="18">
        <v>954</v>
      </c>
      <c r="C349" s="33" t="s">
        <v>396</v>
      </c>
      <c r="D349" s="33" t="s">
        <v>172</v>
      </c>
      <c r="E349" s="33" t="s">
        <v>517</v>
      </c>
      <c r="F349" s="33" t="s">
        <v>304</v>
      </c>
      <c r="G349" s="81">
        <f>H349+I349</f>
        <v>0</v>
      </c>
      <c r="H349" s="81">
        <v>0</v>
      </c>
      <c r="I349" s="81"/>
    </row>
    <row r="350" spans="1:9" ht="73.5" customHeight="1">
      <c r="A350" s="50" t="s">
        <v>551</v>
      </c>
      <c r="B350" s="70">
        <v>951</v>
      </c>
      <c r="C350" s="54" t="s">
        <v>396</v>
      </c>
      <c r="D350" s="54" t="s">
        <v>172</v>
      </c>
      <c r="E350" s="54" t="s">
        <v>549</v>
      </c>
      <c r="F350" s="54" t="s">
        <v>426</v>
      </c>
      <c r="G350" s="90">
        <f>H350+I350</f>
        <v>30.2</v>
      </c>
      <c r="H350" s="90">
        <f>H351</f>
        <v>30.2</v>
      </c>
      <c r="I350" s="90"/>
    </row>
    <row r="351" spans="1:9" ht="42.75" customHeight="1">
      <c r="A351" s="14" t="s">
        <v>225</v>
      </c>
      <c r="B351" s="18">
        <v>951</v>
      </c>
      <c r="C351" s="33" t="s">
        <v>396</v>
      </c>
      <c r="D351" s="33" t="s">
        <v>172</v>
      </c>
      <c r="E351" s="33" t="s">
        <v>907</v>
      </c>
      <c r="F351" s="33" t="s">
        <v>226</v>
      </c>
      <c r="G351" s="81">
        <f>H351+I351</f>
        <v>30.2</v>
      </c>
      <c r="H351" s="81">
        <f>H352</f>
        <v>30.2</v>
      </c>
      <c r="I351" s="81"/>
    </row>
    <row r="352" spans="1:9" ht="19.5" customHeight="1">
      <c r="A352" s="14" t="s">
        <v>227</v>
      </c>
      <c r="B352" s="18">
        <v>951</v>
      </c>
      <c r="C352" s="33" t="s">
        <v>396</v>
      </c>
      <c r="D352" s="33" t="s">
        <v>172</v>
      </c>
      <c r="E352" s="33" t="s">
        <v>907</v>
      </c>
      <c r="F352" s="33" t="s">
        <v>304</v>
      </c>
      <c r="G352" s="81">
        <f>H352+I352</f>
        <v>30.2</v>
      </c>
      <c r="H352" s="81">
        <v>30.2</v>
      </c>
      <c r="I352" s="81"/>
    </row>
    <row r="353" spans="1:9" ht="19.5" customHeight="1">
      <c r="A353" s="101" t="s">
        <v>243</v>
      </c>
      <c r="B353" s="164">
        <v>951</v>
      </c>
      <c r="C353" s="76" t="s">
        <v>244</v>
      </c>
      <c r="D353" s="76" t="s">
        <v>162</v>
      </c>
      <c r="E353" s="76" t="s">
        <v>337</v>
      </c>
      <c r="F353" s="76" t="s">
        <v>426</v>
      </c>
      <c r="G353" s="114">
        <f>H353+I353</f>
        <v>37415.590659999994</v>
      </c>
      <c r="H353" s="114">
        <f>H354+H359+H365</f>
        <v>967.6</v>
      </c>
      <c r="I353" s="114">
        <f>I354+I359+I365</f>
        <v>36447.990659999996</v>
      </c>
    </row>
    <row r="354" spans="1:9" ht="16.5" customHeight="1">
      <c r="A354" s="71" t="s">
        <v>155</v>
      </c>
      <c r="B354" s="83">
        <v>951</v>
      </c>
      <c r="C354" s="69" t="s">
        <v>244</v>
      </c>
      <c r="D354" s="69" t="s">
        <v>161</v>
      </c>
      <c r="E354" s="69" t="s">
        <v>337</v>
      </c>
      <c r="F354" s="69" t="s">
        <v>426</v>
      </c>
      <c r="G354" s="84">
        <f t="shared" si="20"/>
        <v>767.6</v>
      </c>
      <c r="H354" s="84">
        <f aca="true" t="shared" si="21" ref="H354:I357">H355</f>
        <v>767.6</v>
      </c>
      <c r="I354" s="84">
        <f t="shared" si="21"/>
        <v>0</v>
      </c>
    </row>
    <row r="355" spans="1:9" ht="31.5" customHeight="1">
      <c r="A355" s="14" t="s">
        <v>618</v>
      </c>
      <c r="B355" s="18">
        <v>951</v>
      </c>
      <c r="C355" s="33" t="s">
        <v>244</v>
      </c>
      <c r="D355" s="33" t="s">
        <v>161</v>
      </c>
      <c r="E355" s="33" t="s">
        <v>93</v>
      </c>
      <c r="F355" s="33" t="s">
        <v>426</v>
      </c>
      <c r="G355" s="81">
        <f t="shared" si="20"/>
        <v>767.6</v>
      </c>
      <c r="H355" s="81">
        <f t="shared" si="21"/>
        <v>767.6</v>
      </c>
      <c r="I355" s="81">
        <f t="shared" si="21"/>
        <v>0</v>
      </c>
    </row>
    <row r="356" spans="1:9" ht="43.5" customHeight="1">
      <c r="A356" s="14" t="s">
        <v>156</v>
      </c>
      <c r="B356" s="18">
        <v>951</v>
      </c>
      <c r="C356" s="33" t="s">
        <v>244</v>
      </c>
      <c r="D356" s="33" t="s">
        <v>161</v>
      </c>
      <c r="E356" s="33" t="s">
        <v>93</v>
      </c>
      <c r="F356" s="33" t="s">
        <v>426</v>
      </c>
      <c r="G356" s="81">
        <f t="shared" si="20"/>
        <v>767.6</v>
      </c>
      <c r="H356" s="81">
        <f t="shared" si="21"/>
        <v>767.6</v>
      </c>
      <c r="I356" s="81">
        <f t="shared" si="21"/>
        <v>0</v>
      </c>
    </row>
    <row r="357" spans="1:9" ht="30">
      <c r="A357" s="14" t="s">
        <v>216</v>
      </c>
      <c r="B357" s="18">
        <v>951</v>
      </c>
      <c r="C357" s="33" t="s">
        <v>244</v>
      </c>
      <c r="D357" s="33" t="s">
        <v>161</v>
      </c>
      <c r="E357" s="33" t="s">
        <v>93</v>
      </c>
      <c r="F357" s="33" t="s">
        <v>171</v>
      </c>
      <c r="G357" s="81">
        <f t="shared" si="20"/>
        <v>767.6</v>
      </c>
      <c r="H357" s="81">
        <f t="shared" si="21"/>
        <v>767.6</v>
      </c>
      <c r="I357" s="81">
        <f t="shared" si="21"/>
        <v>0</v>
      </c>
    </row>
    <row r="358" spans="1:9" ht="30" customHeight="1">
      <c r="A358" s="14" t="s">
        <v>217</v>
      </c>
      <c r="B358" s="18">
        <v>951</v>
      </c>
      <c r="C358" s="33" t="s">
        <v>244</v>
      </c>
      <c r="D358" s="33" t="s">
        <v>161</v>
      </c>
      <c r="E358" s="33" t="s">
        <v>93</v>
      </c>
      <c r="F358" s="33" t="s">
        <v>218</v>
      </c>
      <c r="G358" s="81">
        <f t="shared" si="20"/>
        <v>767.6</v>
      </c>
      <c r="H358" s="81">
        <f>683+84.6</f>
        <v>767.6</v>
      </c>
      <c r="I358" s="81"/>
    </row>
    <row r="359" spans="1:9" ht="17.25" customHeight="1">
      <c r="A359" s="71" t="s">
        <v>619</v>
      </c>
      <c r="B359" s="83">
        <v>951</v>
      </c>
      <c r="C359" s="69" t="s">
        <v>244</v>
      </c>
      <c r="D359" s="69" t="s">
        <v>168</v>
      </c>
      <c r="E359" s="69" t="s">
        <v>337</v>
      </c>
      <c r="F359" s="69" t="s">
        <v>426</v>
      </c>
      <c r="G359" s="84">
        <f>H359+I359</f>
        <v>200</v>
      </c>
      <c r="H359" s="84">
        <f>H360+H362</f>
        <v>200</v>
      </c>
      <c r="I359" s="84">
        <f>I360</f>
        <v>0</v>
      </c>
    </row>
    <row r="360" spans="1:9" ht="50.25" customHeight="1">
      <c r="A360" s="50" t="s">
        <v>869</v>
      </c>
      <c r="B360" s="18">
        <v>951</v>
      </c>
      <c r="C360" s="54" t="s">
        <v>244</v>
      </c>
      <c r="D360" s="54" t="s">
        <v>168</v>
      </c>
      <c r="E360" s="54" t="s">
        <v>94</v>
      </c>
      <c r="F360" s="54" t="s">
        <v>426</v>
      </c>
      <c r="G360" s="90">
        <f t="shared" si="20"/>
        <v>200</v>
      </c>
      <c r="H360" s="90">
        <f>H361</f>
        <v>200</v>
      </c>
      <c r="I360" s="90">
        <f>I361</f>
        <v>0</v>
      </c>
    </row>
    <row r="361" spans="1:9" ht="29.25" customHeight="1">
      <c r="A361" s="14" t="s">
        <v>219</v>
      </c>
      <c r="B361" s="18">
        <v>951</v>
      </c>
      <c r="C361" s="33" t="s">
        <v>244</v>
      </c>
      <c r="D361" s="33" t="s">
        <v>168</v>
      </c>
      <c r="E361" s="33" t="s">
        <v>95</v>
      </c>
      <c r="F361" s="33" t="s">
        <v>220</v>
      </c>
      <c r="G361" s="81">
        <f t="shared" si="20"/>
        <v>200</v>
      </c>
      <c r="H361" s="81">
        <v>200</v>
      </c>
      <c r="I361" s="81"/>
    </row>
    <row r="362" spans="1:9" ht="17.25" customHeight="1" hidden="1">
      <c r="A362" s="135" t="s">
        <v>567</v>
      </c>
      <c r="B362" s="83">
        <v>952</v>
      </c>
      <c r="C362" s="33" t="s">
        <v>244</v>
      </c>
      <c r="D362" s="33" t="s">
        <v>168</v>
      </c>
      <c r="E362" s="69" t="s">
        <v>337</v>
      </c>
      <c r="F362" s="69" t="s">
        <v>426</v>
      </c>
      <c r="G362" s="84">
        <f>H362</f>
        <v>0</v>
      </c>
      <c r="H362" s="84">
        <f>H363</f>
        <v>0</v>
      </c>
      <c r="I362" s="84"/>
    </row>
    <row r="363" spans="1:9" ht="29.25" customHeight="1" hidden="1">
      <c r="A363" s="14" t="s">
        <v>216</v>
      </c>
      <c r="B363" s="18">
        <v>953</v>
      </c>
      <c r="C363" s="33" t="s">
        <v>244</v>
      </c>
      <c r="D363" s="33" t="s">
        <v>168</v>
      </c>
      <c r="E363" s="33" t="s">
        <v>568</v>
      </c>
      <c r="F363" s="33" t="s">
        <v>171</v>
      </c>
      <c r="G363" s="81">
        <f>H363</f>
        <v>0</v>
      </c>
      <c r="H363" s="81">
        <f>H364</f>
        <v>0</v>
      </c>
      <c r="I363" s="81"/>
    </row>
    <row r="364" spans="1:9" ht="29.25" customHeight="1" hidden="1">
      <c r="A364" s="14" t="s">
        <v>219</v>
      </c>
      <c r="B364" s="18">
        <v>954</v>
      </c>
      <c r="C364" s="33" t="s">
        <v>244</v>
      </c>
      <c r="D364" s="33" t="s">
        <v>168</v>
      </c>
      <c r="E364" s="33" t="s">
        <v>568</v>
      </c>
      <c r="F364" s="33" t="s">
        <v>220</v>
      </c>
      <c r="G364" s="81">
        <f>H364</f>
        <v>0</v>
      </c>
      <c r="H364" s="81"/>
      <c r="I364" s="81"/>
    </row>
    <row r="365" spans="1:9" ht="19.5" customHeight="1">
      <c r="A365" s="71" t="s">
        <v>419</v>
      </c>
      <c r="B365" s="83">
        <v>951</v>
      </c>
      <c r="C365" s="69" t="s">
        <v>244</v>
      </c>
      <c r="D365" s="69" t="s">
        <v>172</v>
      </c>
      <c r="E365" s="69" t="s">
        <v>337</v>
      </c>
      <c r="F365" s="69" t="s">
        <v>426</v>
      </c>
      <c r="G365" s="84">
        <f>H365+I365</f>
        <v>36447.990659999996</v>
      </c>
      <c r="H365" s="84">
        <f>H366</f>
        <v>0</v>
      </c>
      <c r="I365" s="84">
        <f>I366</f>
        <v>36447.990659999996</v>
      </c>
    </row>
    <row r="366" spans="1:11" ht="123" customHeight="1">
      <c r="A366" s="71" t="s">
        <v>899</v>
      </c>
      <c r="B366" s="83">
        <v>951</v>
      </c>
      <c r="C366" s="69" t="s">
        <v>244</v>
      </c>
      <c r="D366" s="69" t="s">
        <v>172</v>
      </c>
      <c r="E366" s="69" t="s">
        <v>818</v>
      </c>
      <c r="F366" s="69" t="s">
        <v>426</v>
      </c>
      <c r="G366" s="84">
        <f>H366+I366</f>
        <v>36447.990659999996</v>
      </c>
      <c r="H366" s="84">
        <f>H367+H372+H378</f>
        <v>0</v>
      </c>
      <c r="I366" s="84">
        <f>I367+I372+I378</f>
        <v>36447.990659999996</v>
      </c>
      <c r="K366" s="80"/>
    </row>
    <row r="367" spans="1:9" ht="58.5" customHeight="1">
      <c r="A367" s="51" t="s">
        <v>643</v>
      </c>
      <c r="B367" s="70">
        <v>951</v>
      </c>
      <c r="C367" s="54" t="s">
        <v>244</v>
      </c>
      <c r="D367" s="54" t="s">
        <v>172</v>
      </c>
      <c r="E367" s="54" t="s">
        <v>824</v>
      </c>
      <c r="F367" s="54" t="s">
        <v>426</v>
      </c>
      <c r="G367" s="90">
        <f>I367</f>
        <v>21118.07693</v>
      </c>
      <c r="H367" s="90"/>
      <c r="I367" s="90">
        <f>I368+I370</f>
        <v>21118.07693</v>
      </c>
    </row>
    <row r="368" spans="1:9" ht="33.75" customHeight="1">
      <c r="A368" s="14" t="s">
        <v>202</v>
      </c>
      <c r="B368" s="18" t="s">
        <v>192</v>
      </c>
      <c r="C368" s="33" t="s">
        <v>244</v>
      </c>
      <c r="D368" s="33" t="s">
        <v>172</v>
      </c>
      <c r="E368" s="33" t="s">
        <v>824</v>
      </c>
      <c r="F368" s="33" t="s">
        <v>170</v>
      </c>
      <c r="G368" s="81">
        <f>H368+I368</f>
        <v>383.52</v>
      </c>
      <c r="H368" s="81"/>
      <c r="I368" s="81">
        <f>I369</f>
        <v>383.52</v>
      </c>
    </row>
    <row r="369" spans="1:9" ht="45.75" customHeight="1">
      <c r="A369" s="42" t="s">
        <v>203</v>
      </c>
      <c r="B369" s="18" t="s">
        <v>192</v>
      </c>
      <c r="C369" s="33" t="s">
        <v>244</v>
      </c>
      <c r="D369" s="33" t="s">
        <v>172</v>
      </c>
      <c r="E369" s="33" t="s">
        <v>824</v>
      </c>
      <c r="F369" s="33" t="s">
        <v>204</v>
      </c>
      <c r="G369" s="81">
        <f>H369+I369</f>
        <v>383.52</v>
      </c>
      <c r="H369" s="81"/>
      <c r="I369" s="81">
        <v>383.52</v>
      </c>
    </row>
    <row r="370" spans="1:9" ht="42" customHeight="1">
      <c r="A370" s="42" t="s">
        <v>621</v>
      </c>
      <c r="B370" s="18">
        <v>951</v>
      </c>
      <c r="C370" s="33" t="s">
        <v>244</v>
      </c>
      <c r="D370" s="33" t="s">
        <v>172</v>
      </c>
      <c r="E370" s="33" t="s">
        <v>824</v>
      </c>
      <c r="F370" s="33" t="s">
        <v>622</v>
      </c>
      <c r="G370" s="81">
        <f>I370</f>
        <v>20734.55693</v>
      </c>
      <c r="H370" s="81"/>
      <c r="I370" s="81">
        <f>I371</f>
        <v>20734.55693</v>
      </c>
    </row>
    <row r="371" spans="1:9" ht="16.5" customHeight="1">
      <c r="A371" s="42" t="s">
        <v>623</v>
      </c>
      <c r="B371" s="18">
        <v>951</v>
      </c>
      <c r="C371" s="33" t="s">
        <v>244</v>
      </c>
      <c r="D371" s="33" t="s">
        <v>172</v>
      </c>
      <c r="E371" s="33" t="s">
        <v>824</v>
      </c>
      <c r="F371" s="33" t="s">
        <v>624</v>
      </c>
      <c r="G371" s="81">
        <f>I371</f>
        <v>20734.55693</v>
      </c>
      <c r="H371" s="81"/>
      <c r="I371" s="81">
        <f>21118.07693-383.52</f>
        <v>20734.55693</v>
      </c>
    </row>
    <row r="372" spans="1:11" ht="103.5" customHeight="1">
      <c r="A372" s="50" t="s">
        <v>701</v>
      </c>
      <c r="B372" s="18">
        <v>951</v>
      </c>
      <c r="C372" s="33" t="s">
        <v>244</v>
      </c>
      <c r="D372" s="33" t="s">
        <v>172</v>
      </c>
      <c r="E372" s="33" t="s">
        <v>822</v>
      </c>
      <c r="F372" s="54" t="s">
        <v>426</v>
      </c>
      <c r="G372" s="90">
        <f aca="true" t="shared" si="22" ref="G372:G377">H372+I372</f>
        <v>14799.63122</v>
      </c>
      <c r="H372" s="90"/>
      <c r="I372" s="90">
        <f>I373+I375</f>
        <v>14799.63122</v>
      </c>
      <c r="K372" s="80"/>
    </row>
    <row r="373" spans="1:9" ht="39" customHeight="1">
      <c r="A373" s="14" t="s">
        <v>202</v>
      </c>
      <c r="B373" s="18" t="s">
        <v>192</v>
      </c>
      <c r="C373" s="33" t="s">
        <v>244</v>
      </c>
      <c r="D373" s="33" t="s">
        <v>172</v>
      </c>
      <c r="E373" s="33" t="s">
        <v>822</v>
      </c>
      <c r="F373" s="33" t="s">
        <v>170</v>
      </c>
      <c r="G373" s="81">
        <f>I373</f>
        <v>150</v>
      </c>
      <c r="H373" s="81"/>
      <c r="I373" s="81">
        <f>I374</f>
        <v>150</v>
      </c>
    </row>
    <row r="374" spans="1:9" ht="42.75" customHeight="1">
      <c r="A374" s="42" t="s">
        <v>203</v>
      </c>
      <c r="B374" s="18" t="s">
        <v>192</v>
      </c>
      <c r="C374" s="33" t="s">
        <v>244</v>
      </c>
      <c r="D374" s="33" t="s">
        <v>172</v>
      </c>
      <c r="E374" s="33" t="s">
        <v>822</v>
      </c>
      <c r="F374" s="33" t="s">
        <v>204</v>
      </c>
      <c r="G374" s="81">
        <f>I374</f>
        <v>150</v>
      </c>
      <c r="H374" s="81"/>
      <c r="I374" s="81">
        <v>150</v>
      </c>
    </row>
    <row r="375" spans="1:9" ht="29.25" customHeight="1">
      <c r="A375" s="14" t="s">
        <v>216</v>
      </c>
      <c r="B375" s="18">
        <v>951</v>
      </c>
      <c r="C375" s="33" t="s">
        <v>244</v>
      </c>
      <c r="D375" s="33" t="s">
        <v>172</v>
      </c>
      <c r="E375" s="33" t="s">
        <v>822</v>
      </c>
      <c r="F375" s="33" t="s">
        <v>171</v>
      </c>
      <c r="G375" s="81">
        <f t="shared" si="22"/>
        <v>14649.63122</v>
      </c>
      <c r="H375" s="81"/>
      <c r="I375" s="81">
        <f>I376+I377</f>
        <v>14649.63122</v>
      </c>
    </row>
    <row r="376" spans="1:10" ht="42" customHeight="1">
      <c r="A376" s="14" t="s">
        <v>217</v>
      </c>
      <c r="B376" s="18" t="s">
        <v>192</v>
      </c>
      <c r="C376" s="33" t="s">
        <v>244</v>
      </c>
      <c r="D376" s="33" t="s">
        <v>172</v>
      </c>
      <c r="E376" s="33" t="s">
        <v>822</v>
      </c>
      <c r="F376" s="33" t="s">
        <v>218</v>
      </c>
      <c r="G376" s="81">
        <f t="shared" si="22"/>
        <v>10649.63122</v>
      </c>
      <c r="H376" s="81"/>
      <c r="I376" s="81">
        <f>10049.63122+600</f>
        <v>10649.63122</v>
      </c>
      <c r="J376" s="80"/>
    </row>
    <row r="377" spans="1:9" ht="42" customHeight="1">
      <c r="A377" s="14" t="s">
        <v>219</v>
      </c>
      <c r="B377" s="18">
        <v>951</v>
      </c>
      <c r="C377" s="33" t="s">
        <v>244</v>
      </c>
      <c r="D377" s="33" t="s">
        <v>172</v>
      </c>
      <c r="E377" s="33" t="s">
        <v>822</v>
      </c>
      <c r="F377" s="33" t="s">
        <v>220</v>
      </c>
      <c r="G377" s="81">
        <f t="shared" si="22"/>
        <v>4000</v>
      </c>
      <c r="H377" s="81"/>
      <c r="I377" s="81">
        <f>3600+400</f>
        <v>4000</v>
      </c>
    </row>
    <row r="378" spans="1:11" ht="85.5" customHeight="1">
      <c r="A378" s="50" t="s">
        <v>703</v>
      </c>
      <c r="B378" s="18">
        <v>951</v>
      </c>
      <c r="C378" s="33" t="s">
        <v>244</v>
      </c>
      <c r="D378" s="33" t="s">
        <v>172</v>
      </c>
      <c r="E378" s="33" t="s">
        <v>823</v>
      </c>
      <c r="F378" s="54" t="s">
        <v>426</v>
      </c>
      <c r="G378" s="90">
        <f>H378+I378</f>
        <v>530.28251</v>
      </c>
      <c r="H378" s="90"/>
      <c r="I378" s="90">
        <f>I379+I381</f>
        <v>530.28251</v>
      </c>
      <c r="K378" s="80"/>
    </row>
    <row r="379" spans="1:9" ht="30.75" customHeight="1">
      <c r="A379" s="14" t="s">
        <v>202</v>
      </c>
      <c r="B379" s="18" t="s">
        <v>192</v>
      </c>
      <c r="C379" s="33" t="s">
        <v>244</v>
      </c>
      <c r="D379" s="33" t="s">
        <v>172</v>
      </c>
      <c r="E379" s="33" t="s">
        <v>823</v>
      </c>
      <c r="F379" s="33" t="s">
        <v>170</v>
      </c>
      <c r="G379" s="81">
        <f>I379</f>
        <v>5</v>
      </c>
      <c r="H379" s="81"/>
      <c r="I379" s="81">
        <f>I380</f>
        <v>5</v>
      </c>
    </row>
    <row r="380" spans="1:9" ht="42.75" customHeight="1">
      <c r="A380" s="42" t="s">
        <v>203</v>
      </c>
      <c r="B380" s="18" t="s">
        <v>192</v>
      </c>
      <c r="C380" s="33" t="s">
        <v>244</v>
      </c>
      <c r="D380" s="33" t="s">
        <v>172</v>
      </c>
      <c r="E380" s="33" t="s">
        <v>823</v>
      </c>
      <c r="F380" s="33" t="s">
        <v>204</v>
      </c>
      <c r="G380" s="81">
        <f>I380</f>
        <v>5</v>
      </c>
      <c r="H380" s="81"/>
      <c r="I380" s="81">
        <v>5</v>
      </c>
    </row>
    <row r="381" spans="1:9" ht="29.25" customHeight="1">
      <c r="A381" s="14" t="s">
        <v>216</v>
      </c>
      <c r="B381" s="18">
        <v>951</v>
      </c>
      <c r="C381" s="33" t="s">
        <v>244</v>
      </c>
      <c r="D381" s="33" t="s">
        <v>172</v>
      </c>
      <c r="E381" s="33" t="s">
        <v>823</v>
      </c>
      <c r="F381" s="33" t="s">
        <v>171</v>
      </c>
      <c r="G381" s="81">
        <f>H381+I381</f>
        <v>525.28251</v>
      </c>
      <c r="H381" s="81"/>
      <c r="I381" s="81">
        <f>I382</f>
        <v>525.28251</v>
      </c>
    </row>
    <row r="382" spans="1:9" ht="29.25" customHeight="1">
      <c r="A382" s="14" t="s">
        <v>217</v>
      </c>
      <c r="B382" s="18">
        <v>951</v>
      </c>
      <c r="C382" s="33" t="s">
        <v>244</v>
      </c>
      <c r="D382" s="33" t="s">
        <v>172</v>
      </c>
      <c r="E382" s="33" t="s">
        <v>823</v>
      </c>
      <c r="F382" s="33" t="s">
        <v>218</v>
      </c>
      <c r="G382" s="81">
        <f>H382+I382</f>
        <v>525.28251</v>
      </c>
      <c r="H382" s="81"/>
      <c r="I382" s="81">
        <f>530.28251-5</f>
        <v>525.28251</v>
      </c>
    </row>
    <row r="383" spans="1:9" ht="14.25">
      <c r="A383" s="75" t="s">
        <v>247</v>
      </c>
      <c r="B383" s="164">
        <v>951</v>
      </c>
      <c r="C383" s="76" t="s">
        <v>179</v>
      </c>
      <c r="D383" s="76" t="s">
        <v>162</v>
      </c>
      <c r="E383" s="76" t="s">
        <v>337</v>
      </c>
      <c r="F383" s="76" t="s">
        <v>426</v>
      </c>
      <c r="G383" s="114">
        <f>H383+I383</f>
        <v>863</v>
      </c>
      <c r="H383" s="89">
        <f>H384</f>
        <v>863</v>
      </c>
      <c r="I383" s="89">
        <f aca="true" t="shared" si="23" ref="H383:I387">I384</f>
        <v>0</v>
      </c>
    </row>
    <row r="384" spans="1:9" ht="15">
      <c r="A384" s="14" t="s">
        <v>361</v>
      </c>
      <c r="B384" s="18">
        <v>951</v>
      </c>
      <c r="C384" s="33" t="s">
        <v>179</v>
      </c>
      <c r="D384" s="33" t="s">
        <v>163</v>
      </c>
      <c r="E384" s="33" t="s">
        <v>337</v>
      </c>
      <c r="F384" s="33" t="s">
        <v>426</v>
      </c>
      <c r="G384" s="81">
        <f t="shared" si="20"/>
        <v>863</v>
      </c>
      <c r="H384" s="81">
        <f t="shared" si="23"/>
        <v>863</v>
      </c>
      <c r="I384" s="81">
        <f t="shared" si="23"/>
        <v>0</v>
      </c>
    </row>
    <row r="385" spans="1:9" ht="43.5" customHeight="1">
      <c r="A385" s="50" t="s">
        <v>496</v>
      </c>
      <c r="B385" s="70">
        <v>951</v>
      </c>
      <c r="C385" s="54" t="s">
        <v>179</v>
      </c>
      <c r="D385" s="54" t="s">
        <v>163</v>
      </c>
      <c r="E385" s="54" t="s">
        <v>98</v>
      </c>
      <c r="F385" s="54" t="s">
        <v>426</v>
      </c>
      <c r="G385" s="90">
        <f t="shared" si="20"/>
        <v>863</v>
      </c>
      <c r="H385" s="90">
        <f>H386+H389+H400+H403</f>
        <v>863</v>
      </c>
      <c r="I385" s="90">
        <f>I386+I389+I403</f>
        <v>0</v>
      </c>
    </row>
    <row r="386" spans="1:9" ht="30.75" customHeight="1">
      <c r="A386" s="14" t="s">
        <v>248</v>
      </c>
      <c r="B386" s="18">
        <v>951</v>
      </c>
      <c r="C386" s="33" t="s">
        <v>179</v>
      </c>
      <c r="D386" s="33" t="s">
        <v>163</v>
      </c>
      <c r="E386" s="33" t="s">
        <v>99</v>
      </c>
      <c r="F386" s="33" t="s">
        <v>426</v>
      </c>
      <c r="G386" s="81">
        <f t="shared" si="20"/>
        <v>609</v>
      </c>
      <c r="H386" s="81">
        <f t="shared" si="23"/>
        <v>609</v>
      </c>
      <c r="I386" s="81">
        <f t="shared" si="23"/>
        <v>0</v>
      </c>
    </row>
    <row r="387" spans="1:9" ht="30" customHeight="1">
      <c r="A387" s="14" t="s">
        <v>202</v>
      </c>
      <c r="B387" s="18">
        <v>951</v>
      </c>
      <c r="C387" s="33" t="s">
        <v>179</v>
      </c>
      <c r="D387" s="33" t="s">
        <v>163</v>
      </c>
      <c r="E387" s="33" t="s">
        <v>99</v>
      </c>
      <c r="F387" s="33" t="s">
        <v>170</v>
      </c>
      <c r="G387" s="81">
        <f t="shared" si="20"/>
        <v>609</v>
      </c>
      <c r="H387" s="81">
        <f t="shared" si="23"/>
        <v>609</v>
      </c>
      <c r="I387" s="81">
        <f t="shared" si="23"/>
        <v>0</v>
      </c>
    </row>
    <row r="388" spans="1:9" ht="45">
      <c r="A388" s="42" t="s">
        <v>203</v>
      </c>
      <c r="B388" s="18">
        <v>951</v>
      </c>
      <c r="C388" s="33" t="s">
        <v>179</v>
      </c>
      <c r="D388" s="33" t="s">
        <v>163</v>
      </c>
      <c r="E388" s="33" t="s">
        <v>99</v>
      </c>
      <c r="F388" s="33" t="s">
        <v>204</v>
      </c>
      <c r="G388" s="81">
        <f t="shared" si="20"/>
        <v>609</v>
      </c>
      <c r="H388" s="81">
        <f>150+156.8+130+145.22+26.98</f>
        <v>609</v>
      </c>
      <c r="I388" s="81"/>
    </row>
    <row r="389" spans="1:9" ht="42.75">
      <c r="A389" s="78" t="s">
        <v>625</v>
      </c>
      <c r="B389" s="18">
        <v>951</v>
      </c>
      <c r="C389" s="76" t="s">
        <v>179</v>
      </c>
      <c r="D389" s="76" t="s">
        <v>163</v>
      </c>
      <c r="E389" s="76" t="s">
        <v>98</v>
      </c>
      <c r="F389" s="76" t="s">
        <v>426</v>
      </c>
      <c r="G389" s="89">
        <f>H389+I389</f>
        <v>0</v>
      </c>
      <c r="H389" s="89">
        <f>H395</f>
        <v>0</v>
      </c>
      <c r="I389" s="89">
        <f>I390</f>
        <v>0</v>
      </c>
    </row>
    <row r="390" spans="1:9" ht="75" hidden="1">
      <c r="A390" s="51" t="s">
        <v>644</v>
      </c>
      <c r="B390" s="18">
        <v>951</v>
      </c>
      <c r="C390" s="54" t="s">
        <v>179</v>
      </c>
      <c r="D390" s="54" t="s">
        <v>163</v>
      </c>
      <c r="E390" s="54" t="s">
        <v>626</v>
      </c>
      <c r="F390" s="54" t="s">
        <v>426</v>
      </c>
      <c r="G390" s="90">
        <f>I390</f>
        <v>0</v>
      </c>
      <c r="H390" s="90"/>
      <c r="I390" s="90">
        <f>I391+I393</f>
        <v>0</v>
      </c>
    </row>
    <row r="391" spans="1:9" ht="45" hidden="1">
      <c r="A391" s="42" t="s">
        <v>621</v>
      </c>
      <c r="B391" s="18">
        <v>951</v>
      </c>
      <c r="C391" s="33" t="s">
        <v>179</v>
      </c>
      <c r="D391" s="33" t="s">
        <v>163</v>
      </c>
      <c r="E391" s="33" t="s">
        <v>626</v>
      </c>
      <c r="F391" s="33" t="s">
        <v>622</v>
      </c>
      <c r="G391" s="81">
        <f>I391</f>
        <v>0</v>
      </c>
      <c r="H391" s="81"/>
      <c r="I391" s="81">
        <f>I392</f>
        <v>0</v>
      </c>
    </row>
    <row r="392" spans="1:9" ht="15" hidden="1">
      <c r="A392" s="42" t="s">
        <v>623</v>
      </c>
      <c r="B392" s="18">
        <v>951</v>
      </c>
      <c r="C392" s="33" t="s">
        <v>179</v>
      </c>
      <c r="D392" s="33" t="s">
        <v>163</v>
      </c>
      <c r="E392" s="33" t="s">
        <v>626</v>
      </c>
      <c r="F392" s="33" t="s">
        <v>624</v>
      </c>
      <c r="G392" s="81">
        <f>I392</f>
        <v>0</v>
      </c>
      <c r="H392" s="81"/>
      <c r="I392" s="81">
        <v>0</v>
      </c>
    </row>
    <row r="393" spans="1:9" ht="45" hidden="1">
      <c r="A393" s="14" t="s">
        <v>627</v>
      </c>
      <c r="B393" s="18">
        <v>952</v>
      </c>
      <c r="C393" s="33" t="s">
        <v>179</v>
      </c>
      <c r="D393" s="33" t="s">
        <v>163</v>
      </c>
      <c r="E393" s="33" t="s">
        <v>626</v>
      </c>
      <c r="F393" s="33" t="s">
        <v>226</v>
      </c>
      <c r="G393" s="81">
        <f>I393</f>
        <v>0</v>
      </c>
      <c r="H393" s="81"/>
      <c r="I393" s="81">
        <f>I394</f>
        <v>0</v>
      </c>
    </row>
    <row r="394" spans="1:9" ht="15.75" customHeight="1" hidden="1">
      <c r="A394" s="14" t="s">
        <v>191</v>
      </c>
      <c r="B394" s="18">
        <v>953</v>
      </c>
      <c r="C394" s="33" t="s">
        <v>179</v>
      </c>
      <c r="D394" s="33" t="s">
        <v>163</v>
      </c>
      <c r="E394" s="33" t="s">
        <v>626</v>
      </c>
      <c r="F394" s="33" t="s">
        <v>304</v>
      </c>
      <c r="G394" s="81">
        <f>I394</f>
        <v>0</v>
      </c>
      <c r="H394" s="81"/>
      <c r="I394" s="81">
        <v>0</v>
      </c>
    </row>
    <row r="395" spans="1:9" ht="87" customHeight="1">
      <c r="A395" s="51" t="s">
        <v>645</v>
      </c>
      <c r="B395" s="18">
        <v>951</v>
      </c>
      <c r="C395" s="54" t="s">
        <v>179</v>
      </c>
      <c r="D395" s="54" t="s">
        <v>163</v>
      </c>
      <c r="E395" s="54" t="s">
        <v>628</v>
      </c>
      <c r="F395" s="54" t="s">
        <v>426</v>
      </c>
      <c r="G395" s="90">
        <f>H395</f>
        <v>0</v>
      </c>
      <c r="H395" s="90">
        <f>H396+H398</f>
        <v>0</v>
      </c>
      <c r="I395" s="90"/>
    </row>
    <row r="396" spans="1:9" ht="45">
      <c r="A396" s="42" t="s">
        <v>621</v>
      </c>
      <c r="B396" s="18">
        <v>951</v>
      </c>
      <c r="C396" s="33" t="s">
        <v>179</v>
      </c>
      <c r="D396" s="33" t="s">
        <v>163</v>
      </c>
      <c r="E396" s="33" t="s">
        <v>628</v>
      </c>
      <c r="F396" s="33" t="s">
        <v>622</v>
      </c>
      <c r="G396" s="81">
        <f>H396</f>
        <v>0</v>
      </c>
      <c r="H396" s="81">
        <f>H397</f>
        <v>0</v>
      </c>
      <c r="I396" s="81"/>
    </row>
    <row r="397" spans="1:9" ht="15">
      <c r="A397" s="42" t="s">
        <v>623</v>
      </c>
      <c r="B397" s="18">
        <v>951</v>
      </c>
      <c r="C397" s="33" t="s">
        <v>179</v>
      </c>
      <c r="D397" s="33" t="s">
        <v>163</v>
      </c>
      <c r="E397" s="33" t="s">
        <v>628</v>
      </c>
      <c r="F397" s="33" t="s">
        <v>624</v>
      </c>
      <c r="G397" s="81">
        <f>H397</f>
        <v>0</v>
      </c>
      <c r="H397" s="81">
        <f>43+43+40-40-86</f>
        <v>0</v>
      </c>
      <c r="I397" s="81"/>
    </row>
    <row r="398" spans="1:9" ht="42" customHeight="1" hidden="1">
      <c r="A398" s="14" t="s">
        <v>627</v>
      </c>
      <c r="B398" s="18">
        <v>952</v>
      </c>
      <c r="C398" s="33" t="s">
        <v>179</v>
      </c>
      <c r="D398" s="33" t="s">
        <v>163</v>
      </c>
      <c r="E398" s="33" t="s">
        <v>628</v>
      </c>
      <c r="F398" s="33" t="s">
        <v>226</v>
      </c>
      <c r="G398" s="81">
        <f>H398</f>
        <v>0</v>
      </c>
      <c r="H398" s="81">
        <f>H399</f>
        <v>0</v>
      </c>
      <c r="I398" s="81"/>
    </row>
    <row r="399" spans="1:9" ht="15" customHeight="1" hidden="1">
      <c r="A399" s="14" t="s">
        <v>191</v>
      </c>
      <c r="B399" s="18">
        <v>953</v>
      </c>
      <c r="C399" s="33" t="s">
        <v>179</v>
      </c>
      <c r="D399" s="33" t="s">
        <v>163</v>
      </c>
      <c r="E399" s="33" t="s">
        <v>628</v>
      </c>
      <c r="F399" s="33" t="s">
        <v>304</v>
      </c>
      <c r="G399" s="81">
        <f>H399</f>
        <v>0</v>
      </c>
      <c r="H399" s="81">
        <v>0</v>
      </c>
      <c r="I399" s="81"/>
    </row>
    <row r="400" spans="1:9" ht="45" customHeight="1">
      <c r="A400" s="50" t="s">
        <v>779</v>
      </c>
      <c r="B400" s="70">
        <v>951</v>
      </c>
      <c r="C400" s="54" t="s">
        <v>179</v>
      </c>
      <c r="D400" s="54" t="s">
        <v>163</v>
      </c>
      <c r="E400" s="54" t="s">
        <v>775</v>
      </c>
      <c r="F400" s="54" t="s">
        <v>426</v>
      </c>
      <c r="G400" s="90">
        <f>H400+I400</f>
        <v>254</v>
      </c>
      <c r="H400" s="90">
        <f>H401</f>
        <v>254</v>
      </c>
      <c r="I400" s="81"/>
    </row>
    <row r="401" spans="1:9" ht="30" customHeight="1">
      <c r="A401" s="14" t="s">
        <v>202</v>
      </c>
      <c r="B401" s="18">
        <v>951</v>
      </c>
      <c r="C401" s="33" t="s">
        <v>179</v>
      </c>
      <c r="D401" s="33" t="s">
        <v>163</v>
      </c>
      <c r="E401" s="33" t="s">
        <v>775</v>
      </c>
      <c r="F401" s="33" t="s">
        <v>170</v>
      </c>
      <c r="G401" s="81">
        <f>H401+I401</f>
        <v>254</v>
      </c>
      <c r="H401" s="81">
        <f>H402</f>
        <v>254</v>
      </c>
      <c r="I401" s="81"/>
    </row>
    <row r="402" spans="1:9" ht="42" customHeight="1">
      <c r="A402" s="42" t="s">
        <v>203</v>
      </c>
      <c r="B402" s="18">
        <v>951</v>
      </c>
      <c r="C402" s="33" t="s">
        <v>179</v>
      </c>
      <c r="D402" s="33" t="s">
        <v>163</v>
      </c>
      <c r="E402" s="33" t="s">
        <v>775</v>
      </c>
      <c r="F402" s="33" t="s">
        <v>204</v>
      </c>
      <c r="G402" s="81">
        <f>H402+I402</f>
        <v>254</v>
      </c>
      <c r="H402" s="81">
        <f>375+212+40-373</f>
        <v>254</v>
      </c>
      <c r="I402" s="81"/>
    </row>
    <row r="403" spans="1:9" ht="56.25" customHeight="1" hidden="1">
      <c r="A403" s="75" t="s">
        <v>780</v>
      </c>
      <c r="B403" s="18">
        <v>951</v>
      </c>
      <c r="C403" s="33" t="s">
        <v>179</v>
      </c>
      <c r="D403" s="33" t="s">
        <v>163</v>
      </c>
      <c r="E403" s="76" t="s">
        <v>98</v>
      </c>
      <c r="F403" s="76" t="s">
        <v>426</v>
      </c>
      <c r="G403" s="89">
        <f>H403+I403</f>
        <v>0</v>
      </c>
      <c r="H403" s="89">
        <f>H407</f>
        <v>0</v>
      </c>
      <c r="I403" s="89">
        <f>I404</f>
        <v>0</v>
      </c>
    </row>
    <row r="404" spans="1:9" ht="81.75" customHeight="1" hidden="1">
      <c r="A404" s="51" t="s">
        <v>786</v>
      </c>
      <c r="B404" s="18">
        <v>951</v>
      </c>
      <c r="C404" s="33" t="s">
        <v>179</v>
      </c>
      <c r="D404" s="33" t="s">
        <v>163</v>
      </c>
      <c r="E404" s="54" t="s">
        <v>781</v>
      </c>
      <c r="F404" s="54" t="s">
        <v>426</v>
      </c>
      <c r="G404" s="90">
        <f aca="true" t="shared" si="24" ref="G404:G409">H404+I404</f>
        <v>0</v>
      </c>
      <c r="H404" s="90"/>
      <c r="I404" s="90">
        <f>I405</f>
        <v>0</v>
      </c>
    </row>
    <row r="405" spans="1:9" ht="27.75" customHeight="1" hidden="1">
      <c r="A405" s="14" t="s">
        <v>202</v>
      </c>
      <c r="B405" s="18">
        <v>951</v>
      </c>
      <c r="C405" s="33" t="s">
        <v>179</v>
      </c>
      <c r="D405" s="33" t="s">
        <v>163</v>
      </c>
      <c r="E405" s="33" t="s">
        <v>781</v>
      </c>
      <c r="F405" s="33" t="s">
        <v>170</v>
      </c>
      <c r="G405" s="81">
        <f t="shared" si="24"/>
        <v>0</v>
      </c>
      <c r="H405" s="81"/>
      <c r="I405" s="81">
        <f>I406</f>
        <v>0</v>
      </c>
    </row>
    <row r="406" spans="1:9" ht="41.25" customHeight="1" hidden="1">
      <c r="A406" s="42" t="s">
        <v>203</v>
      </c>
      <c r="B406" s="18">
        <v>951</v>
      </c>
      <c r="C406" s="33" t="s">
        <v>179</v>
      </c>
      <c r="D406" s="33" t="s">
        <v>163</v>
      </c>
      <c r="E406" s="33" t="s">
        <v>781</v>
      </c>
      <c r="F406" s="33" t="s">
        <v>204</v>
      </c>
      <c r="G406" s="81">
        <f t="shared" si="24"/>
        <v>0</v>
      </c>
      <c r="H406" s="81"/>
      <c r="I406" s="81">
        <v>0</v>
      </c>
    </row>
    <row r="407" spans="1:9" ht="82.5" customHeight="1" hidden="1">
      <c r="A407" s="50" t="s">
        <v>783</v>
      </c>
      <c r="B407" s="18">
        <v>951</v>
      </c>
      <c r="C407" s="33" t="s">
        <v>179</v>
      </c>
      <c r="D407" s="33" t="s">
        <v>163</v>
      </c>
      <c r="E407" s="54" t="s">
        <v>784</v>
      </c>
      <c r="F407" s="54" t="s">
        <v>426</v>
      </c>
      <c r="G407" s="90">
        <f t="shared" si="24"/>
        <v>0</v>
      </c>
      <c r="H407" s="90">
        <f>H408</f>
        <v>0</v>
      </c>
      <c r="I407" s="90"/>
    </row>
    <row r="408" spans="1:9" ht="30" customHeight="1" hidden="1">
      <c r="A408" s="14" t="s">
        <v>202</v>
      </c>
      <c r="B408" s="18">
        <v>951</v>
      </c>
      <c r="C408" s="33" t="s">
        <v>179</v>
      </c>
      <c r="D408" s="33" t="s">
        <v>163</v>
      </c>
      <c r="E408" s="33" t="s">
        <v>784</v>
      </c>
      <c r="F408" s="33" t="s">
        <v>170</v>
      </c>
      <c r="G408" s="81">
        <f t="shared" si="24"/>
        <v>0</v>
      </c>
      <c r="H408" s="81">
        <f>H409</f>
        <v>0</v>
      </c>
      <c r="I408" s="81"/>
    </row>
    <row r="409" spans="1:9" ht="40.5" customHeight="1" hidden="1">
      <c r="A409" s="42" t="s">
        <v>203</v>
      </c>
      <c r="B409" s="18">
        <v>951</v>
      </c>
      <c r="C409" s="33" t="s">
        <v>179</v>
      </c>
      <c r="D409" s="33" t="s">
        <v>163</v>
      </c>
      <c r="E409" s="33" t="s">
        <v>784</v>
      </c>
      <c r="F409" s="33" t="s">
        <v>204</v>
      </c>
      <c r="G409" s="81">
        <f t="shared" si="24"/>
        <v>0</v>
      </c>
      <c r="H409" s="81">
        <v>0</v>
      </c>
      <c r="I409" s="81"/>
    </row>
    <row r="410" spans="1:9" ht="45.75" customHeight="1">
      <c r="A410" s="75" t="s">
        <v>249</v>
      </c>
      <c r="B410" s="164">
        <v>951</v>
      </c>
      <c r="C410" s="76" t="s">
        <v>181</v>
      </c>
      <c r="D410" s="76" t="s">
        <v>162</v>
      </c>
      <c r="E410" s="76" t="s">
        <v>337</v>
      </c>
      <c r="F410" s="76" t="s">
        <v>426</v>
      </c>
      <c r="G410" s="114">
        <f>H410+I410</f>
        <v>1090</v>
      </c>
      <c r="H410" s="89">
        <f aca="true" t="shared" si="25" ref="H410:I414">H411</f>
        <v>1090</v>
      </c>
      <c r="I410" s="89">
        <f t="shared" si="25"/>
        <v>0</v>
      </c>
    </row>
    <row r="411" spans="1:9" ht="75">
      <c r="A411" s="50" t="s">
        <v>570</v>
      </c>
      <c r="B411" s="73">
        <v>951</v>
      </c>
      <c r="C411" s="33" t="s">
        <v>181</v>
      </c>
      <c r="D411" s="33" t="s">
        <v>161</v>
      </c>
      <c r="E411" s="33" t="s">
        <v>337</v>
      </c>
      <c r="F411" s="33" t="s">
        <v>426</v>
      </c>
      <c r="G411" s="81">
        <f t="shared" si="20"/>
        <v>1090</v>
      </c>
      <c r="H411" s="105">
        <f t="shared" si="25"/>
        <v>1090</v>
      </c>
      <c r="I411" s="105">
        <f t="shared" si="25"/>
        <v>0</v>
      </c>
    </row>
    <row r="412" spans="1:9" ht="30">
      <c r="A412" s="14" t="s">
        <v>372</v>
      </c>
      <c r="B412" s="73">
        <v>951</v>
      </c>
      <c r="C412" s="33" t="s">
        <v>181</v>
      </c>
      <c r="D412" s="33" t="s">
        <v>161</v>
      </c>
      <c r="E412" s="33" t="s">
        <v>547</v>
      </c>
      <c r="F412" s="33" t="s">
        <v>426</v>
      </c>
      <c r="G412" s="81">
        <f t="shared" si="20"/>
        <v>1090</v>
      </c>
      <c r="H412" s="105">
        <f t="shared" si="25"/>
        <v>1090</v>
      </c>
      <c r="I412" s="105">
        <f t="shared" si="25"/>
        <v>0</v>
      </c>
    </row>
    <row r="413" spans="1:9" ht="30">
      <c r="A413" s="14" t="s">
        <v>250</v>
      </c>
      <c r="B413" s="73">
        <v>951</v>
      </c>
      <c r="C413" s="33" t="s">
        <v>181</v>
      </c>
      <c r="D413" s="33" t="s">
        <v>161</v>
      </c>
      <c r="E413" s="33" t="s">
        <v>547</v>
      </c>
      <c r="F413" s="33" t="s">
        <v>426</v>
      </c>
      <c r="G413" s="81">
        <f t="shared" si="20"/>
        <v>1090</v>
      </c>
      <c r="H413" s="105">
        <f t="shared" si="25"/>
        <v>1090</v>
      </c>
      <c r="I413" s="105">
        <f t="shared" si="25"/>
        <v>0</v>
      </c>
    </row>
    <row r="414" spans="1:9" ht="30">
      <c r="A414" s="14" t="s">
        <v>221</v>
      </c>
      <c r="B414" s="73">
        <v>951</v>
      </c>
      <c r="C414" s="33" t="s">
        <v>181</v>
      </c>
      <c r="D414" s="33" t="s">
        <v>161</v>
      </c>
      <c r="E414" s="33" t="s">
        <v>547</v>
      </c>
      <c r="F414" s="33" t="s">
        <v>222</v>
      </c>
      <c r="G414" s="81">
        <f t="shared" si="20"/>
        <v>1090</v>
      </c>
      <c r="H414" s="105">
        <f t="shared" si="25"/>
        <v>1090</v>
      </c>
      <c r="I414" s="105">
        <f t="shared" si="25"/>
        <v>0</v>
      </c>
    </row>
    <row r="415" spans="1:9" ht="15">
      <c r="A415" s="14" t="s">
        <v>251</v>
      </c>
      <c r="B415" s="73">
        <v>951</v>
      </c>
      <c r="C415" s="33" t="s">
        <v>181</v>
      </c>
      <c r="D415" s="33" t="s">
        <v>161</v>
      </c>
      <c r="E415" s="33" t="s">
        <v>547</v>
      </c>
      <c r="F415" s="33" t="s">
        <v>350</v>
      </c>
      <c r="G415" s="81">
        <f t="shared" si="20"/>
        <v>1090</v>
      </c>
      <c r="H415" s="105">
        <v>1090</v>
      </c>
      <c r="I415" s="105"/>
    </row>
    <row r="416" spans="1:11" ht="30" customHeight="1">
      <c r="A416" s="216" t="s">
        <v>414</v>
      </c>
      <c r="B416" s="164" t="s">
        <v>427</v>
      </c>
      <c r="C416" s="164" t="s">
        <v>162</v>
      </c>
      <c r="D416" s="164" t="s">
        <v>162</v>
      </c>
      <c r="E416" s="164" t="s">
        <v>337</v>
      </c>
      <c r="F416" s="164" t="s">
        <v>426</v>
      </c>
      <c r="G416" s="89">
        <f>H416+I416</f>
        <v>3847.8</v>
      </c>
      <c r="H416" s="114">
        <f>H417</f>
        <v>3847.8</v>
      </c>
      <c r="I416" s="114">
        <f aca="true" t="shared" si="26" ref="H416:I418">I417</f>
        <v>0</v>
      </c>
      <c r="K416" s="80"/>
    </row>
    <row r="417" spans="1:9" ht="60">
      <c r="A417" s="14" t="s">
        <v>167</v>
      </c>
      <c r="B417" s="73" t="s">
        <v>427</v>
      </c>
      <c r="C417" s="33" t="s">
        <v>161</v>
      </c>
      <c r="D417" s="33" t="s">
        <v>168</v>
      </c>
      <c r="E417" s="33" t="s">
        <v>337</v>
      </c>
      <c r="F417" s="33" t="s">
        <v>426</v>
      </c>
      <c r="G417" s="81">
        <f t="shared" si="20"/>
        <v>3847.8</v>
      </c>
      <c r="H417" s="81">
        <f t="shared" si="26"/>
        <v>3847.8</v>
      </c>
      <c r="I417" s="81">
        <f t="shared" si="26"/>
        <v>0</v>
      </c>
    </row>
    <row r="418" spans="1:9" ht="30">
      <c r="A418" s="14" t="s">
        <v>164</v>
      </c>
      <c r="B418" s="73" t="s">
        <v>427</v>
      </c>
      <c r="C418" s="33" t="s">
        <v>161</v>
      </c>
      <c r="D418" s="33" t="s">
        <v>168</v>
      </c>
      <c r="E418" s="33" t="s">
        <v>19</v>
      </c>
      <c r="F418" s="33" t="s">
        <v>426</v>
      </c>
      <c r="G418" s="81">
        <f t="shared" si="20"/>
        <v>3847.8</v>
      </c>
      <c r="H418" s="105">
        <f t="shared" si="26"/>
        <v>3847.8</v>
      </c>
      <c r="I418" s="105">
        <f t="shared" si="26"/>
        <v>0</v>
      </c>
    </row>
    <row r="419" spans="1:9" ht="45">
      <c r="A419" s="14" t="s">
        <v>165</v>
      </c>
      <c r="B419" s="73" t="s">
        <v>427</v>
      </c>
      <c r="C419" s="33" t="s">
        <v>161</v>
      </c>
      <c r="D419" s="33" t="s">
        <v>168</v>
      </c>
      <c r="E419" s="33" t="s">
        <v>20</v>
      </c>
      <c r="F419" s="33" t="s">
        <v>426</v>
      </c>
      <c r="G419" s="81">
        <f t="shared" si="20"/>
        <v>3847.8</v>
      </c>
      <c r="H419" s="105">
        <f>H425+H420</f>
        <v>3847.8</v>
      </c>
      <c r="I419" s="105">
        <f>I425</f>
        <v>0</v>
      </c>
    </row>
    <row r="420" spans="1:9" ht="30">
      <c r="A420" s="14" t="s">
        <v>195</v>
      </c>
      <c r="B420" s="73" t="s">
        <v>427</v>
      </c>
      <c r="C420" s="33" t="s">
        <v>161</v>
      </c>
      <c r="D420" s="33" t="s">
        <v>168</v>
      </c>
      <c r="E420" s="33" t="s">
        <v>22</v>
      </c>
      <c r="F420" s="33" t="s">
        <v>426</v>
      </c>
      <c r="G420" s="81">
        <f t="shared" si="20"/>
        <v>1683</v>
      </c>
      <c r="H420" s="105">
        <f>H421+H423</f>
        <v>1683</v>
      </c>
      <c r="I420" s="105">
        <f>I421+I423</f>
        <v>0</v>
      </c>
    </row>
    <row r="421" spans="1:9" ht="87" customHeight="1">
      <c r="A421" s="14" t="s">
        <v>199</v>
      </c>
      <c r="B421" s="73" t="s">
        <v>427</v>
      </c>
      <c r="C421" s="33" t="s">
        <v>161</v>
      </c>
      <c r="D421" s="33" t="s">
        <v>168</v>
      </c>
      <c r="E421" s="33" t="s">
        <v>22</v>
      </c>
      <c r="F421" s="33" t="s">
        <v>166</v>
      </c>
      <c r="G421" s="81">
        <f t="shared" si="20"/>
        <v>1668</v>
      </c>
      <c r="H421" s="105">
        <f>H422</f>
        <v>1668</v>
      </c>
      <c r="I421" s="105">
        <v>0</v>
      </c>
    </row>
    <row r="422" spans="1:9" ht="33" customHeight="1">
      <c r="A422" s="14" t="s">
        <v>201</v>
      </c>
      <c r="B422" s="73" t="s">
        <v>427</v>
      </c>
      <c r="C422" s="33" t="s">
        <v>161</v>
      </c>
      <c r="D422" s="33" t="s">
        <v>168</v>
      </c>
      <c r="E422" s="33" t="s">
        <v>22</v>
      </c>
      <c r="F422" s="33" t="s">
        <v>200</v>
      </c>
      <c r="G422" s="81">
        <f t="shared" si="20"/>
        <v>1668</v>
      </c>
      <c r="H422" s="105">
        <v>1668</v>
      </c>
      <c r="I422" s="105">
        <v>0</v>
      </c>
    </row>
    <row r="423" spans="1:9" ht="33" customHeight="1">
      <c r="A423" s="14" t="s">
        <v>202</v>
      </c>
      <c r="B423" s="73" t="s">
        <v>427</v>
      </c>
      <c r="C423" s="33" t="s">
        <v>161</v>
      </c>
      <c r="D423" s="33" t="s">
        <v>168</v>
      </c>
      <c r="E423" s="33" t="s">
        <v>22</v>
      </c>
      <c r="F423" s="33" t="s">
        <v>170</v>
      </c>
      <c r="G423" s="81">
        <f>H423+I423</f>
        <v>15</v>
      </c>
      <c r="H423" s="105">
        <f>H424</f>
        <v>15</v>
      </c>
      <c r="I423" s="105">
        <f>I424</f>
        <v>0</v>
      </c>
    </row>
    <row r="424" spans="1:9" ht="48" customHeight="1">
      <c r="A424" s="14" t="s">
        <v>203</v>
      </c>
      <c r="B424" s="73" t="s">
        <v>427</v>
      </c>
      <c r="C424" s="33" t="s">
        <v>161</v>
      </c>
      <c r="D424" s="33" t="s">
        <v>168</v>
      </c>
      <c r="E424" s="33" t="s">
        <v>22</v>
      </c>
      <c r="F424" s="33" t="s">
        <v>204</v>
      </c>
      <c r="G424" s="81">
        <f>H424+I424</f>
        <v>15</v>
      </c>
      <c r="H424" s="105">
        <v>15</v>
      </c>
      <c r="I424" s="105"/>
    </row>
    <row r="425" spans="1:11" ht="45" customHeight="1">
      <c r="A425" s="14" t="s">
        <v>169</v>
      </c>
      <c r="B425" s="73" t="s">
        <v>427</v>
      </c>
      <c r="C425" s="33" t="s">
        <v>161</v>
      </c>
      <c r="D425" s="33" t="s">
        <v>168</v>
      </c>
      <c r="E425" s="33" t="s">
        <v>23</v>
      </c>
      <c r="F425" s="33" t="s">
        <v>426</v>
      </c>
      <c r="G425" s="81">
        <f t="shared" si="20"/>
        <v>2164.8</v>
      </c>
      <c r="H425" s="105">
        <f>H426+H428+H430</f>
        <v>2164.8</v>
      </c>
      <c r="I425" s="105">
        <f>I426+I428</f>
        <v>0</v>
      </c>
      <c r="K425" s="80"/>
    </row>
    <row r="426" spans="1:9" ht="75" customHeight="1">
      <c r="A426" s="14" t="s">
        <v>199</v>
      </c>
      <c r="B426" s="73" t="s">
        <v>427</v>
      </c>
      <c r="C426" s="33" t="s">
        <v>161</v>
      </c>
      <c r="D426" s="33" t="s">
        <v>168</v>
      </c>
      <c r="E426" s="33" t="s">
        <v>23</v>
      </c>
      <c r="F426" s="33" t="s">
        <v>166</v>
      </c>
      <c r="G426" s="81">
        <f t="shared" si="20"/>
        <v>1623.7340000000002</v>
      </c>
      <c r="H426" s="105">
        <f>H427</f>
        <v>1623.7340000000002</v>
      </c>
      <c r="I426" s="105">
        <f>I427</f>
        <v>0</v>
      </c>
    </row>
    <row r="427" spans="1:9" ht="31.5" customHeight="1">
      <c r="A427" s="14" t="s">
        <v>201</v>
      </c>
      <c r="B427" s="73" t="s">
        <v>427</v>
      </c>
      <c r="C427" s="33" t="s">
        <v>161</v>
      </c>
      <c r="D427" s="33" t="s">
        <v>168</v>
      </c>
      <c r="E427" s="33" t="s">
        <v>23</v>
      </c>
      <c r="F427" s="33" t="s">
        <v>200</v>
      </c>
      <c r="G427" s="81">
        <f t="shared" si="20"/>
        <v>1623.7340000000002</v>
      </c>
      <c r="H427" s="81">
        <f>1820.9-197.166</f>
        <v>1623.7340000000002</v>
      </c>
      <c r="I427" s="105"/>
    </row>
    <row r="428" spans="1:9" ht="30">
      <c r="A428" s="14" t="s">
        <v>202</v>
      </c>
      <c r="B428" s="73" t="s">
        <v>427</v>
      </c>
      <c r="C428" s="33" t="s">
        <v>161</v>
      </c>
      <c r="D428" s="33" t="s">
        <v>168</v>
      </c>
      <c r="E428" s="33" t="s">
        <v>23</v>
      </c>
      <c r="F428" s="33" t="s">
        <v>170</v>
      </c>
      <c r="G428" s="81">
        <f t="shared" si="20"/>
        <v>536.066</v>
      </c>
      <c r="H428" s="105">
        <f>H429</f>
        <v>536.066</v>
      </c>
      <c r="I428" s="105">
        <f>I429</f>
        <v>0</v>
      </c>
    </row>
    <row r="429" spans="1:9" ht="45">
      <c r="A429" s="14" t="s">
        <v>203</v>
      </c>
      <c r="B429" s="73" t="s">
        <v>427</v>
      </c>
      <c r="C429" s="33" t="s">
        <v>161</v>
      </c>
      <c r="D429" s="33" t="s">
        <v>168</v>
      </c>
      <c r="E429" s="33" t="s">
        <v>23</v>
      </c>
      <c r="F429" s="33" t="s">
        <v>204</v>
      </c>
      <c r="G429" s="81">
        <f t="shared" si="20"/>
        <v>536.066</v>
      </c>
      <c r="H429" s="81">
        <f>2164.8-5-1820.9+197.166</f>
        <v>536.066</v>
      </c>
      <c r="I429" s="105"/>
    </row>
    <row r="430" spans="1:9" ht="15">
      <c r="A430" s="14" t="s">
        <v>207</v>
      </c>
      <c r="B430" s="18" t="s">
        <v>427</v>
      </c>
      <c r="C430" s="33" t="s">
        <v>161</v>
      </c>
      <c r="D430" s="33" t="s">
        <v>168</v>
      </c>
      <c r="E430" s="33" t="s">
        <v>23</v>
      </c>
      <c r="F430" s="33" t="s">
        <v>208</v>
      </c>
      <c r="G430" s="81">
        <f>H430+I430</f>
        <v>5</v>
      </c>
      <c r="H430" s="81">
        <f>H431</f>
        <v>5</v>
      </c>
      <c r="I430" s="105"/>
    </row>
    <row r="431" spans="1:9" ht="15">
      <c r="A431" s="14" t="s">
        <v>205</v>
      </c>
      <c r="B431" s="18" t="s">
        <v>427</v>
      </c>
      <c r="C431" s="33" t="s">
        <v>161</v>
      </c>
      <c r="D431" s="33" t="s">
        <v>168</v>
      </c>
      <c r="E431" s="33" t="s">
        <v>23</v>
      </c>
      <c r="F431" s="33" t="s">
        <v>206</v>
      </c>
      <c r="G431" s="81">
        <f>H431+I431</f>
        <v>5</v>
      </c>
      <c r="H431" s="81">
        <v>5</v>
      </c>
      <c r="I431" s="105"/>
    </row>
    <row r="432" spans="1:9" ht="45" customHeight="1">
      <c r="A432" s="216" t="s">
        <v>646</v>
      </c>
      <c r="B432" s="164" t="s">
        <v>430</v>
      </c>
      <c r="C432" s="164" t="s">
        <v>162</v>
      </c>
      <c r="D432" s="164" t="s">
        <v>162</v>
      </c>
      <c r="E432" s="164" t="s">
        <v>337</v>
      </c>
      <c r="F432" s="164" t="s">
        <v>426</v>
      </c>
      <c r="G432" s="89">
        <f>H432+I432</f>
        <v>27058.970999999998</v>
      </c>
      <c r="H432" s="114">
        <f>H433+H442+H445+H451+H454</f>
        <v>15767.894999999999</v>
      </c>
      <c r="I432" s="114">
        <f>I433+I442+I454</f>
        <v>11291.076</v>
      </c>
    </row>
    <row r="433" spans="1:9" ht="45.75" customHeight="1">
      <c r="A433" s="47" t="s">
        <v>415</v>
      </c>
      <c r="B433" s="73" t="s">
        <v>430</v>
      </c>
      <c r="C433" s="33" t="s">
        <v>161</v>
      </c>
      <c r="D433" s="33" t="s">
        <v>174</v>
      </c>
      <c r="E433" s="33" t="s">
        <v>337</v>
      </c>
      <c r="F433" s="33" t="s">
        <v>426</v>
      </c>
      <c r="G433" s="81">
        <f t="shared" si="20"/>
        <v>6459.92</v>
      </c>
      <c r="H433" s="105">
        <f>H434</f>
        <v>6459.92</v>
      </c>
      <c r="I433" s="105">
        <f>I434</f>
        <v>0</v>
      </c>
    </row>
    <row r="434" spans="1:9" ht="42.75" customHeight="1">
      <c r="A434" s="47" t="s">
        <v>165</v>
      </c>
      <c r="B434" s="73" t="s">
        <v>430</v>
      </c>
      <c r="C434" s="33" t="s">
        <v>161</v>
      </c>
      <c r="D434" s="33" t="s">
        <v>174</v>
      </c>
      <c r="E434" s="33" t="s">
        <v>19</v>
      </c>
      <c r="F434" s="33" t="s">
        <v>426</v>
      </c>
      <c r="G434" s="81">
        <f t="shared" si="20"/>
        <v>6459.92</v>
      </c>
      <c r="H434" s="105">
        <f>H435</f>
        <v>6459.92</v>
      </c>
      <c r="I434" s="105">
        <f>I435</f>
        <v>0</v>
      </c>
    </row>
    <row r="435" spans="1:11" ht="45">
      <c r="A435" s="14" t="s">
        <v>308</v>
      </c>
      <c r="B435" s="73" t="s">
        <v>430</v>
      </c>
      <c r="C435" s="33" t="s">
        <v>161</v>
      </c>
      <c r="D435" s="33" t="s">
        <v>174</v>
      </c>
      <c r="E435" s="33" t="s">
        <v>20</v>
      </c>
      <c r="F435" s="33" t="s">
        <v>426</v>
      </c>
      <c r="G435" s="81">
        <f t="shared" si="20"/>
        <v>6459.92</v>
      </c>
      <c r="H435" s="105">
        <f>H436+H438+H440</f>
        <v>6459.92</v>
      </c>
      <c r="I435" s="105">
        <f>I436+I438+I440</f>
        <v>0</v>
      </c>
      <c r="K435" s="80"/>
    </row>
    <row r="436" spans="1:9" ht="91.5" customHeight="1">
      <c r="A436" s="14" t="s">
        <v>199</v>
      </c>
      <c r="B436" s="73" t="s">
        <v>430</v>
      </c>
      <c r="C436" s="33" t="s">
        <v>161</v>
      </c>
      <c r="D436" s="33" t="s">
        <v>174</v>
      </c>
      <c r="E436" s="33" t="s">
        <v>23</v>
      </c>
      <c r="F436" s="33" t="s">
        <v>166</v>
      </c>
      <c r="G436" s="81">
        <f t="shared" si="20"/>
        <v>5591.12</v>
      </c>
      <c r="H436" s="105">
        <f>H437</f>
        <v>5591.12</v>
      </c>
      <c r="I436" s="105">
        <f>I437</f>
        <v>0</v>
      </c>
    </row>
    <row r="437" spans="1:9" ht="30">
      <c r="A437" s="14" t="s">
        <v>201</v>
      </c>
      <c r="B437" s="73" t="s">
        <v>430</v>
      </c>
      <c r="C437" s="33" t="s">
        <v>161</v>
      </c>
      <c r="D437" s="33" t="s">
        <v>174</v>
      </c>
      <c r="E437" s="33" t="s">
        <v>23</v>
      </c>
      <c r="F437" s="33" t="s">
        <v>200</v>
      </c>
      <c r="G437" s="81">
        <f t="shared" si="20"/>
        <v>5591.12</v>
      </c>
      <c r="H437" s="81">
        <v>5591.12</v>
      </c>
      <c r="I437" s="105"/>
    </row>
    <row r="438" spans="1:9" ht="30">
      <c r="A438" s="14" t="s">
        <v>202</v>
      </c>
      <c r="B438" s="73" t="s">
        <v>430</v>
      </c>
      <c r="C438" s="33" t="s">
        <v>161</v>
      </c>
      <c r="D438" s="33" t="s">
        <v>174</v>
      </c>
      <c r="E438" s="33" t="s">
        <v>23</v>
      </c>
      <c r="F438" s="33" t="s">
        <v>170</v>
      </c>
      <c r="G438" s="81">
        <f t="shared" si="20"/>
        <v>860.8</v>
      </c>
      <c r="H438" s="105">
        <f>H439</f>
        <v>860.8</v>
      </c>
      <c r="I438" s="105">
        <f>I439</f>
        <v>0</v>
      </c>
    </row>
    <row r="439" spans="1:9" ht="45">
      <c r="A439" s="14" t="s">
        <v>203</v>
      </c>
      <c r="B439" s="73" t="s">
        <v>430</v>
      </c>
      <c r="C439" s="33" t="s">
        <v>161</v>
      </c>
      <c r="D439" s="33" t="s">
        <v>174</v>
      </c>
      <c r="E439" s="33" t="s">
        <v>23</v>
      </c>
      <c r="F439" s="33" t="s">
        <v>204</v>
      </c>
      <c r="G439" s="81">
        <f t="shared" si="20"/>
        <v>860.8</v>
      </c>
      <c r="H439" s="81">
        <v>860.8</v>
      </c>
      <c r="I439" s="105"/>
    </row>
    <row r="440" spans="1:9" ht="15">
      <c r="A440" s="14" t="s">
        <v>207</v>
      </c>
      <c r="B440" s="73" t="s">
        <v>430</v>
      </c>
      <c r="C440" s="33" t="s">
        <v>161</v>
      </c>
      <c r="D440" s="33" t="s">
        <v>174</v>
      </c>
      <c r="E440" s="33" t="s">
        <v>23</v>
      </c>
      <c r="F440" s="33" t="s">
        <v>208</v>
      </c>
      <c r="G440" s="81">
        <f t="shared" si="20"/>
        <v>8</v>
      </c>
      <c r="H440" s="105">
        <f>H441</f>
        <v>8</v>
      </c>
      <c r="I440" s="105">
        <f>I441</f>
        <v>0</v>
      </c>
    </row>
    <row r="441" spans="1:9" ht="15">
      <c r="A441" s="14" t="s">
        <v>205</v>
      </c>
      <c r="B441" s="73" t="s">
        <v>430</v>
      </c>
      <c r="C441" s="33" t="s">
        <v>161</v>
      </c>
      <c r="D441" s="33" t="s">
        <v>174</v>
      </c>
      <c r="E441" s="33" t="s">
        <v>23</v>
      </c>
      <c r="F441" s="33" t="s">
        <v>206</v>
      </c>
      <c r="G441" s="81">
        <f t="shared" si="20"/>
        <v>8</v>
      </c>
      <c r="H441" s="81">
        <v>8</v>
      </c>
      <c r="I441" s="105"/>
    </row>
    <row r="442" spans="1:9" ht="15" hidden="1">
      <c r="A442" s="14" t="s">
        <v>211</v>
      </c>
      <c r="B442" s="73" t="s">
        <v>430</v>
      </c>
      <c r="C442" s="33" t="s">
        <v>161</v>
      </c>
      <c r="D442" s="33" t="s">
        <v>174</v>
      </c>
      <c r="E442" s="33" t="s">
        <v>339</v>
      </c>
      <c r="F442" s="33" t="s">
        <v>426</v>
      </c>
      <c r="G442" s="81">
        <f t="shared" si="20"/>
        <v>0</v>
      </c>
      <c r="H442" s="105">
        <f>H443</f>
        <v>0</v>
      </c>
      <c r="I442" s="105">
        <f>I443</f>
        <v>0</v>
      </c>
    </row>
    <row r="443" spans="1:9" ht="15" hidden="1">
      <c r="A443" s="14" t="s">
        <v>207</v>
      </c>
      <c r="B443" s="73" t="s">
        <v>430</v>
      </c>
      <c r="C443" s="33" t="s">
        <v>161</v>
      </c>
      <c r="D443" s="33" t="s">
        <v>174</v>
      </c>
      <c r="E443" s="33" t="s">
        <v>339</v>
      </c>
      <c r="F443" s="33" t="s">
        <v>208</v>
      </c>
      <c r="G443" s="81">
        <f t="shared" si="20"/>
        <v>0</v>
      </c>
      <c r="H443" s="105">
        <f>H444</f>
        <v>0</v>
      </c>
      <c r="I443" s="105">
        <f>I444</f>
        <v>0</v>
      </c>
    </row>
    <row r="444" spans="1:9" ht="15" hidden="1">
      <c r="A444" s="14" t="s">
        <v>211</v>
      </c>
      <c r="B444" s="73" t="s">
        <v>430</v>
      </c>
      <c r="C444" s="33" t="s">
        <v>161</v>
      </c>
      <c r="D444" s="33" t="s">
        <v>174</v>
      </c>
      <c r="E444" s="33" t="s">
        <v>339</v>
      </c>
      <c r="F444" s="33" t="s">
        <v>212</v>
      </c>
      <c r="G444" s="81">
        <f t="shared" si="20"/>
        <v>0</v>
      </c>
      <c r="H444" s="105"/>
      <c r="I444" s="105"/>
    </row>
    <row r="445" spans="1:9" ht="30" hidden="1">
      <c r="A445" s="51" t="s">
        <v>521</v>
      </c>
      <c r="B445" s="70" t="s">
        <v>430</v>
      </c>
      <c r="C445" s="54" t="s">
        <v>161</v>
      </c>
      <c r="D445" s="54" t="s">
        <v>408</v>
      </c>
      <c r="E445" s="54" t="s">
        <v>337</v>
      </c>
      <c r="F445" s="54" t="s">
        <v>426</v>
      </c>
      <c r="G445" s="90">
        <f t="shared" si="20"/>
        <v>0</v>
      </c>
      <c r="H445" s="90">
        <f>H446</f>
        <v>0</v>
      </c>
      <c r="I445" s="90"/>
    </row>
    <row r="446" spans="1:9" ht="30" hidden="1">
      <c r="A446" s="14" t="s">
        <v>522</v>
      </c>
      <c r="B446" s="73" t="s">
        <v>430</v>
      </c>
      <c r="C446" s="33" t="s">
        <v>161</v>
      </c>
      <c r="D446" s="33" t="s">
        <v>408</v>
      </c>
      <c r="E446" s="33" t="s">
        <v>19</v>
      </c>
      <c r="F446" s="33" t="s">
        <v>426</v>
      </c>
      <c r="G446" s="81">
        <f t="shared" si="20"/>
        <v>0</v>
      </c>
      <c r="H446" s="105">
        <f>H447</f>
        <v>0</v>
      </c>
      <c r="I446" s="105"/>
    </row>
    <row r="447" spans="1:9" ht="45" hidden="1">
      <c r="A447" s="14" t="s">
        <v>165</v>
      </c>
      <c r="B447" s="73" t="s">
        <v>430</v>
      </c>
      <c r="C447" s="33" t="s">
        <v>161</v>
      </c>
      <c r="D447" s="33" t="s">
        <v>408</v>
      </c>
      <c r="E447" s="33" t="s">
        <v>20</v>
      </c>
      <c r="F447" s="33" t="s">
        <v>426</v>
      </c>
      <c r="G447" s="81">
        <f t="shared" si="20"/>
        <v>0</v>
      </c>
      <c r="H447" s="105">
        <f>H448</f>
        <v>0</v>
      </c>
      <c r="I447" s="105"/>
    </row>
    <row r="448" spans="1:9" ht="30" hidden="1">
      <c r="A448" s="14" t="s">
        <v>523</v>
      </c>
      <c r="B448" s="73" t="s">
        <v>430</v>
      </c>
      <c r="C448" s="33" t="s">
        <v>161</v>
      </c>
      <c r="D448" s="33" t="s">
        <v>408</v>
      </c>
      <c r="E448" s="33" t="s">
        <v>524</v>
      </c>
      <c r="F448" s="33" t="s">
        <v>426</v>
      </c>
      <c r="G448" s="81">
        <f t="shared" si="20"/>
        <v>0</v>
      </c>
      <c r="H448" s="105">
        <f>H449</f>
        <v>0</v>
      </c>
      <c r="I448" s="105"/>
    </row>
    <row r="449" spans="1:9" ht="15" hidden="1">
      <c r="A449" s="14" t="s">
        <v>207</v>
      </c>
      <c r="B449" s="73" t="s">
        <v>430</v>
      </c>
      <c r="C449" s="33" t="s">
        <v>161</v>
      </c>
      <c r="D449" s="33" t="s">
        <v>408</v>
      </c>
      <c r="E449" s="33" t="s">
        <v>524</v>
      </c>
      <c r="F449" s="33" t="s">
        <v>208</v>
      </c>
      <c r="G449" s="81">
        <f t="shared" si="20"/>
        <v>0</v>
      </c>
      <c r="H449" s="105">
        <f>H450</f>
        <v>0</v>
      </c>
      <c r="I449" s="105"/>
    </row>
    <row r="450" spans="1:9" ht="15" hidden="1">
      <c r="A450" s="212" t="s">
        <v>577</v>
      </c>
      <c r="B450" s="73" t="s">
        <v>430</v>
      </c>
      <c r="C450" s="33" t="s">
        <v>161</v>
      </c>
      <c r="D450" s="33" t="s">
        <v>408</v>
      </c>
      <c r="E450" s="33" t="s">
        <v>524</v>
      </c>
      <c r="F450" s="33" t="s">
        <v>578</v>
      </c>
      <c r="G450" s="81">
        <f aca="true" t="shared" si="27" ref="G450:G466">H450+I450</f>
        <v>0</v>
      </c>
      <c r="H450" s="105">
        <v>0</v>
      </c>
      <c r="I450" s="105"/>
    </row>
    <row r="451" spans="1:9" ht="15" hidden="1">
      <c r="A451" s="50" t="s">
        <v>211</v>
      </c>
      <c r="B451" s="70" t="s">
        <v>430</v>
      </c>
      <c r="C451" s="54" t="s">
        <v>161</v>
      </c>
      <c r="D451" s="54" t="s">
        <v>181</v>
      </c>
      <c r="E451" s="54" t="s">
        <v>27</v>
      </c>
      <c r="F451" s="54" t="s">
        <v>426</v>
      </c>
      <c r="G451" s="90">
        <f t="shared" si="27"/>
        <v>0</v>
      </c>
      <c r="H451" s="90">
        <f>H452</f>
        <v>0</v>
      </c>
      <c r="I451" s="90"/>
    </row>
    <row r="452" spans="1:9" ht="15" hidden="1">
      <c r="A452" s="14" t="s">
        <v>207</v>
      </c>
      <c r="B452" s="18" t="s">
        <v>430</v>
      </c>
      <c r="C452" s="33" t="s">
        <v>161</v>
      </c>
      <c r="D452" s="33" t="s">
        <v>181</v>
      </c>
      <c r="E452" s="33" t="s">
        <v>27</v>
      </c>
      <c r="F452" s="33" t="s">
        <v>208</v>
      </c>
      <c r="G452" s="81">
        <f t="shared" si="27"/>
        <v>0</v>
      </c>
      <c r="H452" s="81">
        <f>H453</f>
        <v>0</v>
      </c>
      <c r="I452" s="81"/>
    </row>
    <row r="453" spans="1:9" ht="15" hidden="1">
      <c r="A453" s="14" t="s">
        <v>211</v>
      </c>
      <c r="B453" s="18" t="s">
        <v>430</v>
      </c>
      <c r="C453" s="33" t="s">
        <v>161</v>
      </c>
      <c r="D453" s="33" t="s">
        <v>181</v>
      </c>
      <c r="E453" s="33" t="s">
        <v>27</v>
      </c>
      <c r="F453" s="33" t="s">
        <v>212</v>
      </c>
      <c r="G453" s="81">
        <f t="shared" si="27"/>
        <v>0</v>
      </c>
      <c r="H453" s="81">
        <v>0</v>
      </c>
      <c r="I453" s="81"/>
    </row>
    <row r="454" spans="1:9" ht="75">
      <c r="A454" s="71" t="s">
        <v>570</v>
      </c>
      <c r="B454" s="83" t="s">
        <v>430</v>
      </c>
      <c r="C454" s="69" t="s">
        <v>253</v>
      </c>
      <c r="D454" s="69" t="s">
        <v>162</v>
      </c>
      <c r="E454" s="69" t="s">
        <v>552</v>
      </c>
      <c r="F454" s="69" t="s">
        <v>426</v>
      </c>
      <c r="G454" s="84">
        <f t="shared" si="27"/>
        <v>20599.051</v>
      </c>
      <c r="H454" s="84">
        <f>H455+H463+H465+H469</f>
        <v>9307.974999999999</v>
      </c>
      <c r="I454" s="84">
        <f>I456+I465</f>
        <v>11291.076</v>
      </c>
    </row>
    <row r="455" spans="1:9" ht="48" customHeight="1">
      <c r="A455" s="14" t="s">
        <v>254</v>
      </c>
      <c r="B455" s="73" t="s">
        <v>430</v>
      </c>
      <c r="C455" s="33" t="s">
        <v>253</v>
      </c>
      <c r="D455" s="33" t="s">
        <v>161</v>
      </c>
      <c r="E455" s="33" t="s">
        <v>552</v>
      </c>
      <c r="F455" s="33" t="s">
        <v>426</v>
      </c>
      <c r="G455" s="81">
        <f t="shared" si="27"/>
        <v>19879.051</v>
      </c>
      <c r="H455" s="81">
        <f>H460</f>
        <v>8587.974999999999</v>
      </c>
      <c r="I455" s="81">
        <f>I456</f>
        <v>11291.076</v>
      </c>
    </row>
    <row r="456" spans="1:9" ht="45">
      <c r="A456" s="50" t="s">
        <v>255</v>
      </c>
      <c r="B456" s="73" t="s">
        <v>430</v>
      </c>
      <c r="C456" s="54" t="s">
        <v>253</v>
      </c>
      <c r="D456" s="54" t="s">
        <v>161</v>
      </c>
      <c r="E456" s="54" t="s">
        <v>544</v>
      </c>
      <c r="F456" s="54" t="s">
        <v>426</v>
      </c>
      <c r="G456" s="90">
        <f t="shared" si="27"/>
        <v>11291.076</v>
      </c>
      <c r="H456" s="90">
        <f>H457</f>
        <v>0</v>
      </c>
      <c r="I456" s="90">
        <f>I457</f>
        <v>11291.076</v>
      </c>
    </row>
    <row r="457" spans="1:9" ht="15">
      <c r="A457" s="14" t="s">
        <v>213</v>
      </c>
      <c r="B457" s="73" t="s">
        <v>430</v>
      </c>
      <c r="C457" s="33" t="s">
        <v>253</v>
      </c>
      <c r="D457" s="33" t="s">
        <v>161</v>
      </c>
      <c r="E457" s="33" t="s">
        <v>544</v>
      </c>
      <c r="F457" s="33" t="s">
        <v>426</v>
      </c>
      <c r="G457" s="81">
        <f t="shared" si="27"/>
        <v>11291.076</v>
      </c>
      <c r="H457" s="81">
        <f>H458</f>
        <v>0</v>
      </c>
      <c r="I457" s="81">
        <f>I458+I460</f>
        <v>11291.076</v>
      </c>
    </row>
    <row r="458" spans="1:9" ht="90">
      <c r="A458" s="14" t="s">
        <v>353</v>
      </c>
      <c r="B458" s="73" t="s">
        <v>430</v>
      </c>
      <c r="C458" s="33" t="s">
        <v>253</v>
      </c>
      <c r="D458" s="33" t="s">
        <v>161</v>
      </c>
      <c r="E458" s="33" t="s">
        <v>544</v>
      </c>
      <c r="F458" s="33" t="s">
        <v>426</v>
      </c>
      <c r="G458" s="81">
        <f>H458+I458</f>
        <v>11291.076</v>
      </c>
      <c r="H458" s="81">
        <f>H459</f>
        <v>0</v>
      </c>
      <c r="I458" s="81">
        <f>I459</f>
        <v>11291.076</v>
      </c>
    </row>
    <row r="459" spans="1:9" ht="15">
      <c r="A459" s="14" t="s">
        <v>223</v>
      </c>
      <c r="B459" s="73" t="s">
        <v>430</v>
      </c>
      <c r="C459" s="33" t="s">
        <v>253</v>
      </c>
      <c r="D459" s="33" t="s">
        <v>161</v>
      </c>
      <c r="E459" s="33" t="s">
        <v>544</v>
      </c>
      <c r="F459" s="33" t="s">
        <v>224</v>
      </c>
      <c r="G459" s="81">
        <f t="shared" si="27"/>
        <v>11291.076</v>
      </c>
      <c r="H459" s="81">
        <v>0</v>
      </c>
      <c r="I459" s="81">
        <v>11291.076</v>
      </c>
    </row>
    <row r="460" spans="1:9" ht="45">
      <c r="A460" s="50" t="s">
        <v>330</v>
      </c>
      <c r="B460" s="73" t="s">
        <v>430</v>
      </c>
      <c r="C460" s="54" t="s">
        <v>253</v>
      </c>
      <c r="D460" s="54" t="s">
        <v>161</v>
      </c>
      <c r="E460" s="54" t="s">
        <v>545</v>
      </c>
      <c r="F460" s="54" t="s">
        <v>426</v>
      </c>
      <c r="G460" s="90">
        <f>H460+I460</f>
        <v>8587.974999999999</v>
      </c>
      <c r="H460" s="90">
        <f>H461</f>
        <v>8587.974999999999</v>
      </c>
      <c r="I460" s="90">
        <f>I461</f>
        <v>0</v>
      </c>
    </row>
    <row r="461" spans="1:9" ht="15">
      <c r="A461" s="14" t="s">
        <v>223</v>
      </c>
      <c r="B461" s="73" t="s">
        <v>430</v>
      </c>
      <c r="C461" s="33" t="s">
        <v>253</v>
      </c>
      <c r="D461" s="33" t="s">
        <v>161</v>
      </c>
      <c r="E461" s="33" t="s">
        <v>545</v>
      </c>
      <c r="F461" s="33" t="s">
        <v>224</v>
      </c>
      <c r="G461" s="81">
        <f t="shared" si="27"/>
        <v>8587.974999999999</v>
      </c>
      <c r="H461" s="81">
        <f>8375.417+212.558</f>
        <v>8587.974999999999</v>
      </c>
      <c r="I461" s="81"/>
    </row>
    <row r="462" spans="1:9" ht="45" hidden="1">
      <c r="A462" s="14" t="s">
        <v>330</v>
      </c>
      <c r="B462" s="73" t="s">
        <v>430</v>
      </c>
      <c r="C462" s="33" t="s">
        <v>253</v>
      </c>
      <c r="D462" s="33" t="s">
        <v>161</v>
      </c>
      <c r="E462" s="33" t="s">
        <v>27</v>
      </c>
      <c r="F462" s="33" t="s">
        <v>426</v>
      </c>
      <c r="G462" s="81">
        <f>H462</f>
        <v>0</v>
      </c>
      <c r="H462" s="81">
        <f>H463</f>
        <v>0</v>
      </c>
      <c r="I462" s="81">
        <f>I463</f>
        <v>0</v>
      </c>
    </row>
    <row r="463" spans="1:9" ht="15" hidden="1">
      <c r="A463" s="14" t="s">
        <v>211</v>
      </c>
      <c r="B463" s="73" t="s">
        <v>430</v>
      </c>
      <c r="C463" s="33" t="s">
        <v>253</v>
      </c>
      <c r="D463" s="33" t="s">
        <v>161</v>
      </c>
      <c r="E463" s="33" t="s">
        <v>27</v>
      </c>
      <c r="F463" s="33" t="s">
        <v>224</v>
      </c>
      <c r="G463" s="81">
        <f>H463</f>
        <v>0</v>
      </c>
      <c r="H463" s="81"/>
      <c r="I463" s="81"/>
    </row>
    <row r="464" spans="1:9" ht="30">
      <c r="A464" s="50" t="s">
        <v>362</v>
      </c>
      <c r="B464" s="73" t="s">
        <v>430</v>
      </c>
      <c r="C464" s="54" t="s">
        <v>253</v>
      </c>
      <c r="D464" s="54" t="s">
        <v>168</v>
      </c>
      <c r="E464" s="54" t="s">
        <v>552</v>
      </c>
      <c r="F464" s="54" t="s">
        <v>426</v>
      </c>
      <c r="G464" s="90">
        <f t="shared" si="27"/>
        <v>720</v>
      </c>
      <c r="H464" s="90">
        <f>H465</f>
        <v>720</v>
      </c>
      <c r="I464" s="90">
        <f>I465</f>
        <v>0</v>
      </c>
    </row>
    <row r="465" spans="1:9" ht="30">
      <c r="A465" s="14" t="s">
        <v>473</v>
      </c>
      <c r="B465" s="73" t="s">
        <v>430</v>
      </c>
      <c r="C465" s="33" t="s">
        <v>253</v>
      </c>
      <c r="D465" s="33" t="s">
        <v>168</v>
      </c>
      <c r="E465" s="33" t="s">
        <v>546</v>
      </c>
      <c r="F465" s="33" t="s">
        <v>426</v>
      </c>
      <c r="G465" s="81">
        <f t="shared" si="27"/>
        <v>720</v>
      </c>
      <c r="H465" s="81">
        <f>H466</f>
        <v>720</v>
      </c>
      <c r="I465" s="81">
        <f>I467</f>
        <v>0</v>
      </c>
    </row>
    <row r="466" spans="1:9" ht="16.5" customHeight="1">
      <c r="A466" s="14" t="s">
        <v>213</v>
      </c>
      <c r="B466" s="73" t="s">
        <v>430</v>
      </c>
      <c r="C466" s="33" t="s">
        <v>253</v>
      </c>
      <c r="D466" s="33" t="s">
        <v>168</v>
      </c>
      <c r="E466" s="33" t="s">
        <v>546</v>
      </c>
      <c r="F466" s="33" t="s">
        <v>214</v>
      </c>
      <c r="G466" s="81">
        <f t="shared" si="27"/>
        <v>720</v>
      </c>
      <c r="H466" s="81">
        <f>H467+H470</f>
        <v>720</v>
      </c>
      <c r="I466" s="81"/>
    </row>
    <row r="467" spans="1:9" ht="17.25" customHeight="1">
      <c r="A467" s="14" t="s">
        <v>319</v>
      </c>
      <c r="B467" s="73" t="s">
        <v>430</v>
      </c>
      <c r="C467" s="33" t="s">
        <v>253</v>
      </c>
      <c r="D467" s="33" t="s">
        <v>168</v>
      </c>
      <c r="E467" s="33" t="s">
        <v>546</v>
      </c>
      <c r="F467" s="33" t="s">
        <v>472</v>
      </c>
      <c r="G467" s="81">
        <f>H467+I467</f>
        <v>720</v>
      </c>
      <c r="H467" s="81">
        <f>450+170+100</f>
        <v>720</v>
      </c>
      <c r="I467" s="81"/>
    </row>
    <row r="468" spans="1:9" ht="15" hidden="1">
      <c r="A468" s="14" t="s">
        <v>213</v>
      </c>
      <c r="B468" s="73" t="s">
        <v>430</v>
      </c>
      <c r="C468" s="33" t="s">
        <v>253</v>
      </c>
      <c r="D468" s="33" t="s">
        <v>168</v>
      </c>
      <c r="E468" s="33" t="s">
        <v>529</v>
      </c>
      <c r="F468" s="33" t="s">
        <v>214</v>
      </c>
      <c r="G468" s="81">
        <f>H468</f>
        <v>0</v>
      </c>
      <c r="H468" s="81">
        <f>H469</f>
        <v>0</v>
      </c>
      <c r="I468" s="105"/>
    </row>
    <row r="469" spans="1:9" ht="135" hidden="1">
      <c r="A469" s="14" t="s">
        <v>530</v>
      </c>
      <c r="B469" s="73" t="s">
        <v>430</v>
      </c>
      <c r="C469" s="33" t="s">
        <v>253</v>
      </c>
      <c r="D469" s="33" t="s">
        <v>168</v>
      </c>
      <c r="E469" s="33" t="s">
        <v>529</v>
      </c>
      <c r="F469" s="33" t="s">
        <v>472</v>
      </c>
      <c r="G469" s="81">
        <f>H469</f>
        <v>0</v>
      </c>
      <c r="H469" s="81"/>
      <c r="I469" s="105"/>
    </row>
    <row r="470" spans="1:9" ht="75" hidden="1">
      <c r="A470" s="14" t="s">
        <v>717</v>
      </c>
      <c r="B470" s="73" t="s">
        <v>430</v>
      </c>
      <c r="C470" s="33" t="s">
        <v>253</v>
      </c>
      <c r="D470" s="33" t="s">
        <v>168</v>
      </c>
      <c r="E470" s="33" t="s">
        <v>751</v>
      </c>
      <c r="F470" s="33" t="s">
        <v>472</v>
      </c>
      <c r="G470" s="81">
        <f>H470</f>
        <v>0</v>
      </c>
      <c r="H470" s="81">
        <v>0</v>
      </c>
      <c r="I470" s="105"/>
    </row>
    <row r="471" spans="1:9" ht="85.5">
      <c r="A471" s="216" t="s">
        <v>444</v>
      </c>
      <c r="B471" s="164" t="s">
        <v>429</v>
      </c>
      <c r="C471" s="164" t="s">
        <v>162</v>
      </c>
      <c r="D471" s="164" t="s">
        <v>162</v>
      </c>
      <c r="E471" s="164" t="s">
        <v>337</v>
      </c>
      <c r="F471" s="164" t="s">
        <v>426</v>
      </c>
      <c r="G471" s="89">
        <f>H471+I471</f>
        <v>399099.01159</v>
      </c>
      <c r="H471" s="114">
        <f>H472+H619+H635</f>
        <v>160122.23504</v>
      </c>
      <c r="I471" s="114">
        <f>I472+I481+I619+I635</f>
        <v>238976.77655</v>
      </c>
    </row>
    <row r="472" spans="1:9" ht="14.25">
      <c r="A472" s="101" t="s">
        <v>407</v>
      </c>
      <c r="B472" s="164" t="s">
        <v>429</v>
      </c>
      <c r="C472" s="76" t="s">
        <v>408</v>
      </c>
      <c r="D472" s="76" t="s">
        <v>162</v>
      </c>
      <c r="E472" s="76" t="s">
        <v>337</v>
      </c>
      <c r="F472" s="76" t="s">
        <v>426</v>
      </c>
      <c r="G472" s="89">
        <f>I472+H472</f>
        <v>390603.75259000005</v>
      </c>
      <c r="H472" s="114">
        <f>H473+H499+H548+H555+H560+H570+H578</f>
        <v>160122.23504</v>
      </c>
      <c r="I472" s="114">
        <f>I473+I499+I548+I555+I560+I578</f>
        <v>230481.51755000002</v>
      </c>
    </row>
    <row r="473" spans="1:9" ht="14.25">
      <c r="A473" s="75" t="s">
        <v>417</v>
      </c>
      <c r="B473" s="164" t="s">
        <v>429</v>
      </c>
      <c r="C473" s="76" t="s">
        <v>408</v>
      </c>
      <c r="D473" s="76" t="s">
        <v>161</v>
      </c>
      <c r="E473" s="76" t="s">
        <v>337</v>
      </c>
      <c r="F473" s="76" t="s">
        <v>426</v>
      </c>
      <c r="G473" s="89">
        <f aca="true" t="shared" si="28" ref="G473:G582">H473+I473</f>
        <v>66515.672</v>
      </c>
      <c r="H473" s="114">
        <f>H474+H484+H487+H494</f>
        <v>28087.300000000003</v>
      </c>
      <c r="I473" s="114">
        <f>I474+I484</f>
        <v>38428.372</v>
      </c>
    </row>
    <row r="474" spans="1:9" ht="45">
      <c r="A474" s="50" t="s">
        <v>490</v>
      </c>
      <c r="B474" s="162" t="s">
        <v>429</v>
      </c>
      <c r="C474" s="54" t="s">
        <v>408</v>
      </c>
      <c r="D474" s="54" t="s">
        <v>161</v>
      </c>
      <c r="E474" s="54" t="s">
        <v>38</v>
      </c>
      <c r="F474" s="54" t="s">
        <v>426</v>
      </c>
      <c r="G474" s="90">
        <f t="shared" si="28"/>
        <v>27187.300000000003</v>
      </c>
      <c r="H474" s="113">
        <f>H475</f>
        <v>27187.300000000003</v>
      </c>
      <c r="I474" s="113">
        <f>I475</f>
        <v>0</v>
      </c>
    </row>
    <row r="475" spans="1:9" ht="45">
      <c r="A475" s="77" t="s">
        <v>275</v>
      </c>
      <c r="B475" s="73" t="s">
        <v>429</v>
      </c>
      <c r="C475" s="33" t="s">
        <v>408</v>
      </c>
      <c r="D475" s="33" t="s">
        <v>161</v>
      </c>
      <c r="E475" s="33" t="s">
        <v>51</v>
      </c>
      <c r="F475" s="33" t="s">
        <v>426</v>
      </c>
      <c r="G475" s="81">
        <f t="shared" si="28"/>
        <v>27187.300000000003</v>
      </c>
      <c r="H475" s="105">
        <f>H476+H481+H479</f>
        <v>27187.300000000003</v>
      </c>
      <c r="I475" s="105">
        <f>I476+I481</f>
        <v>0</v>
      </c>
    </row>
    <row r="476" spans="1:9" ht="45">
      <c r="A476" s="14" t="s">
        <v>225</v>
      </c>
      <c r="B476" s="73" t="s">
        <v>429</v>
      </c>
      <c r="C476" s="33" t="s">
        <v>408</v>
      </c>
      <c r="D476" s="33" t="s">
        <v>161</v>
      </c>
      <c r="E476" s="33" t="s">
        <v>53</v>
      </c>
      <c r="F476" s="33" t="s">
        <v>226</v>
      </c>
      <c r="G476" s="81">
        <f t="shared" si="28"/>
        <v>400</v>
      </c>
      <c r="H476" s="105">
        <f>H477</f>
        <v>400</v>
      </c>
      <c r="I476" s="105">
        <f>I477</f>
        <v>0</v>
      </c>
    </row>
    <row r="477" spans="1:9" ht="15">
      <c r="A477" s="42" t="s">
        <v>227</v>
      </c>
      <c r="B477" s="73" t="s">
        <v>429</v>
      </c>
      <c r="C477" s="33" t="s">
        <v>408</v>
      </c>
      <c r="D477" s="33" t="s">
        <v>161</v>
      </c>
      <c r="E477" s="33" t="s">
        <v>52</v>
      </c>
      <c r="F477" s="33" t="s">
        <v>304</v>
      </c>
      <c r="G477" s="81">
        <f>H477+I477</f>
        <v>400</v>
      </c>
      <c r="H477" s="81">
        <f>200+200</f>
        <v>400</v>
      </c>
      <c r="I477" s="105"/>
    </row>
    <row r="478" spans="1:9" ht="45">
      <c r="A478" s="14" t="s">
        <v>225</v>
      </c>
      <c r="B478" s="18" t="s">
        <v>429</v>
      </c>
      <c r="C478" s="33" t="s">
        <v>408</v>
      </c>
      <c r="D478" s="33" t="s">
        <v>161</v>
      </c>
      <c r="E478" s="33" t="s">
        <v>892</v>
      </c>
      <c r="F478" s="33" t="s">
        <v>226</v>
      </c>
      <c r="G478" s="81">
        <f>H478+I478</f>
        <v>80</v>
      </c>
      <c r="H478" s="81">
        <f>H479</f>
        <v>80</v>
      </c>
      <c r="I478" s="81">
        <f>I479</f>
        <v>0</v>
      </c>
    </row>
    <row r="479" spans="1:9" ht="35.25" customHeight="1">
      <c r="A479" s="71" t="s">
        <v>895</v>
      </c>
      <c r="B479" s="83" t="s">
        <v>429</v>
      </c>
      <c r="C479" s="69" t="s">
        <v>408</v>
      </c>
      <c r="D479" s="69" t="s">
        <v>161</v>
      </c>
      <c r="E479" s="69" t="s">
        <v>892</v>
      </c>
      <c r="F479" s="69" t="s">
        <v>304</v>
      </c>
      <c r="G479" s="84">
        <f>H479+I479</f>
        <v>80</v>
      </c>
      <c r="H479" s="84">
        <v>80</v>
      </c>
      <c r="I479" s="84"/>
    </row>
    <row r="480" spans="1:9" ht="15" hidden="1">
      <c r="A480" s="42"/>
      <c r="B480" s="73" t="s">
        <v>429</v>
      </c>
      <c r="C480" s="33" t="s">
        <v>408</v>
      </c>
      <c r="D480" s="33" t="s">
        <v>161</v>
      </c>
      <c r="E480" s="33"/>
      <c r="F480" s="33"/>
      <c r="G480" s="81"/>
      <c r="H480" s="81"/>
      <c r="I480" s="105"/>
    </row>
    <row r="481" spans="1:10" ht="105">
      <c r="A481" s="14" t="s">
        <v>935</v>
      </c>
      <c r="B481" s="73" t="s">
        <v>429</v>
      </c>
      <c r="C481" s="33" t="s">
        <v>408</v>
      </c>
      <c r="D481" s="33" t="s">
        <v>161</v>
      </c>
      <c r="E481" s="33" t="s">
        <v>53</v>
      </c>
      <c r="F481" s="33" t="s">
        <v>426</v>
      </c>
      <c r="G481" s="81">
        <f>H481+I481</f>
        <v>26707.300000000003</v>
      </c>
      <c r="H481" s="105">
        <f>H482</f>
        <v>26707.300000000003</v>
      </c>
      <c r="I481" s="105">
        <f>I482</f>
        <v>0</v>
      </c>
      <c r="J481" s="46"/>
    </row>
    <row r="482" spans="1:9" ht="45">
      <c r="A482" s="14" t="s">
        <v>225</v>
      </c>
      <c r="B482" s="73" t="s">
        <v>429</v>
      </c>
      <c r="C482" s="33" t="s">
        <v>408</v>
      </c>
      <c r="D482" s="33" t="s">
        <v>161</v>
      </c>
      <c r="E482" s="33" t="s">
        <v>53</v>
      </c>
      <c r="F482" s="33" t="s">
        <v>226</v>
      </c>
      <c r="G482" s="81">
        <f t="shared" si="28"/>
        <v>26707.300000000003</v>
      </c>
      <c r="H482" s="105">
        <f>H483</f>
        <v>26707.300000000003</v>
      </c>
      <c r="I482" s="105">
        <f>I483</f>
        <v>0</v>
      </c>
    </row>
    <row r="483" spans="1:10" ht="15">
      <c r="A483" s="14" t="s">
        <v>191</v>
      </c>
      <c r="B483" s="73" t="s">
        <v>429</v>
      </c>
      <c r="C483" s="33" t="s">
        <v>408</v>
      </c>
      <c r="D483" s="33" t="s">
        <v>161</v>
      </c>
      <c r="E483" s="33" t="s">
        <v>54</v>
      </c>
      <c r="F483" s="33" t="s">
        <v>304</v>
      </c>
      <c r="G483" s="81">
        <f t="shared" si="28"/>
        <v>26707.300000000003</v>
      </c>
      <c r="H483" s="81">
        <f>21846.4+4500.9-1950.4+2310.4</f>
        <v>26707.300000000003</v>
      </c>
      <c r="I483" s="105"/>
      <c r="J483" s="46"/>
    </row>
    <row r="484" spans="1:9" ht="75">
      <c r="A484" s="14" t="s">
        <v>413</v>
      </c>
      <c r="B484" s="73" t="s">
        <v>429</v>
      </c>
      <c r="C484" s="33" t="s">
        <v>408</v>
      </c>
      <c r="D484" s="18" t="s">
        <v>161</v>
      </c>
      <c r="E484" s="33" t="s">
        <v>55</v>
      </c>
      <c r="F484" s="33" t="s">
        <v>426</v>
      </c>
      <c r="G484" s="81">
        <f>H484+I484</f>
        <v>38428.372</v>
      </c>
      <c r="H484" s="105">
        <f>H485</f>
        <v>0</v>
      </c>
      <c r="I484" s="105">
        <f>I485</f>
        <v>38428.372</v>
      </c>
    </row>
    <row r="485" spans="1:9" ht="45">
      <c r="A485" s="14" t="s">
        <v>225</v>
      </c>
      <c r="B485" s="73" t="s">
        <v>429</v>
      </c>
      <c r="C485" s="33" t="s">
        <v>408</v>
      </c>
      <c r="D485" s="33" t="s">
        <v>161</v>
      </c>
      <c r="E485" s="33" t="s">
        <v>55</v>
      </c>
      <c r="F485" s="33" t="s">
        <v>226</v>
      </c>
      <c r="G485" s="81">
        <f t="shared" si="28"/>
        <v>38428.372</v>
      </c>
      <c r="H485" s="105"/>
      <c r="I485" s="81">
        <f>I486</f>
        <v>38428.372</v>
      </c>
    </row>
    <row r="486" spans="1:9" ht="15">
      <c r="A486" s="14" t="s">
        <v>227</v>
      </c>
      <c r="B486" s="73" t="s">
        <v>429</v>
      </c>
      <c r="C486" s="33" t="s">
        <v>408</v>
      </c>
      <c r="D486" s="33" t="s">
        <v>161</v>
      </c>
      <c r="E486" s="33" t="s">
        <v>55</v>
      </c>
      <c r="F486" s="33" t="s">
        <v>304</v>
      </c>
      <c r="G486" s="81">
        <f t="shared" si="28"/>
        <v>38428.372</v>
      </c>
      <c r="H486" s="105"/>
      <c r="I486" s="81">
        <v>38428.372</v>
      </c>
    </row>
    <row r="487" spans="1:9" ht="31.5" customHeight="1" hidden="1">
      <c r="A487" s="50" t="s">
        <v>600</v>
      </c>
      <c r="B487" s="73" t="s">
        <v>941</v>
      </c>
      <c r="C487" s="33" t="s">
        <v>408</v>
      </c>
      <c r="D487" s="33" t="s">
        <v>161</v>
      </c>
      <c r="E487" s="54" t="s">
        <v>337</v>
      </c>
      <c r="F487" s="54" t="s">
        <v>426</v>
      </c>
      <c r="G487" s="84">
        <f>H487</f>
        <v>0</v>
      </c>
      <c r="H487" s="84">
        <f>H488+H491</f>
        <v>0</v>
      </c>
      <c r="I487" s="84"/>
    </row>
    <row r="488" spans="1:9" ht="33" customHeight="1" hidden="1">
      <c r="A488" s="14" t="s">
        <v>601</v>
      </c>
      <c r="B488" s="73" t="s">
        <v>942</v>
      </c>
      <c r="C488" s="33" t="s">
        <v>408</v>
      </c>
      <c r="D488" s="33" t="s">
        <v>161</v>
      </c>
      <c r="E488" s="33" t="s">
        <v>602</v>
      </c>
      <c r="F488" s="33" t="s">
        <v>426</v>
      </c>
      <c r="G488" s="81">
        <f>H488</f>
        <v>0</v>
      </c>
      <c r="H488" s="81">
        <f>H489</f>
        <v>0</v>
      </c>
      <c r="I488" s="81"/>
    </row>
    <row r="489" spans="1:9" ht="47.25" customHeight="1" hidden="1">
      <c r="A489" s="14" t="s">
        <v>225</v>
      </c>
      <c r="B489" s="73" t="s">
        <v>428</v>
      </c>
      <c r="C489" s="33" t="s">
        <v>408</v>
      </c>
      <c r="D489" s="33" t="s">
        <v>161</v>
      </c>
      <c r="E489" s="33" t="s">
        <v>602</v>
      </c>
      <c r="F489" s="33" t="s">
        <v>226</v>
      </c>
      <c r="G489" s="81">
        <f>H489</f>
        <v>0</v>
      </c>
      <c r="H489" s="81">
        <f>H490</f>
        <v>0</v>
      </c>
      <c r="I489" s="81"/>
    </row>
    <row r="490" spans="1:9" ht="22.5" customHeight="1" hidden="1">
      <c r="A490" s="14" t="s">
        <v>227</v>
      </c>
      <c r="B490" s="73" t="s">
        <v>943</v>
      </c>
      <c r="C490" s="33" t="s">
        <v>408</v>
      </c>
      <c r="D490" s="33" t="s">
        <v>161</v>
      </c>
      <c r="E490" s="33" t="s">
        <v>602</v>
      </c>
      <c r="F490" s="33" t="s">
        <v>304</v>
      </c>
      <c r="G490" s="81">
        <f>H490</f>
        <v>0</v>
      </c>
      <c r="H490" s="81">
        <v>0</v>
      </c>
      <c r="I490" s="81"/>
    </row>
    <row r="491" spans="1:9" ht="33" customHeight="1" hidden="1">
      <c r="A491" s="50" t="s">
        <v>889</v>
      </c>
      <c r="B491" s="73" t="s">
        <v>944</v>
      </c>
      <c r="C491" s="33" t="s">
        <v>408</v>
      </c>
      <c r="D491" s="33" t="s">
        <v>161</v>
      </c>
      <c r="E491" s="249" t="s">
        <v>20</v>
      </c>
      <c r="F491" s="54" t="s">
        <v>426</v>
      </c>
      <c r="G491" s="90">
        <f>H491+I491</f>
        <v>0</v>
      </c>
      <c r="H491" s="90">
        <f>H492</f>
        <v>0</v>
      </c>
      <c r="I491" s="90">
        <f>I492</f>
        <v>0</v>
      </c>
    </row>
    <row r="492" spans="1:9" ht="50.25" customHeight="1" hidden="1">
      <c r="A492" s="14" t="s">
        <v>225</v>
      </c>
      <c r="B492" s="73" t="s">
        <v>945</v>
      </c>
      <c r="C492" s="33" t="s">
        <v>408</v>
      </c>
      <c r="D492" s="33" t="s">
        <v>161</v>
      </c>
      <c r="E492" s="53" t="s">
        <v>20</v>
      </c>
      <c r="F492" s="33" t="s">
        <v>226</v>
      </c>
      <c r="G492" s="81">
        <f>H492+I492</f>
        <v>0</v>
      </c>
      <c r="H492" s="81">
        <f>H493</f>
        <v>0</v>
      </c>
      <c r="I492" s="81">
        <f>I493</f>
        <v>0</v>
      </c>
    </row>
    <row r="493" spans="1:9" ht="22.5" customHeight="1" hidden="1">
      <c r="A493" s="14" t="s">
        <v>227</v>
      </c>
      <c r="B493" s="73" t="s">
        <v>946</v>
      </c>
      <c r="C493" s="33" t="s">
        <v>408</v>
      </c>
      <c r="D493" s="33" t="s">
        <v>161</v>
      </c>
      <c r="E493" s="53" t="s">
        <v>20</v>
      </c>
      <c r="F493" s="33" t="s">
        <v>304</v>
      </c>
      <c r="G493" s="81">
        <f>H493+I493</f>
        <v>0</v>
      </c>
      <c r="H493" s="81"/>
      <c r="I493" s="81"/>
    </row>
    <row r="494" spans="1:9" ht="33.75" customHeight="1">
      <c r="A494" s="14" t="s">
        <v>164</v>
      </c>
      <c r="B494" s="18" t="s">
        <v>429</v>
      </c>
      <c r="C494" s="33" t="s">
        <v>408</v>
      </c>
      <c r="D494" s="33" t="s">
        <v>161</v>
      </c>
      <c r="E494" s="33" t="s">
        <v>19</v>
      </c>
      <c r="F494" s="33" t="s">
        <v>426</v>
      </c>
      <c r="G494" s="81">
        <f>H494</f>
        <v>900</v>
      </c>
      <c r="H494" s="81">
        <f>H495</f>
        <v>900</v>
      </c>
      <c r="I494" s="81"/>
    </row>
    <row r="495" spans="1:9" ht="48" customHeight="1">
      <c r="A495" s="14" t="s">
        <v>165</v>
      </c>
      <c r="B495" s="18" t="s">
        <v>429</v>
      </c>
      <c r="C495" s="33" t="s">
        <v>408</v>
      </c>
      <c r="D495" s="33" t="s">
        <v>161</v>
      </c>
      <c r="E495" s="33" t="s">
        <v>20</v>
      </c>
      <c r="F495" s="33" t="s">
        <v>426</v>
      </c>
      <c r="G495" s="81">
        <f>H495</f>
        <v>900</v>
      </c>
      <c r="H495" s="81">
        <f>H496</f>
        <v>900</v>
      </c>
      <c r="I495" s="81"/>
    </row>
    <row r="496" spans="1:9" ht="32.25" customHeight="1">
      <c r="A496" s="128" t="s">
        <v>661</v>
      </c>
      <c r="B496" s="18" t="s">
        <v>429</v>
      </c>
      <c r="C496" s="33" t="s">
        <v>408</v>
      </c>
      <c r="D496" s="33" t="s">
        <v>161</v>
      </c>
      <c r="E496" s="33" t="s">
        <v>602</v>
      </c>
      <c r="F496" s="33" t="s">
        <v>426</v>
      </c>
      <c r="G496" s="81">
        <f>H496+I496</f>
        <v>900</v>
      </c>
      <c r="H496" s="81">
        <f>H497</f>
        <v>900</v>
      </c>
      <c r="I496" s="81"/>
    </row>
    <row r="497" spans="1:9" ht="42.75" customHeight="1">
      <c r="A497" s="14" t="s">
        <v>225</v>
      </c>
      <c r="B497" s="18" t="s">
        <v>429</v>
      </c>
      <c r="C497" s="33" t="s">
        <v>408</v>
      </c>
      <c r="D497" s="33" t="s">
        <v>161</v>
      </c>
      <c r="E497" s="33" t="s">
        <v>602</v>
      </c>
      <c r="F497" s="33" t="s">
        <v>226</v>
      </c>
      <c r="G497" s="81">
        <f>H497+I497</f>
        <v>900</v>
      </c>
      <c r="H497" s="81">
        <f>H498</f>
        <v>900</v>
      </c>
      <c r="I497" s="81"/>
    </row>
    <row r="498" spans="1:9" ht="24.75" customHeight="1">
      <c r="A498" s="14" t="s">
        <v>227</v>
      </c>
      <c r="B498" s="18" t="s">
        <v>429</v>
      </c>
      <c r="C498" s="33" t="s">
        <v>408</v>
      </c>
      <c r="D498" s="33" t="s">
        <v>161</v>
      </c>
      <c r="E498" s="33" t="s">
        <v>602</v>
      </c>
      <c r="F498" s="33" t="s">
        <v>304</v>
      </c>
      <c r="G498" s="81">
        <f>H498+I498</f>
        <v>900</v>
      </c>
      <c r="H498" s="81">
        <v>900</v>
      </c>
      <c r="I498" s="81"/>
    </row>
    <row r="499" spans="1:9" ht="14.25">
      <c r="A499" s="75" t="s">
        <v>462</v>
      </c>
      <c r="B499" s="164" t="s">
        <v>429</v>
      </c>
      <c r="C499" s="76" t="s">
        <v>408</v>
      </c>
      <c r="D499" s="76" t="s">
        <v>163</v>
      </c>
      <c r="E499" s="76" t="s">
        <v>337</v>
      </c>
      <c r="F499" s="76" t="s">
        <v>426</v>
      </c>
      <c r="G499" s="89">
        <f>H499+I499</f>
        <v>258209.19303999998</v>
      </c>
      <c r="H499" s="114">
        <f>H500+H530+H545</f>
        <v>66752.87004</v>
      </c>
      <c r="I499" s="114">
        <f>I500+I530+I542</f>
        <v>191456.323</v>
      </c>
    </row>
    <row r="500" spans="1:9" ht="45">
      <c r="A500" s="50" t="s">
        <v>490</v>
      </c>
      <c r="B500" s="162" t="s">
        <v>429</v>
      </c>
      <c r="C500" s="54" t="s">
        <v>408</v>
      </c>
      <c r="D500" s="54" t="s">
        <v>163</v>
      </c>
      <c r="E500" s="54" t="s">
        <v>38</v>
      </c>
      <c r="F500" s="54" t="s">
        <v>426</v>
      </c>
      <c r="G500" s="90">
        <f t="shared" si="28"/>
        <v>66752.87004</v>
      </c>
      <c r="H500" s="113">
        <f>H501+H517+H524</f>
        <v>66752.87004</v>
      </c>
      <c r="I500" s="113">
        <f>I501+I505+I517+I524</f>
        <v>0</v>
      </c>
    </row>
    <row r="501" spans="1:9" ht="45">
      <c r="A501" s="77" t="s">
        <v>278</v>
      </c>
      <c r="B501" s="73" t="s">
        <v>429</v>
      </c>
      <c r="C501" s="33" t="s">
        <v>408</v>
      </c>
      <c r="D501" s="33" t="s">
        <v>163</v>
      </c>
      <c r="E501" s="33" t="s">
        <v>56</v>
      </c>
      <c r="F501" s="33" t="s">
        <v>426</v>
      </c>
      <c r="G501" s="81">
        <f>H501+I501</f>
        <v>65183.870039999994</v>
      </c>
      <c r="H501" s="105">
        <f>H502+H505+H514+H512+H509</f>
        <v>65183.870039999994</v>
      </c>
      <c r="I501" s="105">
        <f>I502+I505</f>
        <v>0</v>
      </c>
    </row>
    <row r="502" spans="1:9" ht="30">
      <c r="A502" s="14" t="s">
        <v>271</v>
      </c>
      <c r="B502" s="73" t="s">
        <v>429</v>
      </c>
      <c r="C502" s="33" t="s">
        <v>408</v>
      </c>
      <c r="D502" s="33" t="s">
        <v>163</v>
      </c>
      <c r="E502" s="33" t="s">
        <v>57</v>
      </c>
      <c r="F502" s="33" t="s">
        <v>426</v>
      </c>
      <c r="G502" s="81">
        <f t="shared" si="28"/>
        <v>1451.813</v>
      </c>
      <c r="H502" s="81">
        <f>H503</f>
        <v>1451.813</v>
      </c>
      <c r="I502" s="105">
        <f>I503</f>
        <v>0</v>
      </c>
    </row>
    <row r="503" spans="1:9" ht="45">
      <c r="A503" s="14" t="s">
        <v>225</v>
      </c>
      <c r="B503" s="73" t="s">
        <v>429</v>
      </c>
      <c r="C503" s="33" t="s">
        <v>408</v>
      </c>
      <c r="D503" s="33" t="s">
        <v>163</v>
      </c>
      <c r="E503" s="33" t="s">
        <v>57</v>
      </c>
      <c r="F503" s="33" t="s">
        <v>226</v>
      </c>
      <c r="G503" s="81">
        <f t="shared" si="28"/>
        <v>1451.813</v>
      </c>
      <c r="H503" s="105">
        <f>H504</f>
        <v>1451.813</v>
      </c>
      <c r="I503" s="105">
        <f>I504</f>
        <v>0</v>
      </c>
    </row>
    <row r="504" spans="1:9" ht="15">
      <c r="A504" s="42" t="s">
        <v>227</v>
      </c>
      <c r="B504" s="73" t="s">
        <v>429</v>
      </c>
      <c r="C504" s="33" t="s">
        <v>408</v>
      </c>
      <c r="D504" s="33" t="s">
        <v>163</v>
      </c>
      <c r="E504" s="33" t="s">
        <v>58</v>
      </c>
      <c r="F504" s="33" t="s">
        <v>304</v>
      </c>
      <c r="G504" s="81">
        <f t="shared" si="28"/>
        <v>1451.813</v>
      </c>
      <c r="H504" s="105">
        <f>700+100+393.313+48.5+210</f>
        <v>1451.813</v>
      </c>
      <c r="I504" s="105"/>
    </row>
    <row r="505" spans="1:9" ht="90">
      <c r="A505" s="14" t="s">
        <v>934</v>
      </c>
      <c r="B505" s="18" t="s">
        <v>429</v>
      </c>
      <c r="C505" s="33" t="s">
        <v>408</v>
      </c>
      <c r="D505" s="33" t="s">
        <v>163</v>
      </c>
      <c r="E505" s="33" t="s">
        <v>57</v>
      </c>
      <c r="F505" s="33" t="s">
        <v>426</v>
      </c>
      <c r="G505" s="81">
        <f t="shared" si="28"/>
        <v>63134.57775999999</v>
      </c>
      <c r="H505" s="81">
        <f>H506</f>
        <v>63134.57775999999</v>
      </c>
      <c r="I505" s="81">
        <f>I506</f>
        <v>0</v>
      </c>
    </row>
    <row r="506" spans="1:9" ht="45">
      <c r="A506" s="14" t="s">
        <v>225</v>
      </c>
      <c r="B506" s="73" t="s">
        <v>429</v>
      </c>
      <c r="C506" s="33" t="s">
        <v>408</v>
      </c>
      <c r="D506" s="33" t="s">
        <v>163</v>
      </c>
      <c r="E506" s="33" t="s">
        <v>57</v>
      </c>
      <c r="F506" s="33" t="s">
        <v>226</v>
      </c>
      <c r="G506" s="81">
        <f t="shared" si="28"/>
        <v>63134.57775999999</v>
      </c>
      <c r="H506" s="105">
        <f>H507</f>
        <v>63134.57775999999</v>
      </c>
      <c r="I506" s="105">
        <f>I507</f>
        <v>0</v>
      </c>
    </row>
    <row r="507" spans="1:9" ht="20.25" customHeight="1">
      <c r="A507" s="14" t="s">
        <v>227</v>
      </c>
      <c r="B507" s="73" t="s">
        <v>429</v>
      </c>
      <c r="C507" s="33" t="s">
        <v>408</v>
      </c>
      <c r="D507" s="33" t="s">
        <v>163</v>
      </c>
      <c r="E507" s="33" t="s">
        <v>59</v>
      </c>
      <c r="F507" s="33" t="s">
        <v>304</v>
      </c>
      <c r="G507" s="81">
        <f t="shared" si="28"/>
        <v>63134.57775999999</v>
      </c>
      <c r="H507" s="81">
        <f>53288.5+0.03321+7299.18953-2500+30.30302-287.5+4678.14+625.912</f>
        <v>63134.57775999999</v>
      </c>
      <c r="I507" s="105"/>
    </row>
    <row r="508" spans="1:9" ht="15" hidden="1">
      <c r="A508" s="14"/>
      <c r="B508" s="73" t="s">
        <v>429</v>
      </c>
      <c r="C508" s="33" t="s">
        <v>408</v>
      </c>
      <c r="D508" s="33" t="s">
        <v>163</v>
      </c>
      <c r="E508" s="33" t="s">
        <v>59</v>
      </c>
      <c r="F508" s="33" t="s">
        <v>304</v>
      </c>
      <c r="G508" s="81"/>
      <c r="H508" s="81"/>
      <c r="I508" s="105"/>
    </row>
    <row r="509" spans="1:9" ht="90">
      <c r="A509" s="14" t="s">
        <v>721</v>
      </c>
      <c r="B509" s="18" t="s">
        <v>429</v>
      </c>
      <c r="C509" s="33" t="s">
        <v>408</v>
      </c>
      <c r="D509" s="33" t="s">
        <v>163</v>
      </c>
      <c r="E509" s="33" t="s">
        <v>712</v>
      </c>
      <c r="F509" s="33" t="s">
        <v>426</v>
      </c>
      <c r="G509" s="81">
        <f>H509</f>
        <v>107</v>
      </c>
      <c r="H509" s="81">
        <f>H510</f>
        <v>107</v>
      </c>
      <c r="I509" s="81"/>
    </row>
    <row r="510" spans="1:9" ht="45">
      <c r="A510" s="14" t="s">
        <v>225</v>
      </c>
      <c r="B510" s="18" t="s">
        <v>429</v>
      </c>
      <c r="C510" s="33" t="s">
        <v>408</v>
      </c>
      <c r="D510" s="33" t="s">
        <v>163</v>
      </c>
      <c r="E510" s="33" t="s">
        <v>712</v>
      </c>
      <c r="F510" s="33" t="s">
        <v>226</v>
      </c>
      <c r="G510" s="81">
        <f>H510</f>
        <v>107</v>
      </c>
      <c r="H510" s="81">
        <f>H511</f>
        <v>107</v>
      </c>
      <c r="I510" s="81"/>
    </row>
    <row r="511" spans="1:9" ht="15">
      <c r="A511" s="14" t="s">
        <v>227</v>
      </c>
      <c r="B511" s="18" t="s">
        <v>429</v>
      </c>
      <c r="C511" s="33" t="s">
        <v>408</v>
      </c>
      <c r="D511" s="33" t="s">
        <v>163</v>
      </c>
      <c r="E511" s="33" t="s">
        <v>712</v>
      </c>
      <c r="F511" s="33" t="s">
        <v>304</v>
      </c>
      <c r="G511" s="81">
        <f>H511</f>
        <v>107</v>
      </c>
      <c r="H511" s="81">
        <f>76+100-69</f>
        <v>107</v>
      </c>
      <c r="I511" s="81"/>
    </row>
    <row r="512" spans="1:9" ht="45">
      <c r="A512" s="14" t="s">
        <v>225</v>
      </c>
      <c r="B512" s="73" t="s">
        <v>429</v>
      </c>
      <c r="C512" s="33" t="s">
        <v>408</v>
      </c>
      <c r="D512" s="33" t="s">
        <v>163</v>
      </c>
      <c r="E512" s="33" t="s">
        <v>890</v>
      </c>
      <c r="F512" s="33" t="s">
        <v>226</v>
      </c>
      <c r="G512" s="81">
        <f>H512+I512</f>
        <v>372</v>
      </c>
      <c r="H512" s="81">
        <f>H513</f>
        <v>372</v>
      </c>
      <c r="I512" s="105">
        <f>I513</f>
        <v>0</v>
      </c>
    </row>
    <row r="513" spans="1:9" ht="30">
      <c r="A513" s="71" t="s">
        <v>895</v>
      </c>
      <c r="B513" s="83" t="s">
        <v>429</v>
      </c>
      <c r="C513" s="69" t="s">
        <v>408</v>
      </c>
      <c r="D513" s="69" t="s">
        <v>163</v>
      </c>
      <c r="E513" s="69" t="s">
        <v>890</v>
      </c>
      <c r="F513" s="69" t="s">
        <v>304</v>
      </c>
      <c r="G513" s="84">
        <f>H513+I513</f>
        <v>372</v>
      </c>
      <c r="H513" s="84">
        <v>372</v>
      </c>
      <c r="I513" s="84">
        <v>0</v>
      </c>
    </row>
    <row r="514" spans="1:9" ht="75">
      <c r="A514" s="14" t="s">
        <v>826</v>
      </c>
      <c r="B514" s="73" t="s">
        <v>429</v>
      </c>
      <c r="C514" s="33" t="s">
        <v>408</v>
      </c>
      <c r="D514" s="33" t="s">
        <v>163</v>
      </c>
      <c r="E514" s="18" t="s">
        <v>827</v>
      </c>
      <c r="F514" s="33" t="s">
        <v>426</v>
      </c>
      <c r="G514" s="81">
        <f t="shared" si="28"/>
        <v>118.47928</v>
      </c>
      <c r="H514" s="81">
        <f>H515</f>
        <v>118.47928</v>
      </c>
      <c r="I514" s="81">
        <f>I515</f>
        <v>0</v>
      </c>
    </row>
    <row r="515" spans="1:9" ht="45">
      <c r="A515" s="14" t="s">
        <v>225</v>
      </c>
      <c r="B515" s="73" t="s">
        <v>429</v>
      </c>
      <c r="C515" s="33" t="s">
        <v>408</v>
      </c>
      <c r="D515" s="33" t="s">
        <v>163</v>
      </c>
      <c r="E515" s="18" t="s">
        <v>827</v>
      </c>
      <c r="F515" s="33" t="s">
        <v>226</v>
      </c>
      <c r="G515" s="81">
        <f t="shared" si="28"/>
        <v>118.47928</v>
      </c>
      <c r="H515" s="81">
        <f>H516</f>
        <v>118.47928</v>
      </c>
      <c r="I515" s="81">
        <f>I516</f>
        <v>0</v>
      </c>
    </row>
    <row r="516" spans="1:9" ht="15">
      <c r="A516" s="14" t="s">
        <v>227</v>
      </c>
      <c r="B516" s="73" t="s">
        <v>429</v>
      </c>
      <c r="C516" s="33" t="s">
        <v>408</v>
      </c>
      <c r="D516" s="33" t="s">
        <v>163</v>
      </c>
      <c r="E516" s="18" t="s">
        <v>827</v>
      </c>
      <c r="F516" s="33" t="s">
        <v>304</v>
      </c>
      <c r="G516" s="81">
        <f t="shared" si="28"/>
        <v>118.47928</v>
      </c>
      <c r="H516" s="81">
        <f>50+68.47928</f>
        <v>118.47928</v>
      </c>
      <c r="I516" s="105">
        <v>0</v>
      </c>
    </row>
    <row r="517" spans="1:9" ht="31.5" customHeight="1">
      <c r="A517" s="77" t="s">
        <v>276</v>
      </c>
      <c r="B517" s="73" t="s">
        <v>429</v>
      </c>
      <c r="C517" s="33" t="s">
        <v>408</v>
      </c>
      <c r="D517" s="33" t="s">
        <v>163</v>
      </c>
      <c r="E517" s="33" t="s">
        <v>60</v>
      </c>
      <c r="F517" s="33" t="s">
        <v>426</v>
      </c>
      <c r="G517" s="81">
        <f t="shared" si="28"/>
        <v>1569</v>
      </c>
      <c r="H517" s="81">
        <f>H518+H521</f>
        <v>1569</v>
      </c>
      <c r="I517" s="105">
        <f>I518+I521</f>
        <v>0</v>
      </c>
    </row>
    <row r="518" spans="1:9" ht="45">
      <c r="A518" s="50" t="s">
        <v>277</v>
      </c>
      <c r="B518" s="162" t="s">
        <v>429</v>
      </c>
      <c r="C518" s="54" t="s">
        <v>408</v>
      </c>
      <c r="D518" s="54" t="s">
        <v>163</v>
      </c>
      <c r="E518" s="54" t="s">
        <v>61</v>
      </c>
      <c r="F518" s="54" t="s">
        <v>426</v>
      </c>
      <c r="G518" s="90">
        <f t="shared" si="28"/>
        <v>250</v>
      </c>
      <c r="H518" s="113">
        <f>H519</f>
        <v>250</v>
      </c>
      <c r="I518" s="113">
        <f>I519</f>
        <v>0</v>
      </c>
    </row>
    <row r="519" spans="1:9" ht="45">
      <c r="A519" s="14" t="s">
        <v>225</v>
      </c>
      <c r="B519" s="73" t="s">
        <v>429</v>
      </c>
      <c r="C519" s="33" t="s">
        <v>408</v>
      </c>
      <c r="D519" s="33" t="s">
        <v>163</v>
      </c>
      <c r="E519" s="33" t="s">
        <v>61</v>
      </c>
      <c r="F519" s="33" t="s">
        <v>226</v>
      </c>
      <c r="G519" s="81">
        <f t="shared" si="28"/>
        <v>250</v>
      </c>
      <c r="H519" s="105">
        <f>H520</f>
        <v>250</v>
      </c>
      <c r="I519" s="105">
        <f>I520</f>
        <v>0</v>
      </c>
    </row>
    <row r="520" spans="1:9" ht="15">
      <c r="A520" s="42" t="s">
        <v>227</v>
      </c>
      <c r="B520" s="73" t="s">
        <v>429</v>
      </c>
      <c r="C520" s="33" t="s">
        <v>408</v>
      </c>
      <c r="D520" s="33" t="s">
        <v>163</v>
      </c>
      <c r="E520" s="33" t="s">
        <v>62</v>
      </c>
      <c r="F520" s="33" t="s">
        <v>304</v>
      </c>
      <c r="G520" s="81">
        <f t="shared" si="28"/>
        <v>250</v>
      </c>
      <c r="H520" s="105">
        <v>250</v>
      </c>
      <c r="I520" s="105"/>
    </row>
    <row r="521" spans="1:9" ht="30">
      <c r="A521" s="50" t="s">
        <v>272</v>
      </c>
      <c r="B521" s="162" t="s">
        <v>429</v>
      </c>
      <c r="C521" s="54" t="s">
        <v>408</v>
      </c>
      <c r="D521" s="54" t="s">
        <v>163</v>
      </c>
      <c r="E521" s="54" t="s">
        <v>61</v>
      </c>
      <c r="F521" s="54" t="s">
        <v>426</v>
      </c>
      <c r="G521" s="90">
        <f t="shared" si="28"/>
        <v>1319</v>
      </c>
      <c r="H521" s="113">
        <f>H522</f>
        <v>1319</v>
      </c>
      <c r="I521" s="113">
        <f>I522</f>
        <v>0</v>
      </c>
    </row>
    <row r="522" spans="1:9" ht="45">
      <c r="A522" s="14" t="s">
        <v>225</v>
      </c>
      <c r="B522" s="73" t="s">
        <v>429</v>
      </c>
      <c r="C522" s="33" t="s">
        <v>408</v>
      </c>
      <c r="D522" s="33" t="s">
        <v>163</v>
      </c>
      <c r="E522" s="33" t="s">
        <v>61</v>
      </c>
      <c r="F522" s="33" t="s">
        <v>226</v>
      </c>
      <c r="G522" s="81">
        <f t="shared" si="28"/>
        <v>1319</v>
      </c>
      <c r="H522" s="105">
        <f>H523</f>
        <v>1319</v>
      </c>
      <c r="I522" s="105">
        <f>I523</f>
        <v>0</v>
      </c>
    </row>
    <row r="523" spans="1:9" ht="15">
      <c r="A523" s="42" t="s">
        <v>454</v>
      </c>
      <c r="B523" s="73" t="s">
        <v>429</v>
      </c>
      <c r="C523" s="33" t="s">
        <v>408</v>
      </c>
      <c r="D523" s="33" t="s">
        <v>163</v>
      </c>
      <c r="E523" s="33" t="s">
        <v>63</v>
      </c>
      <c r="F523" s="33" t="s">
        <v>304</v>
      </c>
      <c r="G523" s="81">
        <f t="shared" si="28"/>
        <v>1319</v>
      </c>
      <c r="H523" s="105">
        <f>750+500+69</f>
        <v>1319</v>
      </c>
      <c r="I523" s="105"/>
    </row>
    <row r="524" spans="1:9" ht="30" hidden="1">
      <c r="A524" s="77" t="s">
        <v>306</v>
      </c>
      <c r="B524" s="73" t="s">
        <v>429</v>
      </c>
      <c r="C524" s="33" t="s">
        <v>408</v>
      </c>
      <c r="D524" s="33" t="s">
        <v>163</v>
      </c>
      <c r="E524" s="33" t="s">
        <v>64</v>
      </c>
      <c r="F524" s="33" t="s">
        <v>426</v>
      </c>
      <c r="G524" s="81">
        <f t="shared" si="28"/>
        <v>0</v>
      </c>
      <c r="H524" s="105">
        <f>H525</f>
        <v>0</v>
      </c>
      <c r="I524" s="105"/>
    </row>
    <row r="525" spans="1:9" ht="45" hidden="1">
      <c r="A525" s="14" t="s">
        <v>225</v>
      </c>
      <c r="B525" s="73" t="s">
        <v>429</v>
      </c>
      <c r="C525" s="33" t="s">
        <v>408</v>
      </c>
      <c r="D525" s="33" t="s">
        <v>163</v>
      </c>
      <c r="E525" s="33" t="s">
        <v>65</v>
      </c>
      <c r="F525" s="33" t="s">
        <v>426</v>
      </c>
      <c r="G525" s="81">
        <f t="shared" si="28"/>
        <v>0</v>
      </c>
      <c r="H525" s="81">
        <f>H526+H527</f>
        <v>0</v>
      </c>
      <c r="I525" s="105"/>
    </row>
    <row r="526" spans="1:9" ht="30" hidden="1">
      <c r="A526" s="14" t="s">
        <v>135</v>
      </c>
      <c r="B526" s="73" t="s">
        <v>429</v>
      </c>
      <c r="C526" s="33" t="s">
        <v>408</v>
      </c>
      <c r="D526" s="33" t="s">
        <v>163</v>
      </c>
      <c r="E526" s="33" t="s">
        <v>66</v>
      </c>
      <c r="F526" s="33" t="s">
        <v>304</v>
      </c>
      <c r="G526" s="81">
        <f t="shared" si="28"/>
        <v>0</v>
      </c>
      <c r="H526" s="81"/>
      <c r="I526" s="105"/>
    </row>
    <row r="527" spans="1:9" ht="30" hidden="1">
      <c r="A527" s="14" t="s">
        <v>136</v>
      </c>
      <c r="B527" s="73" t="s">
        <v>429</v>
      </c>
      <c r="C527" s="33" t="s">
        <v>408</v>
      </c>
      <c r="D527" s="33" t="s">
        <v>163</v>
      </c>
      <c r="E527" s="33" t="s">
        <v>67</v>
      </c>
      <c r="F527" s="33" t="s">
        <v>304</v>
      </c>
      <c r="G527" s="81">
        <f t="shared" si="28"/>
        <v>0</v>
      </c>
      <c r="H527" s="81"/>
      <c r="I527" s="105"/>
    </row>
    <row r="528" spans="1:9" ht="45">
      <c r="A528" s="50" t="s">
        <v>490</v>
      </c>
      <c r="B528" s="162" t="s">
        <v>429</v>
      </c>
      <c r="C528" s="54" t="s">
        <v>408</v>
      </c>
      <c r="D528" s="54" t="s">
        <v>163</v>
      </c>
      <c r="E528" s="54" t="s">
        <v>38</v>
      </c>
      <c r="F528" s="54" t="s">
        <v>426</v>
      </c>
      <c r="G528" s="81">
        <f t="shared" si="28"/>
        <v>179405.323</v>
      </c>
      <c r="H528" s="81">
        <f>H529</f>
        <v>0</v>
      </c>
      <c r="I528" s="81">
        <f>I529</f>
        <v>179405.323</v>
      </c>
    </row>
    <row r="529" spans="1:9" ht="45">
      <c r="A529" s="77" t="s">
        <v>278</v>
      </c>
      <c r="B529" s="73" t="s">
        <v>429</v>
      </c>
      <c r="C529" s="33" t="s">
        <v>408</v>
      </c>
      <c r="D529" s="33" t="s">
        <v>163</v>
      </c>
      <c r="E529" s="33" t="s">
        <v>56</v>
      </c>
      <c r="F529" s="33" t="s">
        <v>426</v>
      </c>
      <c r="G529" s="81">
        <f t="shared" si="28"/>
        <v>179405.323</v>
      </c>
      <c r="H529" s="81">
        <f>H530</f>
        <v>0</v>
      </c>
      <c r="I529" s="81">
        <f>I530</f>
        <v>179405.323</v>
      </c>
    </row>
    <row r="530" spans="1:9" ht="15">
      <c r="A530" s="14" t="s">
        <v>182</v>
      </c>
      <c r="B530" s="73" t="s">
        <v>429</v>
      </c>
      <c r="C530" s="33" t="s">
        <v>408</v>
      </c>
      <c r="D530" s="33" t="s">
        <v>163</v>
      </c>
      <c r="E530" s="33" t="s">
        <v>337</v>
      </c>
      <c r="F530" s="33" t="s">
        <v>426</v>
      </c>
      <c r="G530" s="81">
        <f>H530+I530</f>
        <v>179405.323</v>
      </c>
      <c r="H530" s="105">
        <f>H531+H533+H539</f>
        <v>0</v>
      </c>
      <c r="I530" s="105">
        <f>I531+I533+I536+I539</f>
        <v>179405.323</v>
      </c>
    </row>
    <row r="531" spans="1:9" ht="55.5" customHeight="1" hidden="1">
      <c r="A531" s="14" t="s">
        <v>196</v>
      </c>
      <c r="B531" s="73" t="s">
        <v>429</v>
      </c>
      <c r="C531" s="33" t="s">
        <v>408</v>
      </c>
      <c r="D531" s="33" t="s">
        <v>163</v>
      </c>
      <c r="E531" s="33" t="s">
        <v>137</v>
      </c>
      <c r="F531" s="33" t="s">
        <v>426</v>
      </c>
      <c r="G531" s="81">
        <f t="shared" si="28"/>
        <v>0</v>
      </c>
      <c r="H531" s="105">
        <f>H532</f>
        <v>0</v>
      </c>
      <c r="I531" s="105">
        <f>I532</f>
        <v>0</v>
      </c>
    </row>
    <row r="532" spans="1:9" ht="15" hidden="1">
      <c r="A532" s="14" t="s">
        <v>182</v>
      </c>
      <c r="B532" s="73" t="s">
        <v>429</v>
      </c>
      <c r="C532" s="33" t="s">
        <v>408</v>
      </c>
      <c r="D532" s="33" t="s">
        <v>163</v>
      </c>
      <c r="E532" s="33" t="s">
        <v>137</v>
      </c>
      <c r="F532" s="33" t="s">
        <v>390</v>
      </c>
      <c r="G532" s="81">
        <f t="shared" si="28"/>
        <v>0</v>
      </c>
      <c r="H532" s="105"/>
      <c r="I532" s="105"/>
    </row>
    <row r="533" spans="1:9" ht="54.75" customHeight="1">
      <c r="A533" s="14" t="s">
        <v>606</v>
      </c>
      <c r="B533" s="73" t="s">
        <v>429</v>
      </c>
      <c r="C533" s="33" t="s">
        <v>408</v>
      </c>
      <c r="D533" s="33" t="s">
        <v>163</v>
      </c>
      <c r="E533" s="33" t="s">
        <v>56</v>
      </c>
      <c r="F533" s="33" t="s">
        <v>426</v>
      </c>
      <c r="G533" s="81">
        <f t="shared" si="28"/>
        <v>7270.9</v>
      </c>
      <c r="H533" s="105">
        <f>H534</f>
        <v>0</v>
      </c>
      <c r="I533" s="105">
        <f>I534</f>
        <v>7270.9</v>
      </c>
    </row>
    <row r="534" spans="1:9" ht="45">
      <c r="A534" s="14" t="s">
        <v>225</v>
      </c>
      <c r="B534" s="18" t="s">
        <v>429</v>
      </c>
      <c r="C534" s="33" t="s">
        <v>408</v>
      </c>
      <c r="D534" s="33" t="s">
        <v>163</v>
      </c>
      <c r="E534" s="33" t="s">
        <v>607</v>
      </c>
      <c r="F534" s="33" t="s">
        <v>226</v>
      </c>
      <c r="G534" s="81">
        <f t="shared" si="28"/>
        <v>7270.9</v>
      </c>
      <c r="H534" s="81"/>
      <c r="I534" s="81">
        <f>I535</f>
        <v>7270.9</v>
      </c>
    </row>
    <row r="535" spans="1:9" ht="15">
      <c r="A535" s="42" t="s">
        <v>227</v>
      </c>
      <c r="B535" s="18" t="s">
        <v>429</v>
      </c>
      <c r="C535" s="33" t="s">
        <v>408</v>
      </c>
      <c r="D535" s="33" t="s">
        <v>163</v>
      </c>
      <c r="E535" s="33" t="s">
        <v>607</v>
      </c>
      <c r="F535" s="33" t="s">
        <v>304</v>
      </c>
      <c r="G535" s="81">
        <f t="shared" si="28"/>
        <v>7270.9</v>
      </c>
      <c r="H535" s="81"/>
      <c r="I535" s="81">
        <v>7270.9</v>
      </c>
    </row>
    <row r="536" spans="1:9" ht="69.75" customHeight="1">
      <c r="A536" s="50" t="s">
        <v>809</v>
      </c>
      <c r="B536" s="70" t="s">
        <v>429</v>
      </c>
      <c r="C536" s="54" t="s">
        <v>408</v>
      </c>
      <c r="D536" s="54" t="s">
        <v>163</v>
      </c>
      <c r="E536" s="54" t="s">
        <v>810</v>
      </c>
      <c r="F536" s="54" t="s">
        <v>426</v>
      </c>
      <c r="G536" s="90">
        <f>H536+I536</f>
        <v>10876.6</v>
      </c>
      <c r="H536" s="90">
        <v>0</v>
      </c>
      <c r="I536" s="90">
        <f>I537</f>
        <v>10876.6</v>
      </c>
    </row>
    <row r="537" spans="1:9" ht="45">
      <c r="A537" s="14" t="s">
        <v>225</v>
      </c>
      <c r="B537" s="18" t="s">
        <v>429</v>
      </c>
      <c r="C537" s="33" t="s">
        <v>408</v>
      </c>
      <c r="D537" s="33" t="s">
        <v>163</v>
      </c>
      <c r="E537" s="33" t="s">
        <v>810</v>
      </c>
      <c r="F537" s="33" t="s">
        <v>226</v>
      </c>
      <c r="G537" s="81">
        <f>H537+I537</f>
        <v>10876.6</v>
      </c>
      <c r="H537" s="81"/>
      <c r="I537" s="81">
        <f>I538</f>
        <v>10876.6</v>
      </c>
    </row>
    <row r="538" spans="1:9" ht="15">
      <c r="A538" s="14" t="s">
        <v>227</v>
      </c>
      <c r="B538" s="18" t="s">
        <v>429</v>
      </c>
      <c r="C538" s="33" t="s">
        <v>408</v>
      </c>
      <c r="D538" s="33" t="s">
        <v>163</v>
      </c>
      <c r="E538" s="33" t="s">
        <v>810</v>
      </c>
      <c r="F538" s="33" t="s">
        <v>304</v>
      </c>
      <c r="G538" s="81">
        <f>H538+I538</f>
        <v>10876.6</v>
      </c>
      <c r="H538" s="81"/>
      <c r="I538" s="81">
        <f>18147.5-7270.9</f>
        <v>10876.6</v>
      </c>
    </row>
    <row r="539" spans="1:9" ht="75">
      <c r="A539" s="14" t="s">
        <v>197</v>
      </c>
      <c r="B539" s="73" t="s">
        <v>429</v>
      </c>
      <c r="C539" s="33" t="s">
        <v>408</v>
      </c>
      <c r="D539" s="33" t="s">
        <v>163</v>
      </c>
      <c r="E539" s="33" t="s">
        <v>70</v>
      </c>
      <c r="F539" s="33" t="s">
        <v>426</v>
      </c>
      <c r="G539" s="81">
        <f t="shared" si="28"/>
        <v>161257.823</v>
      </c>
      <c r="H539" s="105">
        <f>H540</f>
        <v>0</v>
      </c>
      <c r="I539" s="105">
        <f>I540</f>
        <v>161257.823</v>
      </c>
    </row>
    <row r="540" spans="1:9" ht="45">
      <c r="A540" s="14" t="s">
        <v>225</v>
      </c>
      <c r="B540" s="73" t="s">
        <v>429</v>
      </c>
      <c r="C540" s="33" t="s">
        <v>408</v>
      </c>
      <c r="D540" s="33" t="s">
        <v>163</v>
      </c>
      <c r="E540" s="33" t="s">
        <v>70</v>
      </c>
      <c r="F540" s="33" t="s">
        <v>226</v>
      </c>
      <c r="G540" s="81">
        <f t="shared" si="28"/>
        <v>161257.823</v>
      </c>
      <c r="H540" s="105"/>
      <c r="I540" s="81">
        <f>I541</f>
        <v>161257.823</v>
      </c>
    </row>
    <row r="541" spans="1:9" ht="15">
      <c r="A541" s="14" t="s">
        <v>227</v>
      </c>
      <c r="B541" s="73" t="s">
        <v>429</v>
      </c>
      <c r="C541" s="33" t="s">
        <v>408</v>
      </c>
      <c r="D541" s="33" t="s">
        <v>163</v>
      </c>
      <c r="E541" s="33" t="s">
        <v>70</v>
      </c>
      <c r="F541" s="33" t="s">
        <v>304</v>
      </c>
      <c r="G541" s="81">
        <f t="shared" si="28"/>
        <v>161257.823</v>
      </c>
      <c r="H541" s="105"/>
      <c r="I541" s="81">
        <v>161257.823</v>
      </c>
    </row>
    <row r="542" spans="1:9" s="102" customFormat="1" ht="87" customHeight="1">
      <c r="A542" s="50" t="s">
        <v>803</v>
      </c>
      <c r="B542" s="70" t="s">
        <v>429</v>
      </c>
      <c r="C542" s="54" t="s">
        <v>408</v>
      </c>
      <c r="D542" s="54" t="s">
        <v>163</v>
      </c>
      <c r="E542" s="54" t="s">
        <v>811</v>
      </c>
      <c r="F542" s="54" t="s">
        <v>426</v>
      </c>
      <c r="G542" s="90">
        <f aca="true" t="shared" si="29" ref="G542:G547">H542+I542</f>
        <v>12051</v>
      </c>
      <c r="H542" s="90">
        <v>0</v>
      </c>
      <c r="I542" s="90">
        <f>I543</f>
        <v>12051</v>
      </c>
    </row>
    <row r="543" spans="1:9" ht="45">
      <c r="A543" s="14" t="s">
        <v>225</v>
      </c>
      <c r="B543" s="18" t="s">
        <v>429</v>
      </c>
      <c r="C543" s="33" t="s">
        <v>408</v>
      </c>
      <c r="D543" s="33" t="s">
        <v>163</v>
      </c>
      <c r="E543" s="33" t="s">
        <v>811</v>
      </c>
      <c r="F543" s="33" t="s">
        <v>226</v>
      </c>
      <c r="G543" s="81">
        <f t="shared" si="29"/>
        <v>12051</v>
      </c>
      <c r="H543" s="81"/>
      <c r="I543" s="81">
        <f>I544</f>
        <v>12051</v>
      </c>
    </row>
    <row r="544" spans="1:9" ht="15">
      <c r="A544" s="14" t="s">
        <v>227</v>
      </c>
      <c r="B544" s="18" t="s">
        <v>429</v>
      </c>
      <c r="C544" s="33" t="s">
        <v>408</v>
      </c>
      <c r="D544" s="33" t="s">
        <v>163</v>
      </c>
      <c r="E544" s="33" t="s">
        <v>811</v>
      </c>
      <c r="F544" s="33" t="s">
        <v>304</v>
      </c>
      <c r="G544" s="81">
        <f t="shared" si="29"/>
        <v>12051</v>
      </c>
      <c r="H544" s="81"/>
      <c r="I544" s="81">
        <v>12051</v>
      </c>
    </row>
    <row r="545" spans="1:9" ht="45" hidden="1">
      <c r="A545" s="50" t="s">
        <v>888</v>
      </c>
      <c r="B545" s="70" t="s">
        <v>429</v>
      </c>
      <c r="C545" s="54" t="s">
        <v>408</v>
      </c>
      <c r="D545" s="54" t="s">
        <v>163</v>
      </c>
      <c r="E545" s="70" t="s">
        <v>20</v>
      </c>
      <c r="F545" s="54" t="s">
        <v>426</v>
      </c>
      <c r="G545" s="90">
        <f t="shared" si="29"/>
        <v>0</v>
      </c>
      <c r="H545" s="90">
        <f>H546</f>
        <v>0</v>
      </c>
      <c r="I545" s="90">
        <f>I546</f>
        <v>0</v>
      </c>
    </row>
    <row r="546" spans="1:9" ht="75" hidden="1">
      <c r="A546" s="14" t="s">
        <v>886</v>
      </c>
      <c r="B546" s="18" t="s">
        <v>429</v>
      </c>
      <c r="C546" s="33" t="s">
        <v>408</v>
      </c>
      <c r="D546" s="33" t="s">
        <v>163</v>
      </c>
      <c r="E546" s="18" t="s">
        <v>20</v>
      </c>
      <c r="F546" s="33" t="s">
        <v>226</v>
      </c>
      <c r="G546" s="81">
        <f t="shared" si="29"/>
        <v>0</v>
      </c>
      <c r="H546" s="81">
        <f>H547</f>
        <v>0</v>
      </c>
      <c r="I546" s="81">
        <f>I547</f>
        <v>0</v>
      </c>
    </row>
    <row r="547" spans="1:9" ht="15" hidden="1">
      <c r="A547" s="14" t="s">
        <v>227</v>
      </c>
      <c r="B547" s="18" t="s">
        <v>429</v>
      </c>
      <c r="C547" s="33" t="s">
        <v>408</v>
      </c>
      <c r="D547" s="33" t="s">
        <v>163</v>
      </c>
      <c r="E547" s="18" t="s">
        <v>20</v>
      </c>
      <c r="F547" s="33" t="s">
        <v>304</v>
      </c>
      <c r="G547" s="81">
        <f t="shared" si="29"/>
        <v>0</v>
      </c>
      <c r="H547" s="81">
        <v>0</v>
      </c>
      <c r="I547" s="81"/>
    </row>
    <row r="548" spans="1:9" ht="45">
      <c r="A548" s="50" t="s">
        <v>490</v>
      </c>
      <c r="B548" s="70" t="s">
        <v>429</v>
      </c>
      <c r="C548" s="54" t="s">
        <v>408</v>
      </c>
      <c r="D548" s="54" t="s">
        <v>168</v>
      </c>
      <c r="E548" s="54" t="s">
        <v>38</v>
      </c>
      <c r="F548" s="54" t="s">
        <v>426</v>
      </c>
      <c r="G548" s="90">
        <f t="shared" si="28"/>
        <v>17100.28</v>
      </c>
      <c r="H548" s="90">
        <f>H549</f>
        <v>17100.28</v>
      </c>
      <c r="I548" s="90">
        <f>I549</f>
        <v>0</v>
      </c>
    </row>
    <row r="549" spans="1:9" ht="33" customHeight="1">
      <c r="A549" s="77" t="s">
        <v>306</v>
      </c>
      <c r="B549" s="73" t="s">
        <v>429</v>
      </c>
      <c r="C549" s="33" t="s">
        <v>408</v>
      </c>
      <c r="D549" s="33" t="s">
        <v>168</v>
      </c>
      <c r="E549" s="33" t="s">
        <v>64</v>
      </c>
      <c r="F549" s="33" t="s">
        <v>426</v>
      </c>
      <c r="G549" s="81">
        <f t="shared" si="28"/>
        <v>17100.28</v>
      </c>
      <c r="H549" s="105">
        <f>H550</f>
        <v>17100.28</v>
      </c>
      <c r="I549" s="105">
        <f>I550</f>
        <v>0</v>
      </c>
    </row>
    <row r="550" spans="1:9" ht="45">
      <c r="A550" s="14" t="s">
        <v>225</v>
      </c>
      <c r="B550" s="73" t="s">
        <v>429</v>
      </c>
      <c r="C550" s="33" t="s">
        <v>408</v>
      </c>
      <c r="D550" s="33" t="s">
        <v>168</v>
      </c>
      <c r="E550" s="33" t="s">
        <v>65</v>
      </c>
      <c r="F550" s="33" t="s">
        <v>226</v>
      </c>
      <c r="G550" s="81">
        <f t="shared" si="28"/>
        <v>17100.28</v>
      </c>
      <c r="H550" s="105">
        <f>H551+H553+H552+H554</f>
        <v>17100.28</v>
      </c>
      <c r="I550" s="81"/>
    </row>
    <row r="551" spans="1:9" ht="30">
      <c r="A551" s="14" t="s">
        <v>135</v>
      </c>
      <c r="B551" s="73" t="s">
        <v>429</v>
      </c>
      <c r="C551" s="33" t="s">
        <v>408</v>
      </c>
      <c r="D551" s="33" t="s">
        <v>168</v>
      </c>
      <c r="E551" s="33" t="s">
        <v>66</v>
      </c>
      <c r="F551" s="33" t="s">
        <v>304</v>
      </c>
      <c r="G551" s="81">
        <f t="shared" si="28"/>
        <v>5301.3</v>
      </c>
      <c r="H551" s="81">
        <f>3819.1+1302.2+180</f>
        <v>5301.3</v>
      </c>
      <c r="I551" s="81">
        <v>0</v>
      </c>
    </row>
    <row r="552" spans="1:9" ht="48.75" customHeight="1">
      <c r="A552" s="71" t="s">
        <v>894</v>
      </c>
      <c r="B552" s="83" t="s">
        <v>429</v>
      </c>
      <c r="C552" s="69" t="s">
        <v>408</v>
      </c>
      <c r="D552" s="69" t="s">
        <v>168</v>
      </c>
      <c r="E552" s="69" t="s">
        <v>893</v>
      </c>
      <c r="F552" s="69" t="s">
        <v>304</v>
      </c>
      <c r="G552" s="84">
        <f t="shared" si="28"/>
        <v>48</v>
      </c>
      <c r="H552" s="84">
        <v>48</v>
      </c>
      <c r="I552" s="84">
        <v>0</v>
      </c>
    </row>
    <row r="553" spans="1:9" ht="30">
      <c r="A553" s="14" t="s">
        <v>929</v>
      </c>
      <c r="B553" s="73" t="s">
        <v>429</v>
      </c>
      <c r="C553" s="33" t="s">
        <v>408</v>
      </c>
      <c r="D553" s="33" t="s">
        <v>168</v>
      </c>
      <c r="E553" s="33" t="s">
        <v>67</v>
      </c>
      <c r="F553" s="33" t="s">
        <v>304</v>
      </c>
      <c r="G553" s="81">
        <f t="shared" si="28"/>
        <v>11530.98</v>
      </c>
      <c r="H553" s="81">
        <f>8578.88+2555.1+617-220</f>
        <v>11530.98</v>
      </c>
      <c r="I553" s="81">
        <v>0</v>
      </c>
    </row>
    <row r="554" spans="1:9" ht="77.25" customHeight="1">
      <c r="A554" s="14" t="s">
        <v>930</v>
      </c>
      <c r="B554" s="18" t="s">
        <v>429</v>
      </c>
      <c r="C554" s="33" t="s">
        <v>408</v>
      </c>
      <c r="D554" s="33" t="s">
        <v>168</v>
      </c>
      <c r="E554" s="33" t="s">
        <v>931</v>
      </c>
      <c r="F554" s="33" t="s">
        <v>304</v>
      </c>
      <c r="G554" s="81">
        <f>H554</f>
        <v>220</v>
      </c>
      <c r="H554" s="81">
        <v>220</v>
      </c>
      <c r="I554" s="81"/>
    </row>
    <row r="555" spans="1:9" ht="45">
      <c r="A555" s="50" t="s">
        <v>491</v>
      </c>
      <c r="B555" s="70" t="s">
        <v>429</v>
      </c>
      <c r="C555" s="54" t="s">
        <v>408</v>
      </c>
      <c r="D555" s="54" t="s">
        <v>405</v>
      </c>
      <c r="E555" s="54" t="s">
        <v>38</v>
      </c>
      <c r="F555" s="54" t="s">
        <v>426</v>
      </c>
      <c r="G555" s="90">
        <f t="shared" si="28"/>
        <v>50</v>
      </c>
      <c r="H555" s="90">
        <f aca="true" t="shared" si="30" ref="H555:I558">H556</f>
        <v>50</v>
      </c>
      <c r="I555" s="90">
        <f t="shared" si="30"/>
        <v>0</v>
      </c>
    </row>
    <row r="556" spans="1:9" ht="37.5" customHeight="1">
      <c r="A556" s="77" t="s">
        <v>307</v>
      </c>
      <c r="B556" s="73" t="s">
        <v>429</v>
      </c>
      <c r="C556" s="33" t="s">
        <v>408</v>
      </c>
      <c r="D556" s="33" t="s">
        <v>405</v>
      </c>
      <c r="E556" s="33" t="s">
        <v>71</v>
      </c>
      <c r="F556" s="33" t="s">
        <v>426</v>
      </c>
      <c r="G556" s="81">
        <f t="shared" si="28"/>
        <v>50</v>
      </c>
      <c r="H556" s="105">
        <f t="shared" si="30"/>
        <v>50</v>
      </c>
      <c r="I556" s="105">
        <f t="shared" si="30"/>
        <v>0</v>
      </c>
    </row>
    <row r="557" spans="1:9" ht="30">
      <c r="A557" s="14" t="s">
        <v>273</v>
      </c>
      <c r="B557" s="73" t="s">
        <v>429</v>
      </c>
      <c r="C557" s="33" t="s">
        <v>408</v>
      </c>
      <c r="D557" s="33" t="s">
        <v>405</v>
      </c>
      <c r="E557" s="33" t="s">
        <v>72</v>
      </c>
      <c r="F557" s="33" t="s">
        <v>426</v>
      </c>
      <c r="G557" s="81">
        <f t="shared" si="28"/>
        <v>50</v>
      </c>
      <c r="H557" s="105">
        <f t="shared" si="30"/>
        <v>50</v>
      </c>
      <c r="I557" s="105">
        <f t="shared" si="30"/>
        <v>0</v>
      </c>
    </row>
    <row r="558" spans="1:9" ht="45">
      <c r="A558" s="14" t="s">
        <v>225</v>
      </c>
      <c r="B558" s="73" t="s">
        <v>429</v>
      </c>
      <c r="C558" s="33" t="s">
        <v>408</v>
      </c>
      <c r="D558" s="33" t="s">
        <v>405</v>
      </c>
      <c r="E558" s="33" t="s">
        <v>72</v>
      </c>
      <c r="F558" s="33" t="s">
        <v>226</v>
      </c>
      <c r="G558" s="81">
        <f t="shared" si="28"/>
        <v>50</v>
      </c>
      <c r="H558" s="81">
        <f t="shared" si="30"/>
        <v>50</v>
      </c>
      <c r="I558" s="81">
        <f t="shared" si="30"/>
        <v>0</v>
      </c>
    </row>
    <row r="559" spans="1:9" ht="15">
      <c r="A559" s="14" t="s">
        <v>227</v>
      </c>
      <c r="B559" s="73" t="s">
        <v>429</v>
      </c>
      <c r="C559" s="33" t="s">
        <v>408</v>
      </c>
      <c r="D559" s="33" t="s">
        <v>405</v>
      </c>
      <c r="E559" s="33" t="s">
        <v>72</v>
      </c>
      <c r="F559" s="33" t="s">
        <v>304</v>
      </c>
      <c r="G559" s="81">
        <f t="shared" si="28"/>
        <v>50</v>
      </c>
      <c r="H559" s="105">
        <f>30+20</f>
        <v>50</v>
      </c>
      <c r="I559" s="105"/>
    </row>
    <row r="560" spans="1:9" ht="45">
      <c r="A560" s="50" t="s">
        <v>490</v>
      </c>
      <c r="B560" s="70" t="s">
        <v>429</v>
      </c>
      <c r="C560" s="54" t="s">
        <v>408</v>
      </c>
      <c r="D560" s="54" t="s">
        <v>408</v>
      </c>
      <c r="E560" s="54" t="s">
        <v>38</v>
      </c>
      <c r="F560" s="54" t="s">
        <v>426</v>
      </c>
      <c r="G560" s="90">
        <f t="shared" si="28"/>
        <v>643.72055</v>
      </c>
      <c r="H560" s="90">
        <f>H561+H569</f>
        <v>46.898</v>
      </c>
      <c r="I560" s="90">
        <f>I561+I569</f>
        <v>596.82255</v>
      </c>
    </row>
    <row r="561" spans="1:9" ht="33.75" customHeight="1" hidden="1">
      <c r="A561" s="77" t="s">
        <v>306</v>
      </c>
      <c r="B561" s="18" t="s">
        <v>429</v>
      </c>
      <c r="C561" s="33" t="s">
        <v>408</v>
      </c>
      <c r="D561" s="33" t="s">
        <v>408</v>
      </c>
      <c r="E561" s="33" t="s">
        <v>64</v>
      </c>
      <c r="F561" s="33" t="s">
        <v>426</v>
      </c>
      <c r="G561" s="81">
        <f aca="true" t="shared" si="31" ref="G561:G568">H561+I561</f>
        <v>0</v>
      </c>
      <c r="H561" s="81">
        <f>H562</f>
        <v>0</v>
      </c>
      <c r="I561" s="81">
        <f>I562</f>
        <v>0</v>
      </c>
    </row>
    <row r="562" spans="1:9" ht="60" hidden="1">
      <c r="A562" s="50" t="s">
        <v>695</v>
      </c>
      <c r="B562" s="70" t="s">
        <v>429</v>
      </c>
      <c r="C562" s="54" t="s">
        <v>408</v>
      </c>
      <c r="D562" s="54" t="s">
        <v>408</v>
      </c>
      <c r="E562" s="54" t="s">
        <v>337</v>
      </c>
      <c r="F562" s="54" t="s">
        <v>426</v>
      </c>
      <c r="G562" s="90">
        <f t="shared" si="31"/>
        <v>0</v>
      </c>
      <c r="H562" s="90">
        <f>H566</f>
        <v>0</v>
      </c>
      <c r="I562" s="90">
        <f>I563</f>
        <v>0</v>
      </c>
    </row>
    <row r="563" spans="1:9" ht="75" hidden="1">
      <c r="A563" s="14" t="s">
        <v>708</v>
      </c>
      <c r="B563" s="18" t="s">
        <v>429</v>
      </c>
      <c r="C563" s="33" t="s">
        <v>408</v>
      </c>
      <c r="D563" s="33" t="s">
        <v>408</v>
      </c>
      <c r="E563" s="33" t="s">
        <v>715</v>
      </c>
      <c r="F563" s="33" t="s">
        <v>426</v>
      </c>
      <c r="G563" s="81">
        <f t="shared" si="31"/>
        <v>0</v>
      </c>
      <c r="H563" s="81"/>
      <c r="I563" s="81">
        <f>I564</f>
        <v>0</v>
      </c>
    </row>
    <row r="564" spans="1:9" ht="45" hidden="1">
      <c r="A564" s="14" t="s">
        <v>225</v>
      </c>
      <c r="B564" s="18" t="s">
        <v>429</v>
      </c>
      <c r="C564" s="33" t="s">
        <v>408</v>
      </c>
      <c r="D564" s="33" t="s">
        <v>408</v>
      </c>
      <c r="E564" s="33" t="s">
        <v>715</v>
      </c>
      <c r="F564" s="33" t="s">
        <v>226</v>
      </c>
      <c r="G564" s="81">
        <f t="shared" si="31"/>
        <v>0</v>
      </c>
      <c r="H564" s="81"/>
      <c r="I564" s="81">
        <f>I565</f>
        <v>0</v>
      </c>
    </row>
    <row r="565" spans="1:9" ht="15" hidden="1">
      <c r="A565" s="14" t="s">
        <v>227</v>
      </c>
      <c r="B565" s="18" t="s">
        <v>429</v>
      </c>
      <c r="C565" s="33" t="s">
        <v>408</v>
      </c>
      <c r="D565" s="33" t="s">
        <v>408</v>
      </c>
      <c r="E565" s="33" t="s">
        <v>715</v>
      </c>
      <c r="F565" s="33" t="s">
        <v>304</v>
      </c>
      <c r="G565" s="81">
        <f t="shared" si="31"/>
        <v>0</v>
      </c>
      <c r="H565" s="81"/>
      <c r="I565" s="81">
        <v>0</v>
      </c>
    </row>
    <row r="566" spans="1:9" ht="105" hidden="1">
      <c r="A566" s="14" t="s">
        <v>709</v>
      </c>
      <c r="B566" s="18" t="s">
        <v>429</v>
      </c>
      <c r="C566" s="33" t="s">
        <v>408</v>
      </c>
      <c r="D566" s="33" t="s">
        <v>408</v>
      </c>
      <c r="E566" s="33" t="s">
        <v>760</v>
      </c>
      <c r="F566" s="33" t="s">
        <v>426</v>
      </c>
      <c r="G566" s="81">
        <f t="shared" si="31"/>
        <v>0</v>
      </c>
      <c r="H566" s="81">
        <f>H567</f>
        <v>0</v>
      </c>
      <c r="I566" s="81"/>
    </row>
    <row r="567" spans="1:9" ht="45" hidden="1">
      <c r="A567" s="14" t="s">
        <v>225</v>
      </c>
      <c r="B567" s="18" t="s">
        <v>429</v>
      </c>
      <c r="C567" s="33" t="s">
        <v>408</v>
      </c>
      <c r="D567" s="33" t="s">
        <v>408</v>
      </c>
      <c r="E567" s="33" t="s">
        <v>760</v>
      </c>
      <c r="F567" s="33" t="s">
        <v>226</v>
      </c>
      <c r="G567" s="81">
        <f t="shared" si="31"/>
        <v>0</v>
      </c>
      <c r="H567" s="81">
        <f>H568</f>
        <v>0</v>
      </c>
      <c r="I567" s="81"/>
    </row>
    <row r="568" spans="1:9" ht="15" hidden="1">
      <c r="A568" s="14" t="s">
        <v>227</v>
      </c>
      <c r="B568" s="18" t="s">
        <v>429</v>
      </c>
      <c r="C568" s="33" t="s">
        <v>408</v>
      </c>
      <c r="D568" s="33" t="s">
        <v>408</v>
      </c>
      <c r="E568" s="33" t="s">
        <v>760</v>
      </c>
      <c r="F568" s="33" t="s">
        <v>304</v>
      </c>
      <c r="G568" s="81">
        <f t="shared" si="31"/>
        <v>0</v>
      </c>
      <c r="H568" s="81">
        <v>0</v>
      </c>
      <c r="I568" s="81"/>
    </row>
    <row r="569" spans="1:9" ht="33" customHeight="1">
      <c r="A569" s="77" t="s">
        <v>479</v>
      </c>
      <c r="B569" s="18" t="s">
        <v>429</v>
      </c>
      <c r="C569" s="33" t="s">
        <v>408</v>
      </c>
      <c r="D569" s="33" t="s">
        <v>408</v>
      </c>
      <c r="E569" s="33" t="s">
        <v>73</v>
      </c>
      <c r="F569" s="33" t="s">
        <v>426</v>
      </c>
      <c r="G569" s="81">
        <f t="shared" si="28"/>
        <v>643.72055</v>
      </c>
      <c r="H569" s="81">
        <f>H570+H575</f>
        <v>46.898</v>
      </c>
      <c r="I569" s="81">
        <f>I570</f>
        <v>596.82255</v>
      </c>
    </row>
    <row r="570" spans="1:9" ht="71.25">
      <c r="A570" s="75" t="s">
        <v>757</v>
      </c>
      <c r="B570" s="164" t="s">
        <v>429</v>
      </c>
      <c r="C570" s="76" t="s">
        <v>408</v>
      </c>
      <c r="D570" s="76" t="s">
        <v>408</v>
      </c>
      <c r="E570" s="76" t="s">
        <v>73</v>
      </c>
      <c r="F570" s="76" t="s">
        <v>426</v>
      </c>
      <c r="G570" s="89">
        <f>H570+I570</f>
        <v>596.82255</v>
      </c>
      <c r="H570" s="114">
        <f>H571+H573</f>
        <v>0</v>
      </c>
      <c r="I570" s="114">
        <f>I571+I573</f>
        <v>596.82255</v>
      </c>
    </row>
    <row r="571" spans="1:9" ht="45">
      <c r="A571" s="42" t="s">
        <v>225</v>
      </c>
      <c r="B571" s="73" t="s">
        <v>429</v>
      </c>
      <c r="C571" s="33" t="s">
        <v>408</v>
      </c>
      <c r="D571" s="33" t="s">
        <v>408</v>
      </c>
      <c r="E571" s="33" t="s">
        <v>74</v>
      </c>
      <c r="F571" s="33" t="s">
        <v>226</v>
      </c>
      <c r="G571" s="81">
        <f>H571+I571</f>
        <v>596.82255</v>
      </c>
      <c r="H571" s="105"/>
      <c r="I571" s="105">
        <f>I572</f>
        <v>596.82255</v>
      </c>
    </row>
    <row r="572" spans="1:9" ht="15">
      <c r="A572" s="42" t="s">
        <v>227</v>
      </c>
      <c r="B572" s="73" t="s">
        <v>429</v>
      </c>
      <c r="C572" s="33" t="s">
        <v>408</v>
      </c>
      <c r="D572" s="33" t="s">
        <v>408</v>
      </c>
      <c r="E572" s="33" t="s">
        <v>74</v>
      </c>
      <c r="F572" s="33" t="s">
        <v>304</v>
      </c>
      <c r="G572" s="81">
        <f>H572+I572</f>
        <v>596.82255</v>
      </c>
      <c r="H572" s="105"/>
      <c r="I572" s="105">
        <f>896.82255-300</f>
        <v>596.82255</v>
      </c>
    </row>
    <row r="573" spans="1:9" ht="45" hidden="1">
      <c r="A573" s="42" t="s">
        <v>225</v>
      </c>
      <c r="B573" s="73" t="s">
        <v>429</v>
      </c>
      <c r="C573" s="33" t="s">
        <v>408</v>
      </c>
      <c r="D573" s="33" t="s">
        <v>408</v>
      </c>
      <c r="E573" s="33" t="s">
        <v>74</v>
      </c>
      <c r="F573" s="33" t="s">
        <v>226</v>
      </c>
      <c r="G573" s="81">
        <f t="shared" si="28"/>
        <v>0</v>
      </c>
      <c r="H573" s="105"/>
      <c r="I573" s="105">
        <f>I574</f>
        <v>0</v>
      </c>
    </row>
    <row r="574" spans="1:9" ht="15" hidden="1">
      <c r="A574" s="42" t="s">
        <v>227</v>
      </c>
      <c r="B574" s="73" t="s">
        <v>429</v>
      </c>
      <c r="C574" s="33" t="s">
        <v>408</v>
      </c>
      <c r="D574" s="33" t="s">
        <v>408</v>
      </c>
      <c r="E574" s="33" t="s">
        <v>74</v>
      </c>
      <c r="F574" s="33" t="s">
        <v>304</v>
      </c>
      <c r="G574" s="81">
        <f t="shared" si="28"/>
        <v>0</v>
      </c>
      <c r="H574" s="105"/>
      <c r="I574" s="105"/>
    </row>
    <row r="575" spans="1:9" ht="60">
      <c r="A575" s="14" t="s">
        <v>922</v>
      </c>
      <c r="B575" s="18" t="s">
        <v>429</v>
      </c>
      <c r="C575" s="33" t="s">
        <v>408</v>
      </c>
      <c r="D575" s="33" t="s">
        <v>408</v>
      </c>
      <c r="E575" s="33" t="s">
        <v>921</v>
      </c>
      <c r="F575" s="33" t="s">
        <v>426</v>
      </c>
      <c r="G575" s="81">
        <f>H575</f>
        <v>46.898</v>
      </c>
      <c r="H575" s="81">
        <f>H576</f>
        <v>46.898</v>
      </c>
      <c r="I575" s="81"/>
    </row>
    <row r="576" spans="1:9" ht="45">
      <c r="A576" s="42" t="s">
        <v>225</v>
      </c>
      <c r="B576" s="18" t="s">
        <v>429</v>
      </c>
      <c r="C576" s="33" t="s">
        <v>408</v>
      </c>
      <c r="D576" s="33" t="s">
        <v>408</v>
      </c>
      <c r="E576" s="33" t="s">
        <v>921</v>
      </c>
      <c r="F576" s="33" t="s">
        <v>226</v>
      </c>
      <c r="G576" s="81">
        <f>H576</f>
        <v>46.898</v>
      </c>
      <c r="H576" s="81">
        <f>H577</f>
        <v>46.898</v>
      </c>
      <c r="I576" s="81"/>
    </row>
    <row r="577" spans="1:9" ht="15">
      <c r="A577" s="42" t="s">
        <v>227</v>
      </c>
      <c r="B577" s="18" t="s">
        <v>429</v>
      </c>
      <c r="C577" s="33" t="s">
        <v>408</v>
      </c>
      <c r="D577" s="33" t="s">
        <v>408</v>
      </c>
      <c r="E577" s="33" t="s">
        <v>921</v>
      </c>
      <c r="F577" s="33" t="s">
        <v>304</v>
      </c>
      <c r="G577" s="81">
        <f>H577</f>
        <v>46.898</v>
      </c>
      <c r="H577" s="81">
        <v>46.898</v>
      </c>
      <c r="I577" s="81"/>
    </row>
    <row r="578" spans="1:9" ht="18" customHeight="1">
      <c r="A578" s="75" t="s">
        <v>384</v>
      </c>
      <c r="B578" s="164" t="s">
        <v>429</v>
      </c>
      <c r="C578" s="76" t="s">
        <v>408</v>
      </c>
      <c r="D578" s="76" t="s">
        <v>393</v>
      </c>
      <c r="E578" s="76" t="s">
        <v>337</v>
      </c>
      <c r="F578" s="76" t="s">
        <v>426</v>
      </c>
      <c r="G578" s="89">
        <f>H578+I578</f>
        <v>48084.887</v>
      </c>
      <c r="H578" s="114">
        <f>H579+H594+H600+H604+H609+H614</f>
        <v>48084.887</v>
      </c>
      <c r="I578" s="114">
        <f>I579</f>
        <v>0</v>
      </c>
    </row>
    <row r="579" spans="1:9" ht="45">
      <c r="A579" s="50" t="s">
        <v>490</v>
      </c>
      <c r="B579" s="162" t="s">
        <v>429</v>
      </c>
      <c r="C579" s="54" t="s">
        <v>408</v>
      </c>
      <c r="D579" s="54" t="s">
        <v>393</v>
      </c>
      <c r="E579" s="54" t="s">
        <v>38</v>
      </c>
      <c r="F579" s="54" t="s">
        <v>426</v>
      </c>
      <c r="G579" s="90">
        <f t="shared" si="28"/>
        <v>43972.187000000005</v>
      </c>
      <c r="H579" s="113">
        <f>H580</f>
        <v>43972.187000000005</v>
      </c>
      <c r="I579" s="113"/>
    </row>
    <row r="580" spans="1:10" ht="31.5" customHeight="1">
      <c r="A580" s="77" t="s">
        <v>279</v>
      </c>
      <c r="B580" s="73" t="s">
        <v>429</v>
      </c>
      <c r="C580" s="33" t="s">
        <v>408</v>
      </c>
      <c r="D580" s="33" t="s">
        <v>393</v>
      </c>
      <c r="E580" s="33" t="s">
        <v>76</v>
      </c>
      <c r="F580" s="33" t="s">
        <v>426</v>
      </c>
      <c r="G580" s="81">
        <f t="shared" si="28"/>
        <v>43972.187000000005</v>
      </c>
      <c r="H580" s="105">
        <f>H581+H589</f>
        <v>43972.187000000005</v>
      </c>
      <c r="I580" s="105"/>
      <c r="J580" s="46"/>
    </row>
    <row r="581" spans="1:9" ht="54.75" customHeight="1">
      <c r="A581" s="14" t="s">
        <v>274</v>
      </c>
      <c r="B581" s="73" t="s">
        <v>429</v>
      </c>
      <c r="C581" s="33" t="s">
        <v>408</v>
      </c>
      <c r="D581" s="33" t="s">
        <v>393</v>
      </c>
      <c r="E581" s="33" t="s">
        <v>76</v>
      </c>
      <c r="F581" s="33" t="s">
        <v>426</v>
      </c>
      <c r="G581" s="81">
        <f t="shared" si="28"/>
        <v>40912.73</v>
      </c>
      <c r="H581" s="105">
        <f>H582+H584+H586</f>
        <v>40912.73</v>
      </c>
      <c r="I581" s="105">
        <f>I582+I584+I586</f>
        <v>0</v>
      </c>
    </row>
    <row r="582" spans="1:9" ht="81" customHeight="1">
      <c r="A582" s="14" t="s">
        <v>199</v>
      </c>
      <c r="B582" s="73" t="s">
        <v>429</v>
      </c>
      <c r="C582" s="33" t="s">
        <v>408</v>
      </c>
      <c r="D582" s="33" t="s">
        <v>393</v>
      </c>
      <c r="E582" s="33" t="s">
        <v>76</v>
      </c>
      <c r="F582" s="33" t="s">
        <v>166</v>
      </c>
      <c r="G582" s="81">
        <f t="shared" si="28"/>
        <v>34785.63</v>
      </c>
      <c r="H582" s="105">
        <f>H583</f>
        <v>34785.63</v>
      </c>
      <c r="I582" s="105">
        <f>I583</f>
        <v>0</v>
      </c>
    </row>
    <row r="583" spans="1:10" ht="30">
      <c r="A583" s="14" t="s">
        <v>215</v>
      </c>
      <c r="B583" s="73" t="s">
        <v>429</v>
      </c>
      <c r="C583" s="33" t="s">
        <v>408</v>
      </c>
      <c r="D583" s="33" t="s">
        <v>393</v>
      </c>
      <c r="E583" s="33" t="s">
        <v>76</v>
      </c>
      <c r="F583" s="33" t="s">
        <v>173</v>
      </c>
      <c r="G583" s="81">
        <f>H583+I583</f>
        <v>34785.63</v>
      </c>
      <c r="H583" s="81">
        <f>34785.63</f>
        <v>34785.63</v>
      </c>
      <c r="I583" s="105"/>
      <c r="J583" s="80"/>
    </row>
    <row r="584" spans="1:9" ht="30">
      <c r="A584" s="14" t="s">
        <v>202</v>
      </c>
      <c r="B584" s="73" t="s">
        <v>429</v>
      </c>
      <c r="C584" s="33" t="s">
        <v>408</v>
      </c>
      <c r="D584" s="33" t="s">
        <v>393</v>
      </c>
      <c r="E584" s="33" t="s">
        <v>76</v>
      </c>
      <c r="F584" s="33" t="s">
        <v>170</v>
      </c>
      <c r="G584" s="81">
        <f>H584+I584</f>
        <v>5788.472000000009</v>
      </c>
      <c r="H584" s="81">
        <f>H585</f>
        <v>5788.472000000009</v>
      </c>
      <c r="I584" s="105">
        <f>I585</f>
        <v>0</v>
      </c>
    </row>
    <row r="585" spans="1:10" ht="45">
      <c r="A585" s="42" t="s">
        <v>203</v>
      </c>
      <c r="B585" s="18" t="s">
        <v>429</v>
      </c>
      <c r="C585" s="33" t="s">
        <v>408</v>
      </c>
      <c r="D585" s="33" t="s">
        <v>393</v>
      </c>
      <c r="E585" s="33" t="s">
        <v>76</v>
      </c>
      <c r="F585" s="33" t="s">
        <v>204</v>
      </c>
      <c r="G585" s="81">
        <f>H585+I585</f>
        <v>5788.472000000009</v>
      </c>
      <c r="H585" s="81">
        <f>40712.73-89.2-34785.63-49.428</f>
        <v>5788.472000000009</v>
      </c>
      <c r="I585" s="105"/>
      <c r="J585" s="80"/>
    </row>
    <row r="586" spans="1:9" ht="15">
      <c r="A586" s="14" t="s">
        <v>207</v>
      </c>
      <c r="B586" s="18" t="s">
        <v>429</v>
      </c>
      <c r="C586" s="33" t="s">
        <v>408</v>
      </c>
      <c r="D586" s="33" t="s">
        <v>393</v>
      </c>
      <c r="E586" s="33" t="s">
        <v>76</v>
      </c>
      <c r="F586" s="33" t="s">
        <v>208</v>
      </c>
      <c r="G586" s="81">
        <f>H586+I586</f>
        <v>338.628</v>
      </c>
      <c r="H586" s="81">
        <f>H587+H588</f>
        <v>338.628</v>
      </c>
      <c r="I586" s="105">
        <f>I588</f>
        <v>0</v>
      </c>
    </row>
    <row r="587" spans="1:9" ht="15" hidden="1">
      <c r="A587" s="14" t="s">
        <v>211</v>
      </c>
      <c r="B587" s="18" t="s">
        <v>429</v>
      </c>
      <c r="C587" s="33" t="s">
        <v>408</v>
      </c>
      <c r="D587" s="33" t="s">
        <v>393</v>
      </c>
      <c r="E587" s="33" t="s">
        <v>76</v>
      </c>
      <c r="F587" s="33" t="s">
        <v>212</v>
      </c>
      <c r="G587" s="81">
        <f>H587</f>
        <v>0</v>
      </c>
      <c r="H587" s="81"/>
      <c r="I587" s="105"/>
    </row>
    <row r="588" spans="1:9" ht="15">
      <c r="A588" s="14" t="s">
        <v>205</v>
      </c>
      <c r="B588" s="18" t="s">
        <v>429</v>
      </c>
      <c r="C588" s="33" t="s">
        <v>408</v>
      </c>
      <c r="D588" s="33" t="s">
        <v>393</v>
      </c>
      <c r="E588" s="33" t="s">
        <v>76</v>
      </c>
      <c r="F588" s="33" t="s">
        <v>206</v>
      </c>
      <c r="G588" s="81">
        <f>H588+I588</f>
        <v>338.628</v>
      </c>
      <c r="H588" s="81">
        <f>89.2+200+49.428</f>
        <v>338.628</v>
      </c>
      <c r="I588" s="105"/>
    </row>
    <row r="589" spans="1:9" ht="63" customHeight="1">
      <c r="A589" s="77" t="s">
        <v>563</v>
      </c>
      <c r="B589" s="18" t="s">
        <v>429</v>
      </c>
      <c r="C589" s="33" t="s">
        <v>408</v>
      </c>
      <c r="D589" s="33" t="s">
        <v>393</v>
      </c>
      <c r="E589" s="33" t="s">
        <v>76</v>
      </c>
      <c r="F589" s="33" t="s">
        <v>426</v>
      </c>
      <c r="G589" s="81">
        <f>H589</f>
        <v>3059.457</v>
      </c>
      <c r="H589" s="81">
        <f>H590+H592</f>
        <v>3059.457</v>
      </c>
      <c r="I589" s="81"/>
    </row>
    <row r="590" spans="1:9" ht="90">
      <c r="A590" s="14" t="s">
        <v>199</v>
      </c>
      <c r="B590" s="18" t="s">
        <v>429</v>
      </c>
      <c r="C590" s="33" t="s">
        <v>408</v>
      </c>
      <c r="D590" s="33" t="s">
        <v>393</v>
      </c>
      <c r="E590" s="33" t="s">
        <v>76</v>
      </c>
      <c r="F590" s="33" t="s">
        <v>166</v>
      </c>
      <c r="G590" s="81">
        <f>H590</f>
        <v>2969.457</v>
      </c>
      <c r="H590" s="81">
        <f>H591</f>
        <v>2969.457</v>
      </c>
      <c r="I590" s="81"/>
    </row>
    <row r="591" spans="1:10" ht="30">
      <c r="A591" s="14" t="s">
        <v>215</v>
      </c>
      <c r="B591" s="18" t="s">
        <v>429</v>
      </c>
      <c r="C591" s="33" t="s">
        <v>408</v>
      </c>
      <c r="D591" s="33" t="s">
        <v>393</v>
      </c>
      <c r="E591" s="33" t="s">
        <v>76</v>
      </c>
      <c r="F591" s="33" t="s">
        <v>173</v>
      </c>
      <c r="G591" s="81">
        <f>H591</f>
        <v>2969.457</v>
      </c>
      <c r="H591" s="81">
        <f>2969.457</f>
        <v>2969.457</v>
      </c>
      <c r="I591" s="81"/>
      <c r="J591" s="176"/>
    </row>
    <row r="592" spans="1:9" ht="30">
      <c r="A592" s="14" t="s">
        <v>202</v>
      </c>
      <c r="B592" s="18" t="s">
        <v>429</v>
      </c>
      <c r="C592" s="33" t="s">
        <v>408</v>
      </c>
      <c r="D592" s="33" t="s">
        <v>393</v>
      </c>
      <c r="E592" s="33" t="s">
        <v>76</v>
      </c>
      <c r="F592" s="33" t="s">
        <v>170</v>
      </c>
      <c r="G592" s="81">
        <f>H592</f>
        <v>90</v>
      </c>
      <c r="H592" s="81">
        <f>H593</f>
        <v>90</v>
      </c>
      <c r="I592" s="81"/>
    </row>
    <row r="593" spans="1:9" ht="45">
      <c r="A593" s="42" t="s">
        <v>203</v>
      </c>
      <c r="B593" s="18" t="s">
        <v>429</v>
      </c>
      <c r="C593" s="33" t="s">
        <v>408</v>
      </c>
      <c r="D593" s="33" t="s">
        <v>393</v>
      </c>
      <c r="E593" s="33" t="s">
        <v>76</v>
      </c>
      <c r="F593" s="33" t="s">
        <v>204</v>
      </c>
      <c r="G593" s="81">
        <f>H593</f>
        <v>90</v>
      </c>
      <c r="H593" s="81">
        <v>90</v>
      </c>
      <c r="I593" s="81"/>
    </row>
    <row r="594" spans="1:9" ht="60">
      <c r="A594" s="50" t="s">
        <v>492</v>
      </c>
      <c r="B594" s="162" t="s">
        <v>429</v>
      </c>
      <c r="C594" s="54" t="s">
        <v>408</v>
      </c>
      <c r="D594" s="54" t="s">
        <v>393</v>
      </c>
      <c r="E594" s="54" t="s">
        <v>78</v>
      </c>
      <c r="F594" s="54" t="s">
        <v>426</v>
      </c>
      <c r="G594" s="90">
        <f aca="true" t="shared" si="32" ref="G594:G606">H594+I594</f>
        <v>598</v>
      </c>
      <c r="H594" s="90">
        <f>H595+H598</f>
        <v>598</v>
      </c>
      <c r="I594" s="113">
        <f>I595+I598</f>
        <v>0</v>
      </c>
    </row>
    <row r="595" spans="1:9" ht="15">
      <c r="A595" s="14" t="s">
        <v>418</v>
      </c>
      <c r="B595" s="73" t="s">
        <v>429</v>
      </c>
      <c r="C595" s="33" t="s">
        <v>408</v>
      </c>
      <c r="D595" s="33" t="s">
        <v>393</v>
      </c>
      <c r="E595" s="33" t="s">
        <v>79</v>
      </c>
      <c r="F595" s="33" t="s">
        <v>426</v>
      </c>
      <c r="G595" s="81">
        <f t="shared" si="32"/>
        <v>380</v>
      </c>
      <c r="H595" s="105">
        <f>H596</f>
        <v>380</v>
      </c>
      <c r="I595" s="105">
        <f>I596</f>
        <v>0</v>
      </c>
    </row>
    <row r="596" spans="1:9" ht="30">
      <c r="A596" s="14" t="s">
        <v>202</v>
      </c>
      <c r="B596" s="73" t="s">
        <v>429</v>
      </c>
      <c r="C596" s="33" t="s">
        <v>408</v>
      </c>
      <c r="D596" s="33" t="s">
        <v>393</v>
      </c>
      <c r="E596" s="33" t="s">
        <v>79</v>
      </c>
      <c r="F596" s="33" t="s">
        <v>170</v>
      </c>
      <c r="G596" s="81">
        <f t="shared" si="32"/>
        <v>380</v>
      </c>
      <c r="H596" s="105">
        <f>H597</f>
        <v>380</v>
      </c>
      <c r="I596" s="105">
        <f>I597</f>
        <v>0</v>
      </c>
    </row>
    <row r="597" spans="1:9" ht="45">
      <c r="A597" s="42" t="s">
        <v>203</v>
      </c>
      <c r="B597" s="73" t="s">
        <v>429</v>
      </c>
      <c r="C597" s="33" t="s">
        <v>408</v>
      </c>
      <c r="D597" s="33" t="s">
        <v>393</v>
      </c>
      <c r="E597" s="33" t="s">
        <v>80</v>
      </c>
      <c r="F597" s="33" t="s">
        <v>204</v>
      </c>
      <c r="G597" s="81">
        <f t="shared" si="32"/>
        <v>380</v>
      </c>
      <c r="H597" s="105">
        <f>380</f>
        <v>380</v>
      </c>
      <c r="I597" s="105"/>
    </row>
    <row r="598" spans="1:9" ht="45">
      <c r="A598" s="14" t="s">
        <v>225</v>
      </c>
      <c r="B598" s="73" t="s">
        <v>429</v>
      </c>
      <c r="C598" s="33" t="s">
        <v>408</v>
      </c>
      <c r="D598" s="33" t="s">
        <v>393</v>
      </c>
      <c r="E598" s="33" t="s">
        <v>79</v>
      </c>
      <c r="F598" s="33" t="s">
        <v>226</v>
      </c>
      <c r="G598" s="81">
        <f t="shared" si="32"/>
        <v>218</v>
      </c>
      <c r="H598" s="105">
        <f>H599</f>
        <v>218</v>
      </c>
      <c r="I598" s="105">
        <f>I599</f>
        <v>0</v>
      </c>
    </row>
    <row r="599" spans="1:9" ht="30">
      <c r="A599" s="14" t="s">
        <v>140</v>
      </c>
      <c r="B599" s="73" t="s">
        <v>429</v>
      </c>
      <c r="C599" s="33" t="s">
        <v>408</v>
      </c>
      <c r="D599" s="33" t="s">
        <v>393</v>
      </c>
      <c r="E599" s="33" t="s">
        <v>81</v>
      </c>
      <c r="F599" s="33" t="s">
        <v>304</v>
      </c>
      <c r="G599" s="81">
        <f t="shared" si="32"/>
        <v>218</v>
      </c>
      <c r="H599" s="105">
        <f>218</f>
        <v>218</v>
      </c>
      <c r="I599" s="105"/>
    </row>
    <row r="600" spans="1:9" ht="45" customHeight="1">
      <c r="A600" s="50" t="s">
        <v>493</v>
      </c>
      <c r="B600" s="162" t="s">
        <v>429</v>
      </c>
      <c r="C600" s="54" t="s">
        <v>408</v>
      </c>
      <c r="D600" s="54" t="s">
        <v>393</v>
      </c>
      <c r="E600" s="54" t="s">
        <v>45</v>
      </c>
      <c r="F600" s="54" t="s">
        <v>426</v>
      </c>
      <c r="G600" s="90">
        <f t="shared" si="32"/>
        <v>2124</v>
      </c>
      <c r="H600" s="113">
        <f>H601</f>
        <v>2124</v>
      </c>
      <c r="I600" s="113">
        <f aca="true" t="shared" si="33" ref="H600:I602">I601</f>
        <v>0</v>
      </c>
    </row>
    <row r="601" spans="1:9" ht="15">
      <c r="A601" s="14" t="s">
        <v>418</v>
      </c>
      <c r="B601" s="73" t="s">
        <v>429</v>
      </c>
      <c r="C601" s="33" t="s">
        <v>408</v>
      </c>
      <c r="D601" s="33" t="s">
        <v>393</v>
      </c>
      <c r="E601" s="33" t="s">
        <v>46</v>
      </c>
      <c r="F601" s="33" t="s">
        <v>426</v>
      </c>
      <c r="G601" s="81">
        <f t="shared" si="32"/>
        <v>2124</v>
      </c>
      <c r="H601" s="105">
        <f>H602+H607</f>
        <v>2124</v>
      </c>
      <c r="I601" s="105">
        <f>I602</f>
        <v>0</v>
      </c>
    </row>
    <row r="602" spans="1:9" ht="30">
      <c r="A602" s="14" t="s">
        <v>202</v>
      </c>
      <c r="B602" s="73" t="s">
        <v>429</v>
      </c>
      <c r="C602" s="33" t="s">
        <v>408</v>
      </c>
      <c r="D602" s="33" t="s">
        <v>393</v>
      </c>
      <c r="E602" s="33" t="s">
        <v>82</v>
      </c>
      <c r="F602" s="33" t="s">
        <v>170</v>
      </c>
      <c r="G602" s="81">
        <f t="shared" si="32"/>
        <v>4</v>
      </c>
      <c r="H602" s="81">
        <f t="shared" si="33"/>
        <v>4</v>
      </c>
      <c r="I602" s="81">
        <f t="shared" si="33"/>
        <v>0</v>
      </c>
    </row>
    <row r="603" spans="1:9" ht="45">
      <c r="A603" s="42" t="s">
        <v>203</v>
      </c>
      <c r="B603" s="73" t="s">
        <v>429</v>
      </c>
      <c r="C603" s="33" t="s">
        <v>408</v>
      </c>
      <c r="D603" s="33" t="s">
        <v>393</v>
      </c>
      <c r="E603" s="33" t="s">
        <v>82</v>
      </c>
      <c r="F603" s="33" t="s">
        <v>204</v>
      </c>
      <c r="G603" s="81">
        <f t="shared" si="32"/>
        <v>4</v>
      </c>
      <c r="H603" s="81">
        <f>134-130</f>
        <v>4</v>
      </c>
      <c r="I603" s="81"/>
    </row>
    <row r="604" spans="1:9" ht="45" customHeight="1" hidden="1">
      <c r="A604" s="50" t="s">
        <v>302</v>
      </c>
      <c r="B604" s="73" t="s">
        <v>429</v>
      </c>
      <c r="C604" s="33" t="s">
        <v>408</v>
      </c>
      <c r="D604" s="33" t="s">
        <v>393</v>
      </c>
      <c r="E604" s="33" t="s">
        <v>82</v>
      </c>
      <c r="F604" s="54" t="s">
        <v>426</v>
      </c>
      <c r="G604" s="90">
        <f t="shared" si="32"/>
        <v>0</v>
      </c>
      <c r="H604" s="90">
        <f>H605</f>
        <v>0</v>
      </c>
      <c r="I604" s="90"/>
    </row>
    <row r="605" spans="1:9" ht="30" hidden="1">
      <c r="A605" s="14" t="s">
        <v>202</v>
      </c>
      <c r="B605" s="73" t="s">
        <v>429</v>
      </c>
      <c r="C605" s="33" t="s">
        <v>408</v>
      </c>
      <c r="D605" s="33" t="s">
        <v>393</v>
      </c>
      <c r="E605" s="33" t="s">
        <v>82</v>
      </c>
      <c r="F605" s="22" t="s">
        <v>170</v>
      </c>
      <c r="G605" s="105">
        <f t="shared" si="32"/>
        <v>0</v>
      </c>
      <c r="H605" s="105">
        <f>H606</f>
        <v>0</v>
      </c>
      <c r="I605" s="81"/>
    </row>
    <row r="606" spans="1:9" ht="45" hidden="1">
      <c r="A606" s="42" t="s">
        <v>203</v>
      </c>
      <c r="B606" s="73" t="s">
        <v>429</v>
      </c>
      <c r="C606" s="33" t="s">
        <v>408</v>
      </c>
      <c r="D606" s="33" t="s">
        <v>393</v>
      </c>
      <c r="E606" s="33" t="s">
        <v>82</v>
      </c>
      <c r="F606" s="22" t="s">
        <v>204</v>
      </c>
      <c r="G606" s="105">
        <f t="shared" si="32"/>
        <v>0</v>
      </c>
      <c r="H606" s="105"/>
      <c r="I606" s="81"/>
    </row>
    <row r="607" spans="1:9" ht="45">
      <c r="A607" s="14" t="s">
        <v>225</v>
      </c>
      <c r="B607" s="73" t="s">
        <v>429</v>
      </c>
      <c r="C607" s="33" t="s">
        <v>408</v>
      </c>
      <c r="D607" s="33" t="s">
        <v>393</v>
      </c>
      <c r="E607" s="33" t="s">
        <v>82</v>
      </c>
      <c r="F607" s="22" t="s">
        <v>226</v>
      </c>
      <c r="G607" s="105">
        <f>H607</f>
        <v>2120</v>
      </c>
      <c r="H607" s="105">
        <f>H608</f>
        <v>2120</v>
      </c>
      <c r="I607" s="81"/>
    </row>
    <row r="608" spans="1:9" ht="15">
      <c r="A608" s="14" t="s">
        <v>227</v>
      </c>
      <c r="B608" s="73" t="s">
        <v>429</v>
      </c>
      <c r="C608" s="33" t="s">
        <v>408</v>
      </c>
      <c r="D608" s="33" t="s">
        <v>393</v>
      </c>
      <c r="E608" s="33" t="s">
        <v>82</v>
      </c>
      <c r="F608" s="22" t="s">
        <v>304</v>
      </c>
      <c r="G608" s="105">
        <f>H608</f>
        <v>2120</v>
      </c>
      <c r="H608" s="105">
        <f>2000+120</f>
        <v>2120</v>
      </c>
      <c r="I608" s="81"/>
    </row>
    <row r="609" spans="1:9" ht="70.5" customHeight="1">
      <c r="A609" s="51" t="s">
        <v>551</v>
      </c>
      <c r="B609" s="70" t="s">
        <v>429</v>
      </c>
      <c r="C609" s="54" t="s">
        <v>408</v>
      </c>
      <c r="D609" s="54" t="s">
        <v>393</v>
      </c>
      <c r="E609" s="54" t="s">
        <v>337</v>
      </c>
      <c r="F609" s="54" t="s">
        <v>426</v>
      </c>
      <c r="G609" s="90">
        <f>H609+I609</f>
        <v>1103.2</v>
      </c>
      <c r="H609" s="90">
        <f>H610+H612</f>
        <v>1103.2</v>
      </c>
      <c r="I609" s="90"/>
    </row>
    <row r="610" spans="1:9" ht="34.5" customHeight="1">
      <c r="A610" s="14" t="s">
        <v>202</v>
      </c>
      <c r="B610" s="18" t="s">
        <v>429</v>
      </c>
      <c r="C610" s="33" t="s">
        <v>408</v>
      </c>
      <c r="D610" s="33" t="s">
        <v>393</v>
      </c>
      <c r="E610" s="33" t="s">
        <v>918</v>
      </c>
      <c r="F610" s="33" t="s">
        <v>170</v>
      </c>
      <c r="G610" s="81">
        <f>H610</f>
        <v>158</v>
      </c>
      <c r="H610" s="81">
        <f>H611</f>
        <v>158</v>
      </c>
      <c r="I610" s="81"/>
    </row>
    <row r="611" spans="1:9" ht="45.75" customHeight="1">
      <c r="A611" s="42" t="s">
        <v>203</v>
      </c>
      <c r="B611" s="18" t="s">
        <v>429</v>
      </c>
      <c r="C611" s="33" t="s">
        <v>408</v>
      </c>
      <c r="D611" s="33" t="s">
        <v>393</v>
      </c>
      <c r="E611" s="33" t="s">
        <v>918</v>
      </c>
      <c r="F611" s="33" t="s">
        <v>204</v>
      </c>
      <c r="G611" s="81">
        <f>H611</f>
        <v>158</v>
      </c>
      <c r="H611" s="81">
        <v>158</v>
      </c>
      <c r="I611" s="81"/>
    </row>
    <row r="612" spans="1:9" ht="42" customHeight="1">
      <c r="A612" s="14" t="s">
        <v>225</v>
      </c>
      <c r="B612" s="73" t="s">
        <v>429</v>
      </c>
      <c r="C612" s="22" t="s">
        <v>408</v>
      </c>
      <c r="D612" s="22" t="s">
        <v>393</v>
      </c>
      <c r="E612" s="33" t="s">
        <v>550</v>
      </c>
      <c r="F612" s="33" t="s">
        <v>226</v>
      </c>
      <c r="G612" s="105">
        <f>H612+I612</f>
        <v>945.2</v>
      </c>
      <c r="H612" s="105">
        <f>H613</f>
        <v>945.2</v>
      </c>
      <c r="I612" s="81"/>
    </row>
    <row r="613" spans="1:9" ht="28.5" customHeight="1">
      <c r="A613" s="14" t="s">
        <v>140</v>
      </c>
      <c r="B613" s="73" t="s">
        <v>429</v>
      </c>
      <c r="C613" s="22" t="s">
        <v>408</v>
      </c>
      <c r="D613" s="22" t="s">
        <v>393</v>
      </c>
      <c r="E613" s="33" t="s">
        <v>550</v>
      </c>
      <c r="F613" s="33" t="s">
        <v>304</v>
      </c>
      <c r="G613" s="105">
        <f>H613+I613</f>
        <v>945.2</v>
      </c>
      <c r="H613" s="105">
        <f>1215-61.8-50-158</f>
        <v>945.2</v>
      </c>
      <c r="I613" s="81"/>
    </row>
    <row r="614" spans="1:9" ht="28.5" customHeight="1">
      <c r="A614" s="97" t="s">
        <v>164</v>
      </c>
      <c r="B614" s="73" t="s">
        <v>429</v>
      </c>
      <c r="C614" s="22" t="s">
        <v>408</v>
      </c>
      <c r="D614" s="22" t="s">
        <v>393</v>
      </c>
      <c r="E614" s="22" t="s">
        <v>19</v>
      </c>
      <c r="F614" s="22" t="s">
        <v>426</v>
      </c>
      <c r="G614" s="105">
        <f>H614</f>
        <v>287.5</v>
      </c>
      <c r="H614" s="105">
        <f>H615</f>
        <v>287.5</v>
      </c>
      <c r="I614" s="105"/>
    </row>
    <row r="615" spans="1:9" ht="42" customHeight="1">
      <c r="A615" s="72" t="s">
        <v>165</v>
      </c>
      <c r="B615" s="73" t="s">
        <v>429</v>
      </c>
      <c r="C615" s="22" t="s">
        <v>408</v>
      </c>
      <c r="D615" s="22" t="s">
        <v>393</v>
      </c>
      <c r="E615" s="22" t="s">
        <v>20</v>
      </c>
      <c r="F615" s="22" t="s">
        <v>426</v>
      </c>
      <c r="G615" s="105">
        <f>H615</f>
        <v>287.5</v>
      </c>
      <c r="H615" s="105">
        <f>H616</f>
        <v>287.5</v>
      </c>
      <c r="I615" s="105"/>
    </row>
    <row r="616" spans="1:9" ht="15.75" customHeight="1">
      <c r="A616" s="74" t="s">
        <v>915</v>
      </c>
      <c r="B616" s="73" t="s">
        <v>429</v>
      </c>
      <c r="C616" s="22" t="s">
        <v>408</v>
      </c>
      <c r="D616" s="22" t="s">
        <v>393</v>
      </c>
      <c r="E616" s="22" t="s">
        <v>916</v>
      </c>
      <c r="F616" s="22" t="s">
        <v>426</v>
      </c>
      <c r="G616" s="105">
        <f>H616</f>
        <v>287.5</v>
      </c>
      <c r="H616" s="105">
        <f>H617</f>
        <v>287.5</v>
      </c>
      <c r="I616" s="105"/>
    </row>
    <row r="617" spans="1:9" ht="28.5" customHeight="1">
      <c r="A617" s="72" t="s">
        <v>202</v>
      </c>
      <c r="B617" s="73" t="s">
        <v>429</v>
      </c>
      <c r="C617" s="22" t="s">
        <v>408</v>
      </c>
      <c r="D617" s="22" t="s">
        <v>393</v>
      </c>
      <c r="E617" s="22" t="s">
        <v>916</v>
      </c>
      <c r="F617" s="22" t="s">
        <v>170</v>
      </c>
      <c r="G617" s="105">
        <f>H617</f>
        <v>287.5</v>
      </c>
      <c r="H617" s="105">
        <f>H618</f>
        <v>287.5</v>
      </c>
      <c r="I617" s="105"/>
    </row>
    <row r="618" spans="1:9" ht="28.5" customHeight="1">
      <c r="A618" s="74" t="s">
        <v>203</v>
      </c>
      <c r="B618" s="73" t="s">
        <v>429</v>
      </c>
      <c r="C618" s="22" t="s">
        <v>408</v>
      </c>
      <c r="D618" s="22" t="s">
        <v>393</v>
      </c>
      <c r="E618" s="22" t="s">
        <v>916</v>
      </c>
      <c r="F618" s="22" t="s">
        <v>204</v>
      </c>
      <c r="G618" s="105">
        <f>H618</f>
        <v>287.5</v>
      </c>
      <c r="H618" s="105">
        <v>287.5</v>
      </c>
      <c r="I618" s="105"/>
    </row>
    <row r="619" spans="1:9" ht="14.25">
      <c r="A619" s="75" t="s">
        <v>243</v>
      </c>
      <c r="B619" s="164" t="s">
        <v>429</v>
      </c>
      <c r="C619" s="76" t="s">
        <v>244</v>
      </c>
      <c r="D619" s="76" t="s">
        <v>162</v>
      </c>
      <c r="E619" s="76" t="s">
        <v>337</v>
      </c>
      <c r="F619" s="76" t="s">
        <v>426</v>
      </c>
      <c r="G619" s="89">
        <f>H619+I619</f>
        <v>8495.259</v>
      </c>
      <c r="H619" s="114">
        <f>H624</f>
        <v>0</v>
      </c>
      <c r="I619" s="114">
        <f>I620+I624+I632</f>
        <v>8495.259</v>
      </c>
    </row>
    <row r="620" spans="1:9" ht="15">
      <c r="A620" s="71" t="s">
        <v>619</v>
      </c>
      <c r="B620" s="83" t="s">
        <v>429</v>
      </c>
      <c r="C620" s="69" t="s">
        <v>244</v>
      </c>
      <c r="D620" s="69" t="s">
        <v>168</v>
      </c>
      <c r="E620" s="69" t="s">
        <v>337</v>
      </c>
      <c r="F620" s="69" t="s">
        <v>426</v>
      </c>
      <c r="G620" s="89">
        <f>H620+I620</f>
        <v>2160</v>
      </c>
      <c r="H620" s="114">
        <f aca="true" t="shared" si="34" ref="H620:I622">H621</f>
        <v>0</v>
      </c>
      <c r="I620" s="114">
        <f>I621</f>
        <v>2160</v>
      </c>
    </row>
    <row r="621" spans="1:9" ht="90">
      <c r="A621" s="50" t="s">
        <v>620</v>
      </c>
      <c r="B621" s="18" t="s">
        <v>429</v>
      </c>
      <c r="C621" s="33" t="s">
        <v>244</v>
      </c>
      <c r="D621" s="33" t="s">
        <v>168</v>
      </c>
      <c r="E621" s="54" t="s">
        <v>56</v>
      </c>
      <c r="F621" s="54" t="s">
        <v>426</v>
      </c>
      <c r="G621" s="90">
        <f>I621</f>
        <v>2160</v>
      </c>
      <c r="H621" s="90">
        <f t="shared" si="34"/>
        <v>0</v>
      </c>
      <c r="I621" s="90">
        <f t="shared" si="34"/>
        <v>2160</v>
      </c>
    </row>
    <row r="622" spans="1:9" ht="30">
      <c r="A622" s="14" t="s">
        <v>216</v>
      </c>
      <c r="B622" s="18" t="s">
        <v>429</v>
      </c>
      <c r="C622" s="33" t="s">
        <v>244</v>
      </c>
      <c r="D622" s="33" t="s">
        <v>168</v>
      </c>
      <c r="E622" s="33" t="s">
        <v>713</v>
      </c>
      <c r="F622" s="33" t="s">
        <v>171</v>
      </c>
      <c r="G622" s="81">
        <f>I622</f>
        <v>2160</v>
      </c>
      <c r="H622" s="81">
        <f t="shared" si="34"/>
        <v>0</v>
      </c>
      <c r="I622" s="81">
        <f t="shared" si="34"/>
        <v>2160</v>
      </c>
    </row>
    <row r="623" spans="1:9" ht="30">
      <c r="A623" s="14" t="s">
        <v>219</v>
      </c>
      <c r="B623" s="18" t="s">
        <v>429</v>
      </c>
      <c r="C623" s="33" t="s">
        <v>244</v>
      </c>
      <c r="D623" s="33" t="s">
        <v>168</v>
      </c>
      <c r="E623" s="33" t="s">
        <v>713</v>
      </c>
      <c r="F623" s="33" t="s">
        <v>220</v>
      </c>
      <c r="G623" s="81">
        <f>I623</f>
        <v>2160</v>
      </c>
      <c r="H623" s="81"/>
      <c r="I623" s="81">
        <v>2160</v>
      </c>
    </row>
    <row r="624" spans="1:10" ht="15">
      <c r="A624" s="71" t="s">
        <v>419</v>
      </c>
      <c r="B624" s="83" t="s">
        <v>429</v>
      </c>
      <c r="C624" s="69" t="s">
        <v>244</v>
      </c>
      <c r="D624" s="69" t="s">
        <v>172</v>
      </c>
      <c r="E624" s="69" t="s">
        <v>337</v>
      </c>
      <c r="F624" s="69" t="s">
        <v>426</v>
      </c>
      <c r="G624" s="84">
        <f aca="true" t="shared" si="35" ref="G624:G636">H624+I624</f>
        <v>6035.259</v>
      </c>
      <c r="H624" s="84">
        <f>H625</f>
        <v>0</v>
      </c>
      <c r="I624" s="84">
        <f>I627</f>
        <v>6035.259</v>
      </c>
      <c r="J624" s="80"/>
    </row>
    <row r="625" spans="1:9" ht="45">
      <c r="A625" s="50" t="s">
        <v>490</v>
      </c>
      <c r="B625" s="162" t="s">
        <v>429</v>
      </c>
      <c r="C625" s="54" t="s">
        <v>244</v>
      </c>
      <c r="D625" s="54" t="s">
        <v>162</v>
      </c>
      <c r="E625" s="54" t="s">
        <v>38</v>
      </c>
      <c r="F625" s="54" t="s">
        <v>426</v>
      </c>
      <c r="G625" s="81">
        <f t="shared" si="35"/>
        <v>6035.259</v>
      </c>
      <c r="H625" s="105">
        <f>H626</f>
        <v>0</v>
      </c>
      <c r="I625" s="105">
        <f>I626</f>
        <v>6035.259</v>
      </c>
    </row>
    <row r="626" spans="1:9" ht="45">
      <c r="A626" s="77" t="s">
        <v>275</v>
      </c>
      <c r="B626" s="73" t="s">
        <v>429</v>
      </c>
      <c r="C626" s="33" t="s">
        <v>244</v>
      </c>
      <c r="D626" s="33" t="s">
        <v>172</v>
      </c>
      <c r="E626" s="33" t="s">
        <v>51</v>
      </c>
      <c r="F626" s="33" t="s">
        <v>426</v>
      </c>
      <c r="G626" s="81">
        <f t="shared" si="35"/>
        <v>6035.259</v>
      </c>
      <c r="H626" s="105">
        <f>H627</f>
        <v>0</v>
      </c>
      <c r="I626" s="105">
        <f>I627</f>
        <v>6035.259</v>
      </c>
    </row>
    <row r="627" spans="1:9" ht="75">
      <c r="A627" s="14" t="s">
        <v>246</v>
      </c>
      <c r="B627" s="18" t="s">
        <v>429</v>
      </c>
      <c r="C627" s="33" t="s">
        <v>244</v>
      </c>
      <c r="D627" s="33" t="s">
        <v>172</v>
      </c>
      <c r="E627" s="33" t="s">
        <v>97</v>
      </c>
      <c r="F627" s="33" t="s">
        <v>426</v>
      </c>
      <c r="G627" s="81">
        <f t="shared" si="35"/>
        <v>6035.259</v>
      </c>
      <c r="H627" s="81">
        <f>H629</f>
        <v>0</v>
      </c>
      <c r="I627" s="81">
        <f>I628+I629</f>
        <v>6035.259</v>
      </c>
    </row>
    <row r="628" spans="1:9" ht="45">
      <c r="A628" s="42" t="s">
        <v>203</v>
      </c>
      <c r="B628" s="18" t="s">
        <v>429</v>
      </c>
      <c r="C628" s="33" t="s">
        <v>244</v>
      </c>
      <c r="D628" s="33" t="s">
        <v>172</v>
      </c>
      <c r="E628" s="33" t="s">
        <v>97</v>
      </c>
      <c r="F628" s="33" t="s">
        <v>204</v>
      </c>
      <c r="G628" s="81">
        <f t="shared" si="35"/>
        <v>90.529</v>
      </c>
      <c r="H628" s="81"/>
      <c r="I628" s="81">
        <v>90.529</v>
      </c>
    </row>
    <row r="629" spans="1:9" ht="30">
      <c r="A629" s="47" t="s">
        <v>217</v>
      </c>
      <c r="B629" s="18" t="s">
        <v>429</v>
      </c>
      <c r="C629" s="33" t="s">
        <v>244</v>
      </c>
      <c r="D629" s="33" t="s">
        <v>172</v>
      </c>
      <c r="E629" s="33" t="s">
        <v>97</v>
      </c>
      <c r="F629" s="12">
        <v>310</v>
      </c>
      <c r="G629" s="81">
        <f t="shared" si="35"/>
        <v>5944.73</v>
      </c>
      <c r="H629" s="81"/>
      <c r="I629" s="81">
        <v>5944.73</v>
      </c>
    </row>
    <row r="630" spans="1:9" ht="45">
      <c r="A630" s="50" t="s">
        <v>491</v>
      </c>
      <c r="B630" s="18" t="s">
        <v>429</v>
      </c>
      <c r="C630" s="33" t="s">
        <v>244</v>
      </c>
      <c r="D630" s="33" t="s">
        <v>172</v>
      </c>
      <c r="E630" s="54" t="s">
        <v>38</v>
      </c>
      <c r="F630" s="54" t="s">
        <v>426</v>
      </c>
      <c r="G630" s="81">
        <f t="shared" si="35"/>
        <v>300</v>
      </c>
      <c r="H630" s="81"/>
      <c r="I630" s="81">
        <f>I631</f>
        <v>300</v>
      </c>
    </row>
    <row r="631" spans="1:9" ht="30">
      <c r="A631" s="77" t="s">
        <v>479</v>
      </c>
      <c r="B631" s="18" t="s">
        <v>429</v>
      </c>
      <c r="C631" s="33" t="s">
        <v>244</v>
      </c>
      <c r="D631" s="33" t="s">
        <v>172</v>
      </c>
      <c r="E631" s="33" t="s">
        <v>73</v>
      </c>
      <c r="F631" s="33" t="s">
        <v>426</v>
      </c>
      <c r="G631" s="81">
        <f t="shared" si="35"/>
        <v>300</v>
      </c>
      <c r="H631" s="81"/>
      <c r="I631" s="81">
        <f>I632</f>
        <v>300</v>
      </c>
    </row>
    <row r="632" spans="1:9" ht="71.25">
      <c r="A632" s="75" t="s">
        <v>757</v>
      </c>
      <c r="B632" s="164" t="s">
        <v>429</v>
      </c>
      <c r="C632" s="76" t="s">
        <v>244</v>
      </c>
      <c r="D632" s="76" t="s">
        <v>172</v>
      </c>
      <c r="E632" s="76" t="s">
        <v>73</v>
      </c>
      <c r="F632" s="76" t="s">
        <v>426</v>
      </c>
      <c r="G632" s="89">
        <f t="shared" si="35"/>
        <v>300</v>
      </c>
      <c r="H632" s="114"/>
      <c r="I632" s="114">
        <f>I633+I650</f>
        <v>300</v>
      </c>
    </row>
    <row r="633" spans="1:9" ht="30">
      <c r="A633" s="42" t="s">
        <v>216</v>
      </c>
      <c r="B633" s="73" t="s">
        <v>429</v>
      </c>
      <c r="C633" s="33" t="s">
        <v>244</v>
      </c>
      <c r="D633" s="33" t="s">
        <v>172</v>
      </c>
      <c r="E633" s="33" t="s">
        <v>74</v>
      </c>
      <c r="F633" s="33" t="s">
        <v>171</v>
      </c>
      <c r="G633" s="81">
        <f t="shared" si="35"/>
        <v>300</v>
      </c>
      <c r="H633" s="105"/>
      <c r="I633" s="105">
        <f>I634</f>
        <v>300</v>
      </c>
    </row>
    <row r="634" spans="1:9" ht="33" customHeight="1">
      <c r="A634" s="42" t="s">
        <v>217</v>
      </c>
      <c r="B634" s="18" t="s">
        <v>429</v>
      </c>
      <c r="C634" s="33" t="s">
        <v>244</v>
      </c>
      <c r="D634" s="33" t="s">
        <v>172</v>
      </c>
      <c r="E634" s="33" t="s">
        <v>74</v>
      </c>
      <c r="F634" s="33" t="s">
        <v>218</v>
      </c>
      <c r="G634" s="81">
        <f t="shared" si="35"/>
        <v>300</v>
      </c>
      <c r="H634" s="81"/>
      <c r="I634" s="81">
        <v>300</v>
      </c>
    </row>
    <row r="635" spans="1:9" ht="17.25" customHeight="1" hidden="1">
      <c r="A635" s="75" t="s">
        <v>247</v>
      </c>
      <c r="B635" s="82" t="s">
        <v>429</v>
      </c>
      <c r="C635" s="76" t="s">
        <v>179</v>
      </c>
      <c r="D635" s="76" t="s">
        <v>162</v>
      </c>
      <c r="E635" s="76" t="s">
        <v>337</v>
      </c>
      <c r="F635" s="76" t="s">
        <v>426</v>
      </c>
      <c r="G635" s="89">
        <f t="shared" si="35"/>
        <v>0</v>
      </c>
      <c r="H635" s="89">
        <f>H636+H643</f>
        <v>0</v>
      </c>
      <c r="I635" s="89">
        <f>I636+I643</f>
        <v>0</v>
      </c>
    </row>
    <row r="636" spans="1:9" ht="30.75" customHeight="1" hidden="1">
      <c r="A636" s="75" t="s">
        <v>738</v>
      </c>
      <c r="B636" s="18" t="s">
        <v>429</v>
      </c>
      <c r="C636" s="76" t="s">
        <v>179</v>
      </c>
      <c r="D636" s="76" t="s">
        <v>163</v>
      </c>
      <c r="E636" s="76" t="s">
        <v>98</v>
      </c>
      <c r="F636" s="76" t="s">
        <v>426</v>
      </c>
      <c r="G636" s="89">
        <f t="shared" si="35"/>
        <v>0</v>
      </c>
      <c r="H636" s="89">
        <f>H640</f>
        <v>0</v>
      </c>
      <c r="I636" s="89">
        <f>I637</f>
        <v>0</v>
      </c>
    </row>
    <row r="637" spans="1:9" ht="56.25" customHeight="1" hidden="1">
      <c r="A637" s="51" t="s">
        <v>744</v>
      </c>
      <c r="B637" s="18" t="s">
        <v>429</v>
      </c>
      <c r="C637" s="54" t="s">
        <v>179</v>
      </c>
      <c r="D637" s="54" t="s">
        <v>163</v>
      </c>
      <c r="E637" s="33" t="s">
        <v>741</v>
      </c>
      <c r="F637" s="33" t="s">
        <v>426</v>
      </c>
      <c r="G637" s="90">
        <f>I637</f>
        <v>0</v>
      </c>
      <c r="H637" s="90"/>
      <c r="I637" s="90">
        <f>I638</f>
        <v>0</v>
      </c>
    </row>
    <row r="638" spans="1:9" ht="42.75" customHeight="1" hidden="1">
      <c r="A638" s="14" t="s">
        <v>627</v>
      </c>
      <c r="B638" s="18" t="s">
        <v>429</v>
      </c>
      <c r="C638" s="33" t="s">
        <v>179</v>
      </c>
      <c r="D638" s="33" t="s">
        <v>163</v>
      </c>
      <c r="E638" s="33" t="s">
        <v>741</v>
      </c>
      <c r="F638" s="33" t="s">
        <v>226</v>
      </c>
      <c r="G638" s="81">
        <f>I638</f>
        <v>0</v>
      </c>
      <c r="H638" s="81"/>
      <c r="I638" s="81">
        <f>I639</f>
        <v>0</v>
      </c>
    </row>
    <row r="639" spans="1:9" ht="18" customHeight="1" hidden="1">
      <c r="A639" s="14" t="s">
        <v>191</v>
      </c>
      <c r="B639" s="18" t="s">
        <v>429</v>
      </c>
      <c r="C639" s="33" t="s">
        <v>179</v>
      </c>
      <c r="D639" s="33" t="s">
        <v>163</v>
      </c>
      <c r="E639" s="33" t="s">
        <v>741</v>
      </c>
      <c r="F639" s="33" t="s">
        <v>304</v>
      </c>
      <c r="G639" s="81">
        <f>I639</f>
        <v>0</v>
      </c>
      <c r="H639" s="81"/>
      <c r="I639" s="81">
        <v>0</v>
      </c>
    </row>
    <row r="640" spans="1:9" ht="69.75" customHeight="1" hidden="1">
      <c r="A640" s="51" t="s">
        <v>745</v>
      </c>
      <c r="B640" s="18" t="s">
        <v>429</v>
      </c>
      <c r="C640" s="54" t="s">
        <v>179</v>
      </c>
      <c r="D640" s="54" t="s">
        <v>163</v>
      </c>
      <c r="E640" s="33" t="s">
        <v>742</v>
      </c>
      <c r="F640" s="33" t="s">
        <v>426</v>
      </c>
      <c r="G640" s="90">
        <f>H640</f>
        <v>0</v>
      </c>
      <c r="H640" s="90">
        <f>H641</f>
        <v>0</v>
      </c>
      <c r="I640" s="90"/>
    </row>
    <row r="641" spans="1:9" ht="43.5" customHeight="1" hidden="1">
      <c r="A641" s="14" t="s">
        <v>627</v>
      </c>
      <c r="B641" s="18" t="s">
        <v>429</v>
      </c>
      <c r="C641" s="33" t="s">
        <v>179</v>
      </c>
      <c r="D641" s="33" t="s">
        <v>163</v>
      </c>
      <c r="E641" s="33" t="s">
        <v>742</v>
      </c>
      <c r="F641" s="33" t="s">
        <v>226</v>
      </c>
      <c r="G641" s="81">
        <f>H641</f>
        <v>0</v>
      </c>
      <c r="H641" s="81">
        <f>H642</f>
        <v>0</v>
      </c>
      <c r="I641" s="81"/>
    </row>
    <row r="642" spans="1:9" ht="16.5" customHeight="1" hidden="1">
      <c r="A642" s="14" t="s">
        <v>191</v>
      </c>
      <c r="B642" s="18" t="s">
        <v>429</v>
      </c>
      <c r="C642" s="33" t="s">
        <v>179</v>
      </c>
      <c r="D642" s="33" t="s">
        <v>163</v>
      </c>
      <c r="E642" s="33" t="s">
        <v>742</v>
      </c>
      <c r="F642" s="33" t="s">
        <v>304</v>
      </c>
      <c r="G642" s="81">
        <f>H642</f>
        <v>0</v>
      </c>
      <c r="H642" s="81">
        <v>0</v>
      </c>
      <c r="I642" s="81"/>
    </row>
    <row r="643" spans="1:9" ht="44.25" customHeight="1" hidden="1">
      <c r="A643" s="78" t="s">
        <v>625</v>
      </c>
      <c r="B643" s="82" t="s">
        <v>429</v>
      </c>
      <c r="C643" s="76" t="s">
        <v>179</v>
      </c>
      <c r="D643" s="76" t="s">
        <v>163</v>
      </c>
      <c r="E643" s="76" t="s">
        <v>98</v>
      </c>
      <c r="F643" s="76" t="s">
        <v>426</v>
      </c>
      <c r="G643" s="89">
        <f>H643+I643</f>
        <v>0</v>
      </c>
      <c r="H643" s="89">
        <f>H647</f>
        <v>0</v>
      </c>
      <c r="I643" s="89">
        <f>I644</f>
        <v>0</v>
      </c>
    </row>
    <row r="644" spans="1:9" ht="72" customHeight="1" hidden="1">
      <c r="A644" s="51" t="s">
        <v>644</v>
      </c>
      <c r="B644" s="70" t="s">
        <v>429</v>
      </c>
      <c r="C644" s="54" t="s">
        <v>179</v>
      </c>
      <c r="D644" s="54" t="s">
        <v>163</v>
      </c>
      <c r="E644" s="54" t="s">
        <v>626</v>
      </c>
      <c r="F644" s="54" t="s">
        <v>426</v>
      </c>
      <c r="G644" s="90">
        <f>I644</f>
        <v>0</v>
      </c>
      <c r="H644" s="90"/>
      <c r="I644" s="90">
        <f>I645</f>
        <v>0</v>
      </c>
    </row>
    <row r="645" spans="1:9" ht="43.5" customHeight="1" hidden="1">
      <c r="A645" s="14" t="s">
        <v>627</v>
      </c>
      <c r="B645" s="18" t="s">
        <v>429</v>
      </c>
      <c r="C645" s="33" t="s">
        <v>179</v>
      </c>
      <c r="D645" s="33" t="s">
        <v>163</v>
      </c>
      <c r="E645" s="33" t="s">
        <v>626</v>
      </c>
      <c r="F645" s="33" t="s">
        <v>226</v>
      </c>
      <c r="G645" s="81">
        <f>I645</f>
        <v>0</v>
      </c>
      <c r="H645" s="81"/>
      <c r="I645" s="81">
        <f>I646</f>
        <v>0</v>
      </c>
    </row>
    <row r="646" spans="1:9" ht="20.25" customHeight="1" hidden="1">
      <c r="A646" s="14" t="s">
        <v>191</v>
      </c>
      <c r="B646" s="18" t="s">
        <v>429</v>
      </c>
      <c r="C646" s="33" t="s">
        <v>179</v>
      </c>
      <c r="D646" s="33" t="s">
        <v>163</v>
      </c>
      <c r="E646" s="33" t="s">
        <v>626</v>
      </c>
      <c r="F646" s="33" t="s">
        <v>304</v>
      </c>
      <c r="G646" s="81">
        <f>I646</f>
        <v>0</v>
      </c>
      <c r="H646" s="81"/>
      <c r="I646" s="81">
        <v>0</v>
      </c>
    </row>
    <row r="647" spans="1:9" ht="85.5" customHeight="1" hidden="1">
      <c r="A647" s="51" t="s">
        <v>645</v>
      </c>
      <c r="B647" s="70" t="s">
        <v>429</v>
      </c>
      <c r="C647" s="54" t="s">
        <v>179</v>
      </c>
      <c r="D647" s="54" t="s">
        <v>163</v>
      </c>
      <c r="E647" s="54" t="s">
        <v>628</v>
      </c>
      <c r="F647" s="54" t="s">
        <v>426</v>
      </c>
      <c r="G647" s="90">
        <f>H647</f>
        <v>0</v>
      </c>
      <c r="H647" s="90">
        <f>H648</f>
        <v>0</v>
      </c>
      <c r="I647" s="90"/>
    </row>
    <row r="648" spans="1:9" ht="42" customHeight="1" hidden="1">
      <c r="A648" s="14" t="s">
        <v>627</v>
      </c>
      <c r="B648" s="18" t="s">
        <v>429</v>
      </c>
      <c r="C648" s="33" t="s">
        <v>179</v>
      </c>
      <c r="D648" s="33" t="s">
        <v>163</v>
      </c>
      <c r="E648" s="33" t="s">
        <v>628</v>
      </c>
      <c r="F648" s="33" t="s">
        <v>226</v>
      </c>
      <c r="G648" s="81">
        <f>H648</f>
        <v>0</v>
      </c>
      <c r="H648" s="81">
        <f>H649</f>
        <v>0</v>
      </c>
      <c r="I648" s="81"/>
    </row>
    <row r="649" spans="1:9" ht="23.25" customHeight="1" hidden="1">
      <c r="A649" s="14" t="s">
        <v>191</v>
      </c>
      <c r="B649" s="18" t="s">
        <v>429</v>
      </c>
      <c r="C649" s="33" t="s">
        <v>179</v>
      </c>
      <c r="D649" s="33" t="s">
        <v>163</v>
      </c>
      <c r="E649" s="33" t="s">
        <v>628</v>
      </c>
      <c r="F649" s="33" t="s">
        <v>304</v>
      </c>
      <c r="G649" s="81">
        <f>H649</f>
        <v>0</v>
      </c>
      <c r="H649" s="81">
        <v>0</v>
      </c>
      <c r="I649" s="81"/>
    </row>
    <row r="650" spans="1:9" ht="42.75">
      <c r="A650" s="216" t="s">
        <v>153</v>
      </c>
      <c r="B650" s="164" t="s">
        <v>428</v>
      </c>
      <c r="C650" s="164" t="s">
        <v>162</v>
      </c>
      <c r="D650" s="164" t="s">
        <v>162</v>
      </c>
      <c r="E650" s="164" t="s">
        <v>337</v>
      </c>
      <c r="F650" s="164" t="s">
        <v>426</v>
      </c>
      <c r="G650" s="89">
        <f aca="true" t="shared" si="36" ref="G650:G660">H650+I650</f>
        <v>1680.7</v>
      </c>
      <c r="H650" s="114">
        <f>H651</f>
        <v>1680.7</v>
      </c>
      <c r="I650" s="114">
        <f>I651</f>
        <v>0</v>
      </c>
    </row>
    <row r="651" spans="1:9" ht="60">
      <c r="A651" s="47" t="s">
        <v>415</v>
      </c>
      <c r="B651" s="73" t="s">
        <v>428</v>
      </c>
      <c r="C651" s="33" t="s">
        <v>161</v>
      </c>
      <c r="D651" s="33" t="s">
        <v>174</v>
      </c>
      <c r="E651" s="33" t="s">
        <v>337</v>
      </c>
      <c r="F651" s="33" t="s">
        <v>426</v>
      </c>
      <c r="G651" s="81">
        <f t="shared" si="36"/>
        <v>1680.7</v>
      </c>
      <c r="H651" s="105">
        <f>H652</f>
        <v>1680.7</v>
      </c>
      <c r="I651" s="105">
        <f>I652</f>
        <v>0</v>
      </c>
    </row>
    <row r="652" spans="1:9" ht="30">
      <c r="A652" s="47" t="s">
        <v>175</v>
      </c>
      <c r="B652" s="73" t="s">
        <v>428</v>
      </c>
      <c r="C652" s="33" t="s">
        <v>161</v>
      </c>
      <c r="D652" s="33" t="s">
        <v>174</v>
      </c>
      <c r="E652" s="33" t="s">
        <v>19</v>
      </c>
      <c r="F652" s="33" t="s">
        <v>426</v>
      </c>
      <c r="G652" s="81">
        <f t="shared" si="36"/>
        <v>1680.7</v>
      </c>
      <c r="H652" s="105">
        <f>H653</f>
        <v>1680.7</v>
      </c>
      <c r="I652" s="105">
        <f>I653+I658</f>
        <v>0</v>
      </c>
    </row>
    <row r="653" spans="1:9" ht="45">
      <c r="A653" s="14" t="s">
        <v>176</v>
      </c>
      <c r="B653" s="73" t="s">
        <v>428</v>
      </c>
      <c r="C653" s="33" t="s">
        <v>161</v>
      </c>
      <c r="D653" s="33" t="s">
        <v>174</v>
      </c>
      <c r="E653" s="33" t="s">
        <v>20</v>
      </c>
      <c r="F653" s="33" t="s">
        <v>426</v>
      </c>
      <c r="G653" s="81">
        <f t="shared" si="36"/>
        <v>1680.7</v>
      </c>
      <c r="H653" s="105">
        <f>H654+H656+H658</f>
        <v>1680.7</v>
      </c>
      <c r="I653" s="105">
        <f>I654+I656+I658</f>
        <v>0</v>
      </c>
    </row>
    <row r="654" spans="1:9" ht="30">
      <c r="A654" s="14" t="s">
        <v>202</v>
      </c>
      <c r="B654" s="73" t="s">
        <v>428</v>
      </c>
      <c r="C654" s="33" t="s">
        <v>161</v>
      </c>
      <c r="D654" s="33" t="s">
        <v>174</v>
      </c>
      <c r="E654" s="33" t="s">
        <v>23</v>
      </c>
      <c r="F654" s="33" t="s">
        <v>170</v>
      </c>
      <c r="G654" s="81">
        <f t="shared" si="36"/>
        <v>93.3</v>
      </c>
      <c r="H654" s="105">
        <f>H655</f>
        <v>93.3</v>
      </c>
      <c r="I654" s="105">
        <f>I655</f>
        <v>0</v>
      </c>
    </row>
    <row r="655" spans="1:9" ht="45">
      <c r="A655" s="14" t="s">
        <v>203</v>
      </c>
      <c r="B655" s="73" t="s">
        <v>428</v>
      </c>
      <c r="C655" s="33" t="s">
        <v>161</v>
      </c>
      <c r="D655" s="33" t="s">
        <v>174</v>
      </c>
      <c r="E655" s="33" t="s">
        <v>23</v>
      </c>
      <c r="F655" s="33" t="s">
        <v>204</v>
      </c>
      <c r="G655" s="81">
        <f t="shared" si="36"/>
        <v>93.3</v>
      </c>
      <c r="H655" s="81">
        <v>93.3</v>
      </c>
      <c r="I655" s="105"/>
    </row>
    <row r="656" spans="1:9" ht="15">
      <c r="A656" s="14" t="s">
        <v>207</v>
      </c>
      <c r="B656" s="73" t="s">
        <v>428</v>
      </c>
      <c r="C656" s="33" t="s">
        <v>161</v>
      </c>
      <c r="D656" s="33" t="s">
        <v>174</v>
      </c>
      <c r="E656" s="33" t="s">
        <v>23</v>
      </c>
      <c r="F656" s="33" t="s">
        <v>208</v>
      </c>
      <c r="G656" s="81">
        <f t="shared" si="36"/>
        <v>2</v>
      </c>
      <c r="H656" s="81">
        <f>H657</f>
        <v>2</v>
      </c>
      <c r="I656" s="105"/>
    </row>
    <row r="657" spans="1:9" ht="15">
      <c r="A657" s="14" t="s">
        <v>205</v>
      </c>
      <c r="B657" s="73" t="s">
        <v>428</v>
      </c>
      <c r="C657" s="33" t="s">
        <v>161</v>
      </c>
      <c r="D657" s="33" t="s">
        <v>174</v>
      </c>
      <c r="E657" s="33" t="s">
        <v>23</v>
      </c>
      <c r="F657" s="33" t="s">
        <v>206</v>
      </c>
      <c r="G657" s="81">
        <f t="shared" si="36"/>
        <v>2</v>
      </c>
      <c r="H657" s="81">
        <v>2</v>
      </c>
      <c r="I657" s="105"/>
    </row>
    <row r="658" spans="1:9" ht="30">
      <c r="A658" s="50" t="s">
        <v>177</v>
      </c>
      <c r="B658" s="162" t="s">
        <v>428</v>
      </c>
      <c r="C658" s="54" t="s">
        <v>161</v>
      </c>
      <c r="D658" s="54" t="s">
        <v>174</v>
      </c>
      <c r="E658" s="54" t="s">
        <v>24</v>
      </c>
      <c r="F658" s="54" t="s">
        <v>426</v>
      </c>
      <c r="G658" s="90">
        <f t="shared" si="36"/>
        <v>1585.4</v>
      </c>
      <c r="H658" s="113">
        <f>H659</f>
        <v>1585.4</v>
      </c>
      <c r="I658" s="113">
        <f>I659</f>
        <v>0</v>
      </c>
    </row>
    <row r="659" spans="1:9" ht="82.5" customHeight="1">
      <c r="A659" s="14" t="s">
        <v>199</v>
      </c>
      <c r="B659" s="73" t="s">
        <v>428</v>
      </c>
      <c r="C659" s="33" t="s">
        <v>161</v>
      </c>
      <c r="D659" s="33" t="s">
        <v>174</v>
      </c>
      <c r="E659" s="33" t="s">
        <v>24</v>
      </c>
      <c r="F659" s="33" t="s">
        <v>166</v>
      </c>
      <c r="G659" s="81">
        <f t="shared" si="36"/>
        <v>1585.4</v>
      </c>
      <c r="H659" s="81">
        <f>H660</f>
        <v>1585.4</v>
      </c>
      <c r="I659" s="81">
        <f>I660</f>
        <v>0</v>
      </c>
    </row>
    <row r="660" spans="1:9" ht="29.25" customHeight="1">
      <c r="A660" s="14" t="s">
        <v>201</v>
      </c>
      <c r="B660" s="73" t="s">
        <v>428</v>
      </c>
      <c r="C660" s="33" t="s">
        <v>161</v>
      </c>
      <c r="D660" s="33" t="s">
        <v>174</v>
      </c>
      <c r="E660" s="33" t="s">
        <v>24</v>
      </c>
      <c r="F660" s="33" t="s">
        <v>200</v>
      </c>
      <c r="G660" s="81">
        <f t="shared" si="36"/>
        <v>1585.4</v>
      </c>
      <c r="H660" s="81">
        <v>1585.4</v>
      </c>
      <c r="I660" s="115"/>
    </row>
    <row r="661" spans="1:9" s="37" customFormat="1" ht="15">
      <c r="A661" s="250" t="s">
        <v>154</v>
      </c>
      <c r="B661" s="251"/>
      <c r="C661" s="251"/>
      <c r="D661" s="251"/>
      <c r="E661" s="251"/>
      <c r="F661" s="251"/>
      <c r="G661" s="89">
        <f>I661+H661</f>
        <v>573434.14744</v>
      </c>
      <c r="H661" s="89">
        <f>H12+H416+H432+H471+H650</f>
        <v>272801.45013</v>
      </c>
      <c r="I661" s="89">
        <f>I12+I416+I432+I471+I650</f>
        <v>300632.69731</v>
      </c>
    </row>
    <row r="662" spans="7:8" ht="14.25">
      <c r="G662" s="190"/>
      <c r="H662" s="191"/>
    </row>
    <row r="663" spans="6:9" ht="14.25">
      <c r="F663" s="207"/>
      <c r="G663" s="208"/>
      <c r="H663" s="80"/>
      <c r="I663" s="80"/>
    </row>
    <row r="664" spans="6:9" ht="14.25">
      <c r="F664" s="207"/>
      <c r="G664" s="208"/>
      <c r="H664" s="80"/>
      <c r="I664" s="80"/>
    </row>
    <row r="665" spans="6:9" ht="14.25">
      <c r="F665" s="207"/>
      <c r="G665" s="208"/>
      <c r="H665" s="80"/>
      <c r="I665" s="80"/>
    </row>
    <row r="666" spans="5:9" ht="14.25">
      <c r="E666" s="247"/>
      <c r="F666" s="207"/>
      <c r="G666" s="206"/>
      <c r="H666" s="80"/>
      <c r="I666" s="80"/>
    </row>
    <row r="667" ht="14.25">
      <c r="G667" s="252"/>
    </row>
  </sheetData>
  <sheetProtection/>
  <mergeCells count="16">
    <mergeCell ref="A10:A11"/>
    <mergeCell ref="B10:B11"/>
    <mergeCell ref="C10:C11"/>
    <mergeCell ref="D10:D11"/>
    <mergeCell ref="E10:E11"/>
    <mergeCell ref="F10:F11"/>
    <mergeCell ref="G10:G11"/>
    <mergeCell ref="H10:I10"/>
    <mergeCell ref="G1:I1"/>
    <mergeCell ref="F2:I2"/>
    <mergeCell ref="B3:F3"/>
    <mergeCell ref="G3:I3"/>
    <mergeCell ref="B4:F4"/>
    <mergeCell ref="G4:I4"/>
    <mergeCell ref="A6:I6"/>
    <mergeCell ref="A7: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232"/>
  <sheetViews>
    <sheetView tabSelected="1" view="pageBreakPreview" zoomScaleSheetLayoutView="100" zoomScalePageLayoutView="0" workbookViewId="0" topLeftCell="A175">
      <selection activeCell="A198" sqref="A198"/>
    </sheetView>
  </sheetViews>
  <sheetFormatPr defaultColWidth="8.75390625" defaultRowHeight="12.75"/>
  <cols>
    <col min="1" max="1" width="73.75390625" style="268" customWidth="1"/>
    <col min="2" max="2" width="6.75390625" style="31" customWidth="1"/>
    <col min="3" max="3" width="18.625" style="166" customWidth="1"/>
    <col min="4" max="4" width="14.75390625" style="64" customWidth="1"/>
    <col min="5" max="5" width="16.375" style="31" customWidth="1"/>
    <col min="6" max="6" width="14.25390625" style="31" customWidth="1"/>
    <col min="7" max="7" width="14.75390625" style="31" bestFit="1" customWidth="1"/>
    <col min="8" max="16384" width="8.75390625" style="31" customWidth="1"/>
  </cols>
  <sheetData>
    <row r="1" spans="1:4" ht="15.75">
      <c r="A1" s="327" t="s">
        <v>920</v>
      </c>
      <c r="B1" s="327"/>
      <c r="C1" s="327"/>
      <c r="D1" s="327"/>
    </row>
    <row r="2" spans="1:4" ht="15.75">
      <c r="A2" s="327" t="s">
        <v>422</v>
      </c>
      <c r="B2" s="327"/>
      <c r="C2" s="327"/>
      <c r="D2" s="327"/>
    </row>
    <row r="3" spans="1:4" ht="15.75">
      <c r="A3" s="327" t="s">
        <v>464</v>
      </c>
      <c r="B3" s="327"/>
      <c r="C3" s="327"/>
      <c r="D3" s="327"/>
    </row>
    <row r="4" spans="1:4" ht="15.75">
      <c r="A4" s="293" t="s">
        <v>947</v>
      </c>
      <c r="B4" s="293"/>
      <c r="C4" s="293"/>
      <c r="D4" s="293"/>
    </row>
    <row r="5" spans="1:2" ht="5.25" customHeight="1">
      <c r="A5" s="15"/>
      <c r="B5" s="165"/>
    </row>
    <row r="6" spans="1:4" ht="60.75" customHeight="1">
      <c r="A6" s="325" t="s">
        <v>817</v>
      </c>
      <c r="B6" s="325"/>
      <c r="C6" s="325"/>
      <c r="D6" s="325"/>
    </row>
    <row r="7" spans="1:4" ht="3.75" customHeight="1">
      <c r="A7" s="32"/>
      <c r="B7" s="32"/>
      <c r="C7" s="32"/>
      <c r="D7" s="103"/>
    </row>
    <row r="8" spans="1:4" ht="12.75">
      <c r="A8" s="15"/>
      <c r="B8" s="167"/>
      <c r="C8" s="168"/>
      <c r="D8" s="253" t="s">
        <v>145</v>
      </c>
    </row>
    <row r="9" spans="1:4" ht="39.75" customHeight="1">
      <c r="A9" s="2" t="s">
        <v>363</v>
      </c>
      <c r="B9" s="2" t="s">
        <v>309</v>
      </c>
      <c r="C9" s="2" t="s">
        <v>365</v>
      </c>
      <c r="D9" s="133" t="s">
        <v>539</v>
      </c>
    </row>
    <row r="10" spans="1:4" s="256" customFormat="1" ht="10.5" customHeight="1">
      <c r="A10" s="254">
        <v>1</v>
      </c>
      <c r="B10" s="254">
        <v>2</v>
      </c>
      <c r="C10" s="254">
        <v>3</v>
      </c>
      <c r="D10" s="255">
        <v>4</v>
      </c>
    </row>
    <row r="11" spans="1:4" s="257" customFormat="1" ht="18.75" customHeight="1">
      <c r="A11" s="326" t="s">
        <v>131</v>
      </c>
      <c r="B11" s="326"/>
      <c r="C11" s="326"/>
      <c r="D11" s="326"/>
    </row>
    <row r="12" spans="1:5" s="23" customFormat="1" ht="35.25" customHeight="1">
      <c r="A12" s="59" t="s">
        <v>500</v>
      </c>
      <c r="B12" s="4" t="s">
        <v>426</v>
      </c>
      <c r="C12" s="4" t="s">
        <v>38</v>
      </c>
      <c r="D12" s="110">
        <f>D13+D30+D36+D39+D50+D55+D58+D61+D52+D63</f>
        <v>405436.71159</v>
      </c>
      <c r="E12" s="80"/>
    </row>
    <row r="13" spans="1:5" s="16" customFormat="1" ht="30" customHeight="1">
      <c r="A13" s="50" t="s">
        <v>312</v>
      </c>
      <c r="B13" s="70" t="s">
        <v>429</v>
      </c>
      <c r="C13" s="70" t="s">
        <v>56</v>
      </c>
      <c r="D13" s="90">
        <f>D14+D15+D19+D22+D23+D24+D25+D26+D27+D28+D29+D18</f>
        <v>258800.19303999998</v>
      </c>
      <c r="E13" s="258"/>
    </row>
    <row r="14" spans="1:4" s="35" customFormat="1" ht="16.5" customHeight="1">
      <c r="A14" s="14" t="s">
        <v>271</v>
      </c>
      <c r="B14" s="18" t="s">
        <v>429</v>
      </c>
      <c r="C14" s="18" t="s">
        <v>58</v>
      </c>
      <c r="D14" s="81">
        <f>700+100+393.313+48.5+210</f>
        <v>1451.813</v>
      </c>
    </row>
    <row r="15" spans="1:4" s="35" customFormat="1" ht="40.5" customHeight="1" hidden="1">
      <c r="A15" s="50" t="s">
        <v>603</v>
      </c>
      <c r="B15" s="70" t="s">
        <v>429</v>
      </c>
      <c r="C15" s="70" t="s">
        <v>604</v>
      </c>
      <c r="D15" s="90">
        <f>D16+D17</f>
        <v>107</v>
      </c>
    </row>
    <row r="16" spans="1:4" s="35" customFormat="1" ht="62.25" customHeight="1" hidden="1">
      <c r="A16" s="14" t="s">
        <v>648</v>
      </c>
      <c r="B16" s="18" t="s">
        <v>429</v>
      </c>
      <c r="C16" s="18" t="s">
        <v>605</v>
      </c>
      <c r="D16" s="81">
        <v>0</v>
      </c>
    </row>
    <row r="17" spans="1:4" s="35" customFormat="1" ht="41.25" customHeight="1">
      <c r="A17" s="14" t="s">
        <v>721</v>
      </c>
      <c r="B17" s="18" t="s">
        <v>429</v>
      </c>
      <c r="C17" s="18" t="s">
        <v>712</v>
      </c>
      <c r="D17" s="81">
        <f>76+100-69</f>
        <v>107</v>
      </c>
    </row>
    <row r="18" spans="1:5" s="35" customFormat="1" ht="29.25" customHeight="1">
      <c r="A18" s="14" t="s">
        <v>891</v>
      </c>
      <c r="B18" s="18" t="s">
        <v>429</v>
      </c>
      <c r="C18" s="18" t="s">
        <v>890</v>
      </c>
      <c r="D18" s="81">
        <v>372</v>
      </c>
      <c r="E18" s="23"/>
    </row>
    <row r="19" spans="1:7" s="35" customFormat="1" ht="45" customHeight="1" hidden="1">
      <c r="A19" s="71" t="s">
        <v>692</v>
      </c>
      <c r="B19" s="83" t="s">
        <v>192</v>
      </c>
      <c r="C19" s="83"/>
      <c r="D19" s="84">
        <f>D20+D21</f>
        <v>0</v>
      </c>
      <c r="G19" s="136"/>
    </row>
    <row r="20" spans="1:4" s="35" customFormat="1" ht="46.5" customHeight="1" hidden="1">
      <c r="A20" s="14" t="s">
        <v>693</v>
      </c>
      <c r="B20" s="18" t="s">
        <v>192</v>
      </c>
      <c r="C20" s="18" t="s">
        <v>711</v>
      </c>
      <c r="D20" s="81"/>
    </row>
    <row r="21" spans="1:7" s="35" customFormat="1" ht="55.5" customHeight="1" hidden="1">
      <c r="A21" s="14" t="s">
        <v>694</v>
      </c>
      <c r="B21" s="18" t="s">
        <v>192</v>
      </c>
      <c r="C21" s="18" t="s">
        <v>759</v>
      </c>
      <c r="D21" s="81">
        <f>325-255-70</f>
        <v>0</v>
      </c>
      <c r="G21" s="136"/>
    </row>
    <row r="22" spans="1:4" s="35" customFormat="1" ht="71.25" customHeight="1" hidden="1">
      <c r="A22" s="14" t="s">
        <v>694</v>
      </c>
      <c r="B22" s="18" t="s">
        <v>192</v>
      </c>
      <c r="C22" s="18" t="s">
        <v>712</v>
      </c>
      <c r="D22" s="81"/>
    </row>
    <row r="23" spans="1:4" s="35" customFormat="1" ht="39.75" customHeight="1">
      <c r="A23" s="14" t="s">
        <v>826</v>
      </c>
      <c r="B23" s="18" t="s">
        <v>429</v>
      </c>
      <c r="C23" s="18" t="s">
        <v>827</v>
      </c>
      <c r="D23" s="81">
        <f>50+68.47928</f>
        <v>118.47928</v>
      </c>
    </row>
    <row r="24" spans="1:4" s="23" customFormat="1" ht="41.25" customHeight="1">
      <c r="A24" s="14" t="s">
        <v>934</v>
      </c>
      <c r="B24" s="18" t="s">
        <v>429</v>
      </c>
      <c r="C24" s="18" t="s">
        <v>59</v>
      </c>
      <c r="D24" s="81">
        <f>53588.5-300+0.03321+7299.18953-2500+30.30302-287.5+4678.14+625.912</f>
        <v>63134.57775999999</v>
      </c>
    </row>
    <row r="25" spans="1:5" s="23" customFormat="1" ht="42" customHeight="1">
      <c r="A25" s="14" t="s">
        <v>117</v>
      </c>
      <c r="B25" s="18" t="s">
        <v>429</v>
      </c>
      <c r="C25" s="18" t="s">
        <v>70</v>
      </c>
      <c r="D25" s="81">
        <v>161257.823</v>
      </c>
      <c r="E25" s="80"/>
    </row>
    <row r="26" spans="1:4" s="23" customFormat="1" ht="30" customHeight="1">
      <c r="A26" s="14" t="s">
        <v>649</v>
      </c>
      <c r="B26" s="18" t="s">
        <v>429</v>
      </c>
      <c r="C26" s="18" t="s">
        <v>607</v>
      </c>
      <c r="D26" s="81">
        <v>7270.9</v>
      </c>
    </row>
    <row r="27" spans="1:4" s="23" customFormat="1" ht="48" customHeight="1">
      <c r="A27" s="14" t="s">
        <v>620</v>
      </c>
      <c r="B27" s="18" t="s">
        <v>429</v>
      </c>
      <c r="C27" s="18" t="s">
        <v>713</v>
      </c>
      <c r="D27" s="81">
        <v>2160</v>
      </c>
    </row>
    <row r="28" spans="1:4" s="23" customFormat="1" ht="44.25" customHeight="1">
      <c r="A28" s="14" t="s">
        <v>809</v>
      </c>
      <c r="B28" s="18" t="s">
        <v>429</v>
      </c>
      <c r="C28" s="18" t="s">
        <v>810</v>
      </c>
      <c r="D28" s="81">
        <f>18147.5-7270.9</f>
        <v>10876.6</v>
      </c>
    </row>
    <row r="29" spans="1:4" s="23" customFormat="1" ht="42.75" customHeight="1">
      <c r="A29" s="14" t="s">
        <v>803</v>
      </c>
      <c r="B29" s="18" t="s">
        <v>429</v>
      </c>
      <c r="C29" s="18" t="s">
        <v>811</v>
      </c>
      <c r="D29" s="81">
        <v>12051</v>
      </c>
    </row>
    <row r="30" spans="1:4" s="16" customFormat="1" ht="33" customHeight="1">
      <c r="A30" s="50" t="s">
        <v>313</v>
      </c>
      <c r="B30" s="70" t="s">
        <v>429</v>
      </c>
      <c r="C30" s="70" t="s">
        <v>51</v>
      </c>
      <c r="D30" s="90">
        <f>SUM(D31:D35)</f>
        <v>71650.93100000001</v>
      </c>
    </row>
    <row r="31" spans="1:4" s="23" customFormat="1" ht="24.75" customHeight="1">
      <c r="A31" s="14" t="s">
        <v>314</v>
      </c>
      <c r="B31" s="18" t="s">
        <v>429</v>
      </c>
      <c r="C31" s="18" t="s">
        <v>52</v>
      </c>
      <c r="D31" s="81">
        <f>200+200</f>
        <v>400</v>
      </c>
    </row>
    <row r="32" spans="1:4" s="23" customFormat="1" ht="33" customHeight="1">
      <c r="A32" s="14" t="s">
        <v>897</v>
      </c>
      <c r="B32" s="18" t="s">
        <v>429</v>
      </c>
      <c r="C32" s="18" t="s">
        <v>892</v>
      </c>
      <c r="D32" s="81">
        <v>80</v>
      </c>
    </row>
    <row r="33" spans="1:5" s="23" customFormat="1" ht="59.25" customHeight="1">
      <c r="A33" s="14" t="s">
        <v>935</v>
      </c>
      <c r="B33" s="18" t="s">
        <v>429</v>
      </c>
      <c r="C33" s="18" t="s">
        <v>54</v>
      </c>
      <c r="D33" s="81">
        <f>22046.4-200+4500.9-1950.4+2310.4</f>
        <v>26707.300000000003</v>
      </c>
      <c r="E33" s="36"/>
    </row>
    <row r="34" spans="1:5" s="23" customFormat="1" ht="45" customHeight="1">
      <c r="A34" s="14" t="s">
        <v>118</v>
      </c>
      <c r="B34" s="18" t="s">
        <v>429</v>
      </c>
      <c r="C34" s="18" t="s">
        <v>55</v>
      </c>
      <c r="D34" s="81">
        <v>38428.372</v>
      </c>
      <c r="E34" s="36"/>
    </row>
    <row r="35" spans="1:5" s="23" customFormat="1" ht="58.5" customHeight="1">
      <c r="A35" s="14" t="s">
        <v>119</v>
      </c>
      <c r="B35" s="18" t="s">
        <v>429</v>
      </c>
      <c r="C35" s="18" t="s">
        <v>97</v>
      </c>
      <c r="D35" s="81">
        <v>6035.259</v>
      </c>
      <c r="E35" s="36"/>
    </row>
    <row r="36" spans="1:4" s="16" customFormat="1" ht="16.5" customHeight="1">
      <c r="A36" s="50" t="s">
        <v>315</v>
      </c>
      <c r="B36" s="70" t="s">
        <v>429</v>
      </c>
      <c r="C36" s="70" t="s">
        <v>60</v>
      </c>
      <c r="D36" s="90">
        <f>D37+D38</f>
        <v>1569</v>
      </c>
    </row>
    <row r="37" spans="1:4" s="23" customFormat="1" ht="16.5" customHeight="1">
      <c r="A37" s="14" t="s">
        <v>277</v>
      </c>
      <c r="B37" s="18" t="s">
        <v>429</v>
      </c>
      <c r="C37" s="18" t="s">
        <v>62</v>
      </c>
      <c r="D37" s="81">
        <v>250</v>
      </c>
    </row>
    <row r="38" spans="1:4" s="23" customFormat="1" ht="18.75" customHeight="1">
      <c r="A38" s="14" t="s">
        <v>272</v>
      </c>
      <c r="B38" s="18" t="s">
        <v>429</v>
      </c>
      <c r="C38" s="18" t="s">
        <v>63</v>
      </c>
      <c r="D38" s="81">
        <f>750+500+69</f>
        <v>1319</v>
      </c>
    </row>
    <row r="39" spans="1:4" s="16" customFormat="1" ht="17.25" customHeight="1">
      <c r="A39" s="50" t="s">
        <v>316</v>
      </c>
      <c r="B39" s="70" t="s">
        <v>429</v>
      </c>
      <c r="C39" s="70" t="s">
        <v>64</v>
      </c>
      <c r="D39" s="90">
        <f>SUM(D40:D49)</f>
        <v>28217.679999999997</v>
      </c>
    </row>
    <row r="40" spans="1:4" s="23" customFormat="1" ht="18.75" customHeight="1">
      <c r="A40" s="14" t="s">
        <v>912</v>
      </c>
      <c r="B40" s="18" t="s">
        <v>192</v>
      </c>
      <c r="C40" s="18" t="s">
        <v>913</v>
      </c>
      <c r="D40" s="81">
        <v>800</v>
      </c>
    </row>
    <row r="41" spans="1:4" s="23" customFormat="1" ht="20.25" customHeight="1">
      <c r="A41" s="14" t="s">
        <v>135</v>
      </c>
      <c r="B41" s="18" t="s">
        <v>429</v>
      </c>
      <c r="C41" s="33" t="s">
        <v>66</v>
      </c>
      <c r="D41" s="81">
        <f>3819.1+1302.2+180</f>
        <v>5301.3</v>
      </c>
    </row>
    <row r="42" spans="1:4" s="23" customFormat="1" ht="28.5" customHeight="1">
      <c r="A42" s="14" t="s">
        <v>894</v>
      </c>
      <c r="B42" s="18" t="s">
        <v>429</v>
      </c>
      <c r="C42" s="33" t="s">
        <v>893</v>
      </c>
      <c r="D42" s="81">
        <v>48</v>
      </c>
    </row>
    <row r="43" spans="1:4" s="23" customFormat="1" ht="18.75" customHeight="1">
      <c r="A43" s="14" t="s">
        <v>929</v>
      </c>
      <c r="B43" s="18" t="s">
        <v>429</v>
      </c>
      <c r="C43" s="33" t="s">
        <v>67</v>
      </c>
      <c r="D43" s="81">
        <f>8578.88+2555.1+390+7</f>
        <v>11530.98</v>
      </c>
    </row>
    <row r="44" spans="1:5" s="23" customFormat="1" ht="21" customHeight="1">
      <c r="A44" s="14" t="s">
        <v>265</v>
      </c>
      <c r="B44" s="18" t="s">
        <v>192</v>
      </c>
      <c r="C44" s="18" t="s">
        <v>68</v>
      </c>
      <c r="D44" s="81">
        <f>4998.16+1893.3+180</f>
        <v>7071.46</v>
      </c>
      <c r="E44" s="36"/>
    </row>
    <row r="45" spans="1:5" s="23" customFormat="1" ht="21" customHeight="1">
      <c r="A45" s="14" t="s">
        <v>266</v>
      </c>
      <c r="B45" s="18" t="s">
        <v>192</v>
      </c>
      <c r="C45" s="18" t="s">
        <v>69</v>
      </c>
      <c r="D45" s="81">
        <f>2235.64+910.3+100</f>
        <v>3245.9399999999996</v>
      </c>
      <c r="E45" s="36"/>
    </row>
    <row r="46" spans="1:5" s="23" customFormat="1" ht="31.5" customHeight="1" hidden="1">
      <c r="A46" s="71" t="s">
        <v>695</v>
      </c>
      <c r="B46" s="83" t="s">
        <v>429</v>
      </c>
      <c r="C46" s="18" t="s">
        <v>913</v>
      </c>
      <c r="D46" s="84">
        <f>D47+D48</f>
        <v>0</v>
      </c>
      <c r="E46" s="36"/>
    </row>
    <row r="47" spans="1:5" s="23" customFormat="1" ht="42" customHeight="1" hidden="1">
      <c r="A47" s="14" t="s">
        <v>696</v>
      </c>
      <c r="B47" s="18" t="s">
        <v>429</v>
      </c>
      <c r="C47" s="18" t="s">
        <v>931</v>
      </c>
      <c r="D47" s="81"/>
      <c r="E47" s="80"/>
    </row>
    <row r="48" spans="1:5" s="23" customFormat="1" ht="59.25" customHeight="1" hidden="1">
      <c r="A48" s="14" t="s">
        <v>697</v>
      </c>
      <c r="B48" s="18" t="s">
        <v>429</v>
      </c>
      <c r="C48" s="18" t="s">
        <v>932</v>
      </c>
      <c r="D48" s="81"/>
      <c r="E48" s="80"/>
    </row>
    <row r="49" spans="1:5" s="23" customFormat="1" ht="45" customHeight="1">
      <c r="A49" s="14" t="s">
        <v>930</v>
      </c>
      <c r="B49" s="18" t="s">
        <v>429</v>
      </c>
      <c r="C49" s="18" t="s">
        <v>931</v>
      </c>
      <c r="D49" s="81">
        <v>220</v>
      </c>
      <c r="E49" s="80"/>
    </row>
    <row r="50" spans="1:5" s="16" customFormat="1" ht="17.25" customHeight="1">
      <c r="A50" s="50" t="s">
        <v>317</v>
      </c>
      <c r="B50" s="70" t="s">
        <v>429</v>
      </c>
      <c r="C50" s="70" t="s">
        <v>71</v>
      </c>
      <c r="D50" s="90">
        <f>D51</f>
        <v>50</v>
      </c>
      <c r="E50" s="102"/>
    </row>
    <row r="51" spans="1:4" s="37" customFormat="1" ht="17.25" customHeight="1">
      <c r="A51" s="14" t="s">
        <v>825</v>
      </c>
      <c r="B51" s="18" t="s">
        <v>429</v>
      </c>
      <c r="C51" s="18" t="s">
        <v>72</v>
      </c>
      <c r="D51" s="81">
        <f>30+20</f>
        <v>50</v>
      </c>
    </row>
    <row r="52" spans="1:5" s="16" customFormat="1" ht="17.25" customHeight="1">
      <c r="A52" s="50" t="s">
        <v>479</v>
      </c>
      <c r="B52" s="70" t="s">
        <v>429</v>
      </c>
      <c r="C52" s="70" t="s">
        <v>73</v>
      </c>
      <c r="D52" s="90">
        <f>D53+D54</f>
        <v>943.72055</v>
      </c>
      <c r="E52" s="102"/>
    </row>
    <row r="53" spans="1:4" s="37" customFormat="1" ht="45" customHeight="1">
      <c r="A53" s="14" t="s">
        <v>757</v>
      </c>
      <c r="B53" s="18" t="s">
        <v>429</v>
      </c>
      <c r="C53" s="18" t="s">
        <v>74</v>
      </c>
      <c r="D53" s="81">
        <v>896.82255</v>
      </c>
    </row>
    <row r="54" spans="1:4" s="37" customFormat="1" ht="32.25" customHeight="1">
      <c r="A54" s="14" t="s">
        <v>922</v>
      </c>
      <c r="B54" s="18" t="s">
        <v>429</v>
      </c>
      <c r="C54" s="18" t="s">
        <v>921</v>
      </c>
      <c r="D54" s="81">
        <v>46.898</v>
      </c>
    </row>
    <row r="55" spans="1:5" s="16" customFormat="1" ht="18.75" customHeight="1">
      <c r="A55" s="50" t="s">
        <v>318</v>
      </c>
      <c r="B55" s="70" t="s">
        <v>429</v>
      </c>
      <c r="C55" s="70" t="s">
        <v>75</v>
      </c>
      <c r="D55" s="90">
        <f>D56+D57</f>
        <v>43972.187000000005</v>
      </c>
      <c r="E55" s="102"/>
    </row>
    <row r="56" spans="1:4" s="23" customFormat="1" ht="31.5" customHeight="1">
      <c r="A56" s="14" t="s">
        <v>194</v>
      </c>
      <c r="B56" s="18" t="s">
        <v>429</v>
      </c>
      <c r="C56" s="18" t="s">
        <v>76</v>
      </c>
      <c r="D56" s="81">
        <f>40712.73+200</f>
        <v>40912.73</v>
      </c>
    </row>
    <row r="57" spans="1:4" s="23" customFormat="1" ht="42" customHeight="1">
      <c r="A57" s="14" t="s">
        <v>563</v>
      </c>
      <c r="B57" s="18" t="s">
        <v>429</v>
      </c>
      <c r="C57" s="18" t="s">
        <v>76</v>
      </c>
      <c r="D57" s="81">
        <f>1630.957+1338.5+90</f>
        <v>3059.4570000000003</v>
      </c>
    </row>
    <row r="58" spans="1:5" s="16" customFormat="1" ht="17.25" customHeight="1">
      <c r="A58" s="50" t="s">
        <v>40</v>
      </c>
      <c r="B58" s="70" t="s">
        <v>429</v>
      </c>
      <c r="C58" s="70" t="s">
        <v>39</v>
      </c>
      <c r="D58" s="90">
        <f>D59+D60</f>
        <v>150</v>
      </c>
      <c r="E58" s="102"/>
    </row>
    <row r="59" spans="1:5" s="19" customFormat="1" ht="15.75" customHeight="1">
      <c r="A59" s="14" t="s">
        <v>418</v>
      </c>
      <c r="B59" s="12">
        <v>951</v>
      </c>
      <c r="C59" s="18" t="s">
        <v>42</v>
      </c>
      <c r="D59" s="81">
        <v>111</v>
      </c>
      <c r="E59" s="35"/>
    </row>
    <row r="60" spans="1:4" s="37" customFormat="1" ht="15.75" customHeight="1">
      <c r="A60" s="14" t="s">
        <v>356</v>
      </c>
      <c r="B60" s="12">
        <v>951</v>
      </c>
      <c r="C60" s="18" t="s">
        <v>91</v>
      </c>
      <c r="D60" s="81">
        <v>39</v>
      </c>
    </row>
    <row r="61" spans="1:5" s="16" customFormat="1" ht="17.25" customHeight="1">
      <c r="A61" s="50" t="s">
        <v>497</v>
      </c>
      <c r="B61" s="70" t="s">
        <v>192</v>
      </c>
      <c r="C61" s="70" t="s">
        <v>44</v>
      </c>
      <c r="D61" s="90">
        <f>D62</f>
        <v>83</v>
      </c>
      <c r="E61" s="102"/>
    </row>
    <row r="62" spans="1:5" s="23" customFormat="1" ht="18" customHeight="1">
      <c r="A62" s="14" t="s">
        <v>348</v>
      </c>
      <c r="B62" s="18" t="s">
        <v>192</v>
      </c>
      <c r="C62" s="18" t="s">
        <v>714</v>
      </c>
      <c r="D62" s="81">
        <v>83</v>
      </c>
      <c r="E62" s="46"/>
    </row>
    <row r="63" spans="1:5" s="23" customFormat="1" ht="47.25" customHeight="1" hidden="1">
      <c r="A63" s="50" t="s">
        <v>518</v>
      </c>
      <c r="B63" s="70" t="s">
        <v>429</v>
      </c>
      <c r="C63" s="70" t="s">
        <v>56</v>
      </c>
      <c r="D63" s="90">
        <f>D64</f>
        <v>0</v>
      </c>
      <c r="E63" s="46"/>
    </row>
    <row r="64" spans="1:5" s="23" customFormat="1" ht="29.25" customHeight="1" hidden="1">
      <c r="A64" s="14" t="s">
        <v>519</v>
      </c>
      <c r="B64" s="18" t="s">
        <v>429</v>
      </c>
      <c r="C64" s="18" t="s">
        <v>57</v>
      </c>
      <c r="D64" s="81">
        <v>0</v>
      </c>
      <c r="E64" s="46"/>
    </row>
    <row r="65" spans="1:4" s="23" customFormat="1" ht="49.5" customHeight="1">
      <c r="A65" s="75" t="s">
        <v>501</v>
      </c>
      <c r="B65" s="82" t="s">
        <v>426</v>
      </c>
      <c r="C65" s="82" t="s">
        <v>78</v>
      </c>
      <c r="D65" s="89">
        <f>D66+D67+D68</f>
        <v>600</v>
      </c>
    </row>
    <row r="66" spans="1:4" s="23" customFormat="1" ht="14.25" customHeight="1">
      <c r="A66" s="14" t="s">
        <v>122</v>
      </c>
      <c r="B66" s="18" t="s">
        <v>429</v>
      </c>
      <c r="C66" s="18" t="s">
        <v>80</v>
      </c>
      <c r="D66" s="81">
        <v>380</v>
      </c>
    </row>
    <row r="67" spans="1:4" s="23" customFormat="1" ht="15" customHeight="1">
      <c r="A67" s="14" t="s">
        <v>191</v>
      </c>
      <c r="B67" s="18" t="s">
        <v>429</v>
      </c>
      <c r="C67" s="18" t="s">
        <v>81</v>
      </c>
      <c r="D67" s="81">
        <v>218</v>
      </c>
    </row>
    <row r="68" spans="1:4" s="23" customFormat="1" ht="15" customHeight="1">
      <c r="A68" s="14" t="s">
        <v>355</v>
      </c>
      <c r="B68" s="18" t="s">
        <v>192</v>
      </c>
      <c r="C68" s="18" t="s">
        <v>92</v>
      </c>
      <c r="D68" s="81">
        <v>2</v>
      </c>
    </row>
    <row r="69" spans="1:5" s="260" customFormat="1" ht="48" customHeight="1" hidden="1">
      <c r="A69" s="101" t="s">
        <v>450</v>
      </c>
      <c r="B69" s="82" t="s">
        <v>192</v>
      </c>
      <c r="C69" s="76" t="s">
        <v>37</v>
      </c>
      <c r="D69" s="89">
        <f>D70+D71</f>
        <v>0</v>
      </c>
      <c r="E69" s="259"/>
    </row>
    <row r="70" spans="1:5" s="261" customFormat="1" ht="48.75" customHeight="1" hidden="1">
      <c r="A70" s="95" t="s">
        <v>120</v>
      </c>
      <c r="B70" s="18" t="s">
        <v>192</v>
      </c>
      <c r="C70" s="33" t="s">
        <v>481</v>
      </c>
      <c r="D70" s="81"/>
      <c r="E70" s="35"/>
    </row>
    <row r="71" spans="1:5" s="38" customFormat="1" ht="48.75" customHeight="1" hidden="1">
      <c r="A71" s="14" t="s">
        <v>121</v>
      </c>
      <c r="B71" s="18" t="s">
        <v>192</v>
      </c>
      <c r="C71" s="33" t="s">
        <v>106</v>
      </c>
      <c r="D71" s="81"/>
      <c r="E71" s="23"/>
    </row>
    <row r="72" spans="1:5" s="27" customFormat="1" ht="33.75" customHeight="1">
      <c r="A72" s="75" t="s">
        <v>502</v>
      </c>
      <c r="B72" s="82" t="s">
        <v>426</v>
      </c>
      <c r="C72" s="82" t="s">
        <v>45</v>
      </c>
      <c r="D72" s="89">
        <f>SUM(D73:D75)</f>
        <v>2134</v>
      </c>
      <c r="E72" s="37"/>
    </row>
    <row r="73" spans="1:4" s="37" customFormat="1" ht="15" customHeight="1">
      <c r="A73" s="14" t="s">
        <v>123</v>
      </c>
      <c r="B73" s="18" t="s">
        <v>429</v>
      </c>
      <c r="C73" s="18" t="s">
        <v>82</v>
      </c>
      <c r="D73" s="81">
        <v>4</v>
      </c>
    </row>
    <row r="74" spans="1:4" s="37" customFormat="1" ht="15" customHeight="1">
      <c r="A74" s="14" t="s">
        <v>911</v>
      </c>
      <c r="B74" s="18" t="s">
        <v>429</v>
      </c>
      <c r="C74" s="18" t="s">
        <v>82</v>
      </c>
      <c r="D74" s="81">
        <v>2120</v>
      </c>
    </row>
    <row r="75" spans="1:4" s="37" customFormat="1" ht="15" customHeight="1">
      <c r="A75" s="14" t="s">
        <v>724</v>
      </c>
      <c r="B75" s="18" t="s">
        <v>192</v>
      </c>
      <c r="C75" s="18" t="s">
        <v>47</v>
      </c>
      <c r="D75" s="81">
        <v>10</v>
      </c>
    </row>
    <row r="76" spans="1:4" s="37" customFormat="1" ht="15" customHeight="1" hidden="1">
      <c r="A76" s="14" t="s">
        <v>355</v>
      </c>
      <c r="B76" s="18" t="s">
        <v>192</v>
      </c>
      <c r="C76" s="18" t="s">
        <v>716</v>
      </c>
      <c r="D76" s="81"/>
    </row>
    <row r="77" spans="1:6" s="27" customFormat="1" ht="32.25" customHeight="1">
      <c r="A77" s="75" t="s">
        <v>496</v>
      </c>
      <c r="B77" s="82" t="s">
        <v>426</v>
      </c>
      <c r="C77" s="82" t="s">
        <v>98</v>
      </c>
      <c r="D77" s="89">
        <f>D78+D82+D83+D90+D93</f>
        <v>863</v>
      </c>
      <c r="E77" s="87"/>
      <c r="F77" s="262"/>
    </row>
    <row r="78" spans="1:5" s="37" customFormat="1" ht="15.75" customHeight="1">
      <c r="A78" s="14" t="s">
        <v>310</v>
      </c>
      <c r="B78" s="18" t="s">
        <v>192</v>
      </c>
      <c r="C78" s="18" t="s">
        <v>99</v>
      </c>
      <c r="D78" s="81">
        <f>150+156.8+130+145.22+26.98</f>
        <v>609</v>
      </c>
      <c r="E78" s="87"/>
    </row>
    <row r="79" spans="1:5" s="27" customFormat="1" ht="46.5" customHeight="1" hidden="1">
      <c r="A79" s="75" t="s">
        <v>138</v>
      </c>
      <c r="B79" s="18" t="s">
        <v>650</v>
      </c>
      <c r="C79" s="18" t="s">
        <v>776</v>
      </c>
      <c r="D79" s="89">
        <f>D80</f>
        <v>0</v>
      </c>
      <c r="E79" s="37"/>
    </row>
    <row r="80" spans="1:5" s="39" customFormat="1" ht="15" customHeight="1" hidden="1">
      <c r="A80" s="75" t="s">
        <v>342</v>
      </c>
      <c r="B80" s="18" t="s">
        <v>651</v>
      </c>
      <c r="C80" s="18" t="s">
        <v>777</v>
      </c>
      <c r="D80" s="89">
        <f>D81</f>
        <v>0</v>
      </c>
      <c r="E80" s="85"/>
    </row>
    <row r="81" spans="1:4" s="37" customFormat="1" ht="60.75" customHeight="1" hidden="1">
      <c r="A81" s="14" t="s">
        <v>311</v>
      </c>
      <c r="B81" s="18" t="s">
        <v>652</v>
      </c>
      <c r="C81" s="18" t="s">
        <v>778</v>
      </c>
      <c r="D81" s="81">
        <v>0</v>
      </c>
    </row>
    <row r="82" spans="1:4" s="37" customFormat="1" ht="30.75" customHeight="1">
      <c r="A82" s="14" t="s">
        <v>779</v>
      </c>
      <c r="B82" s="18" t="s">
        <v>192</v>
      </c>
      <c r="C82" s="18" t="s">
        <v>775</v>
      </c>
      <c r="D82" s="81">
        <f>375+212+40-373</f>
        <v>254</v>
      </c>
    </row>
    <row r="83" spans="1:4" s="37" customFormat="1" ht="27.75" customHeight="1">
      <c r="A83" s="71" t="s">
        <v>625</v>
      </c>
      <c r="B83" s="83" t="s">
        <v>192</v>
      </c>
      <c r="C83" s="69"/>
      <c r="D83" s="84">
        <f>SUM(D84:D89)</f>
        <v>0</v>
      </c>
    </row>
    <row r="84" spans="1:5" s="37" customFormat="1" ht="48" customHeight="1" hidden="1">
      <c r="A84" s="14" t="s">
        <v>653</v>
      </c>
      <c r="B84" s="18" t="s">
        <v>192</v>
      </c>
      <c r="C84" s="33" t="s">
        <v>626</v>
      </c>
      <c r="D84" s="81">
        <v>0</v>
      </c>
      <c r="E84" s="86"/>
    </row>
    <row r="85" spans="1:5" s="37" customFormat="1" ht="19.5" customHeight="1" hidden="1">
      <c r="A85" s="14" t="s">
        <v>739</v>
      </c>
      <c r="B85" s="18" t="s">
        <v>192</v>
      </c>
      <c r="C85" s="33" t="s">
        <v>626</v>
      </c>
      <c r="D85" s="81"/>
      <c r="E85" s="86"/>
    </row>
    <row r="86" spans="1:4" s="37" customFormat="1" ht="57.75" customHeight="1" hidden="1">
      <c r="A86" s="14" t="s">
        <v>739</v>
      </c>
      <c r="B86" s="18" t="s">
        <v>192</v>
      </c>
      <c r="C86" s="33" t="s">
        <v>628</v>
      </c>
      <c r="D86" s="81"/>
    </row>
    <row r="87" spans="1:4" s="37" customFormat="1" ht="18" customHeight="1" hidden="1">
      <c r="A87" s="14" t="s">
        <v>739</v>
      </c>
      <c r="B87" s="18" t="s">
        <v>429</v>
      </c>
      <c r="C87" s="33" t="s">
        <v>626</v>
      </c>
      <c r="D87" s="81"/>
    </row>
    <row r="88" spans="1:4" s="37" customFormat="1" ht="21" customHeight="1">
      <c r="A88" s="14" t="s">
        <v>740</v>
      </c>
      <c r="B88" s="18" t="s">
        <v>192</v>
      </c>
      <c r="C88" s="33" t="s">
        <v>628</v>
      </c>
      <c r="D88" s="81">
        <f>86+40-40-86</f>
        <v>0</v>
      </c>
    </row>
    <row r="89" spans="1:4" s="37" customFormat="1" ht="18" customHeight="1" hidden="1">
      <c r="A89" s="14" t="s">
        <v>740</v>
      </c>
      <c r="B89" s="18" t="s">
        <v>650</v>
      </c>
      <c r="C89" s="33" t="s">
        <v>628</v>
      </c>
      <c r="D89" s="81"/>
    </row>
    <row r="90" spans="1:4" s="37" customFormat="1" ht="28.5" customHeight="1" hidden="1">
      <c r="A90" s="71" t="s">
        <v>738</v>
      </c>
      <c r="B90" s="18" t="s">
        <v>651</v>
      </c>
      <c r="C90" s="33"/>
      <c r="D90" s="84">
        <f>D91+D92</f>
        <v>0</v>
      </c>
    </row>
    <row r="91" spans="1:4" s="37" customFormat="1" ht="17.25" customHeight="1" hidden="1">
      <c r="A91" s="14" t="s">
        <v>768</v>
      </c>
      <c r="B91" s="18" t="s">
        <v>652</v>
      </c>
      <c r="C91" s="33" t="s">
        <v>741</v>
      </c>
      <c r="D91" s="81"/>
    </row>
    <row r="92" spans="1:4" s="37" customFormat="1" ht="17.25" customHeight="1" hidden="1">
      <c r="A92" s="14" t="s">
        <v>769</v>
      </c>
      <c r="B92" s="18" t="s">
        <v>829</v>
      </c>
      <c r="C92" s="33" t="s">
        <v>742</v>
      </c>
      <c r="D92" s="81"/>
    </row>
    <row r="93" spans="1:4" s="37" customFormat="1" ht="30" customHeight="1" hidden="1">
      <c r="A93" s="71" t="s">
        <v>780</v>
      </c>
      <c r="B93" s="18" t="s">
        <v>830</v>
      </c>
      <c r="C93" s="69"/>
      <c r="D93" s="84">
        <f>D94+D95</f>
        <v>0</v>
      </c>
    </row>
    <row r="94" spans="1:4" s="37" customFormat="1" ht="43.5" customHeight="1" hidden="1">
      <c r="A94" s="14" t="s">
        <v>785</v>
      </c>
      <c r="B94" s="18" t="s">
        <v>831</v>
      </c>
      <c r="C94" s="33" t="s">
        <v>781</v>
      </c>
      <c r="D94" s="81"/>
    </row>
    <row r="95" spans="1:4" s="37" customFormat="1" ht="57.75" customHeight="1" hidden="1">
      <c r="A95" s="14" t="s">
        <v>783</v>
      </c>
      <c r="B95" s="18" t="s">
        <v>832</v>
      </c>
      <c r="C95" s="33" t="s">
        <v>784</v>
      </c>
      <c r="D95" s="81"/>
    </row>
    <row r="96" spans="1:5" s="263" customFormat="1" ht="35.25" customHeight="1">
      <c r="A96" s="75" t="s">
        <v>864</v>
      </c>
      <c r="B96" s="82" t="s">
        <v>426</v>
      </c>
      <c r="C96" s="82" t="s">
        <v>94</v>
      </c>
      <c r="D96" s="89">
        <f>D97</f>
        <v>200</v>
      </c>
      <c r="E96" s="37"/>
    </row>
    <row r="97" spans="1:5" s="39" customFormat="1" ht="28.5" customHeight="1">
      <c r="A97" s="14" t="s">
        <v>219</v>
      </c>
      <c r="B97" s="18" t="s">
        <v>192</v>
      </c>
      <c r="C97" s="18" t="s">
        <v>95</v>
      </c>
      <c r="D97" s="81">
        <v>200</v>
      </c>
      <c r="E97" s="85"/>
    </row>
    <row r="98" spans="1:6" s="39" customFormat="1" ht="32.25" customHeight="1">
      <c r="A98" s="75" t="s">
        <v>503</v>
      </c>
      <c r="B98" s="82" t="s">
        <v>426</v>
      </c>
      <c r="C98" s="76" t="s">
        <v>83</v>
      </c>
      <c r="D98" s="89">
        <f>D99+D107+D113+D118</f>
        <v>14190.76968</v>
      </c>
      <c r="E98" s="259"/>
      <c r="F98" s="264"/>
    </row>
    <row r="99" spans="1:5" s="37" customFormat="1" ht="37.5" customHeight="1">
      <c r="A99" s="71" t="s">
        <v>559</v>
      </c>
      <c r="B99" s="18" t="s">
        <v>192</v>
      </c>
      <c r="C99" s="69" t="s">
        <v>85</v>
      </c>
      <c r="D99" s="84">
        <f>D101+D102+D103+D106</f>
        <v>9594.45949</v>
      </c>
      <c r="E99" s="43"/>
    </row>
    <row r="100" spans="1:4" s="37" customFormat="1" ht="15" customHeight="1" hidden="1">
      <c r="A100" s="14" t="s">
        <v>233</v>
      </c>
      <c r="B100" s="18" t="s">
        <v>833</v>
      </c>
      <c r="C100" s="33" t="s">
        <v>234</v>
      </c>
      <c r="D100" s="81"/>
    </row>
    <row r="101" spans="1:5" s="37" customFormat="1" ht="15" customHeight="1">
      <c r="A101" s="14" t="s">
        <v>564</v>
      </c>
      <c r="B101" s="18" t="s">
        <v>192</v>
      </c>
      <c r="C101" s="33" t="s">
        <v>86</v>
      </c>
      <c r="D101" s="81">
        <f>5802.65+100+72.86+25+150</f>
        <v>6150.509999999999</v>
      </c>
      <c r="E101" s="87"/>
    </row>
    <row r="102" spans="1:4" s="37" customFormat="1" ht="27" customHeight="1">
      <c r="A102" s="14" t="s">
        <v>124</v>
      </c>
      <c r="B102" s="18" t="s">
        <v>192</v>
      </c>
      <c r="C102" s="33" t="s">
        <v>104</v>
      </c>
      <c r="D102" s="81">
        <v>1620</v>
      </c>
    </row>
    <row r="103" spans="1:5" s="37" customFormat="1" ht="33.75" customHeight="1">
      <c r="A103" s="50" t="s">
        <v>610</v>
      </c>
      <c r="B103" s="70" t="s">
        <v>192</v>
      </c>
      <c r="C103" s="54" t="s">
        <v>654</v>
      </c>
      <c r="D103" s="90">
        <f>D104+D105</f>
        <v>1823.94949</v>
      </c>
      <c r="E103" s="87"/>
    </row>
    <row r="104" spans="1:5" s="37" customFormat="1" ht="42.75" customHeight="1">
      <c r="A104" s="14" t="s">
        <v>611</v>
      </c>
      <c r="B104" s="70" t="s">
        <v>192</v>
      </c>
      <c r="C104" s="33" t="s">
        <v>612</v>
      </c>
      <c r="D104" s="81">
        <v>1803.73</v>
      </c>
      <c r="E104" s="86"/>
    </row>
    <row r="105" spans="1:5" s="37" customFormat="1" ht="64.5" customHeight="1">
      <c r="A105" s="14" t="s">
        <v>655</v>
      </c>
      <c r="B105" s="70" t="s">
        <v>192</v>
      </c>
      <c r="C105" s="33" t="s">
        <v>613</v>
      </c>
      <c r="D105" s="81">
        <f>18.21949+2</f>
        <v>20.21949</v>
      </c>
      <c r="E105" s="87"/>
    </row>
    <row r="106" spans="1:5" s="37" customFormat="1" ht="57" customHeight="1">
      <c r="A106" s="14" t="s">
        <v>799</v>
      </c>
      <c r="B106" s="18" t="s">
        <v>192</v>
      </c>
      <c r="C106" s="33" t="s">
        <v>828</v>
      </c>
      <c r="D106" s="81">
        <f>25-25</f>
        <v>0</v>
      </c>
      <c r="E106" s="87"/>
    </row>
    <row r="107" spans="1:4" s="37" customFormat="1" ht="44.25" customHeight="1">
      <c r="A107" s="71" t="s">
        <v>560</v>
      </c>
      <c r="B107" s="83" t="s">
        <v>192</v>
      </c>
      <c r="C107" s="69" t="s">
        <v>87</v>
      </c>
      <c r="D107" s="84">
        <f>D109+D110</f>
        <v>2471.97019</v>
      </c>
    </row>
    <row r="108" spans="1:4" s="37" customFormat="1" ht="15" customHeight="1" hidden="1">
      <c r="A108" s="14" t="s">
        <v>236</v>
      </c>
      <c r="B108" s="18" t="s">
        <v>834</v>
      </c>
      <c r="C108" s="33" t="s">
        <v>237</v>
      </c>
      <c r="D108" s="81"/>
    </row>
    <row r="109" spans="1:4" s="37" customFormat="1" ht="15" customHeight="1">
      <c r="A109" s="14" t="s">
        <v>227</v>
      </c>
      <c r="B109" s="18" t="s">
        <v>192</v>
      </c>
      <c r="C109" s="33" t="s">
        <v>87</v>
      </c>
      <c r="D109" s="81">
        <f>1566.14+610.1+67</f>
        <v>2243.2400000000002</v>
      </c>
    </row>
    <row r="110" spans="1:5" s="37" customFormat="1" ht="30" customHeight="1">
      <c r="A110" s="50" t="s">
        <v>614</v>
      </c>
      <c r="B110" s="70" t="s">
        <v>192</v>
      </c>
      <c r="C110" s="54" t="s">
        <v>615</v>
      </c>
      <c r="D110" s="90">
        <f>D111+D112</f>
        <v>228.73019</v>
      </c>
      <c r="E110" s="87"/>
    </row>
    <row r="111" spans="1:5" s="37" customFormat="1" ht="44.25" customHeight="1">
      <c r="A111" s="14" t="s">
        <v>656</v>
      </c>
      <c r="B111" s="18" t="s">
        <v>835</v>
      </c>
      <c r="C111" s="33" t="s">
        <v>616</v>
      </c>
      <c r="D111" s="81">
        <v>226.44289</v>
      </c>
      <c r="E111" s="86"/>
    </row>
    <row r="112" spans="1:5" s="37" customFormat="1" ht="54" customHeight="1">
      <c r="A112" s="14" t="s">
        <v>657</v>
      </c>
      <c r="B112" s="18" t="s">
        <v>192</v>
      </c>
      <c r="C112" s="33" t="s">
        <v>617</v>
      </c>
      <c r="D112" s="81">
        <v>2.2873</v>
      </c>
      <c r="E112" s="87"/>
    </row>
    <row r="113" spans="1:4" s="37" customFormat="1" ht="54.75" customHeight="1">
      <c r="A113" s="71" t="s">
        <v>561</v>
      </c>
      <c r="B113" s="83" t="s">
        <v>192</v>
      </c>
      <c r="C113" s="69" t="s">
        <v>88</v>
      </c>
      <c r="D113" s="84">
        <f>D114</f>
        <v>1206.43</v>
      </c>
    </row>
    <row r="114" spans="1:4" s="37" customFormat="1" ht="16.5" customHeight="1">
      <c r="A114" s="14" t="s">
        <v>227</v>
      </c>
      <c r="B114" s="18" t="s">
        <v>192</v>
      </c>
      <c r="C114" s="33" t="s">
        <v>88</v>
      </c>
      <c r="D114" s="81">
        <f>1181.43+25</f>
        <v>1206.43</v>
      </c>
    </row>
    <row r="115" spans="1:5" s="23" customFormat="1" ht="42" customHeight="1" hidden="1">
      <c r="A115" s="71" t="s">
        <v>629</v>
      </c>
      <c r="B115" s="18" t="s">
        <v>836</v>
      </c>
      <c r="C115" s="83"/>
      <c r="D115" s="84">
        <f>D116+D117</f>
        <v>0</v>
      </c>
      <c r="E115" s="36"/>
    </row>
    <row r="116" spans="1:5" s="23" customFormat="1" ht="44.25" customHeight="1" hidden="1">
      <c r="A116" s="14" t="s">
        <v>681</v>
      </c>
      <c r="B116" s="18" t="s">
        <v>837</v>
      </c>
      <c r="C116" s="18" t="s">
        <v>748</v>
      </c>
      <c r="D116" s="81"/>
      <c r="E116" s="36"/>
    </row>
    <row r="117" spans="1:5" s="23" customFormat="1" ht="54" customHeight="1" hidden="1">
      <c r="A117" s="14" t="s">
        <v>682</v>
      </c>
      <c r="B117" s="18" t="s">
        <v>838</v>
      </c>
      <c r="C117" s="18" t="s">
        <v>749</v>
      </c>
      <c r="D117" s="81"/>
      <c r="E117" s="36"/>
    </row>
    <row r="118" spans="1:5" s="37" customFormat="1" ht="21" customHeight="1">
      <c r="A118" s="71" t="s">
        <v>566</v>
      </c>
      <c r="B118" s="83" t="s">
        <v>192</v>
      </c>
      <c r="C118" s="69" t="s">
        <v>83</v>
      </c>
      <c r="D118" s="84">
        <f>D119+D132</f>
        <v>917.91</v>
      </c>
      <c r="E118" s="87"/>
    </row>
    <row r="119" spans="1:4" s="37" customFormat="1" ht="30.75" customHeight="1">
      <c r="A119" s="14" t="s">
        <v>565</v>
      </c>
      <c r="B119" s="18" t="s">
        <v>192</v>
      </c>
      <c r="C119" s="33" t="s">
        <v>89</v>
      </c>
      <c r="D119" s="81">
        <f>897.91+20</f>
        <v>917.91</v>
      </c>
    </row>
    <row r="120" spans="1:5" s="39" customFormat="1" ht="29.25" customHeight="1" hidden="1">
      <c r="A120" s="75" t="s">
        <v>443</v>
      </c>
      <c r="B120" s="18" t="s">
        <v>839</v>
      </c>
      <c r="C120" s="76" t="s">
        <v>230</v>
      </c>
      <c r="D120" s="89"/>
      <c r="E120" s="85"/>
    </row>
    <row r="121" spans="1:4" s="37" customFormat="1" ht="18" customHeight="1" hidden="1">
      <c r="A121" s="14" t="s">
        <v>232</v>
      </c>
      <c r="B121" s="18" t="s">
        <v>840</v>
      </c>
      <c r="C121" s="33" t="s">
        <v>231</v>
      </c>
      <c r="D121" s="81"/>
    </row>
    <row r="122" spans="1:4" s="37" customFormat="1" ht="16.5" customHeight="1" hidden="1">
      <c r="A122" s="14" t="s">
        <v>233</v>
      </c>
      <c r="B122" s="18" t="s">
        <v>841</v>
      </c>
      <c r="C122" s="33" t="s">
        <v>234</v>
      </c>
      <c r="D122" s="81"/>
    </row>
    <row r="123" spans="1:4" s="37" customFormat="1" ht="18.75" customHeight="1" hidden="1">
      <c r="A123" s="14" t="s">
        <v>227</v>
      </c>
      <c r="B123" s="18" t="s">
        <v>842</v>
      </c>
      <c r="C123" s="33" t="s">
        <v>235</v>
      </c>
      <c r="D123" s="81"/>
    </row>
    <row r="124" spans="1:4" s="37" customFormat="1" ht="15" customHeight="1" hidden="1">
      <c r="A124" s="14" t="s">
        <v>238</v>
      </c>
      <c r="B124" s="18" t="s">
        <v>843</v>
      </c>
      <c r="C124" s="33" t="s">
        <v>239</v>
      </c>
      <c r="D124" s="81"/>
    </row>
    <row r="125" spans="1:4" s="37" customFormat="1" ht="13.5" customHeight="1" hidden="1">
      <c r="A125" s="14" t="s">
        <v>240</v>
      </c>
      <c r="B125" s="18" t="s">
        <v>844</v>
      </c>
      <c r="C125" s="33" t="s">
        <v>241</v>
      </c>
      <c r="D125" s="81"/>
    </row>
    <row r="126" spans="1:4" s="37" customFormat="1" ht="16.5" customHeight="1" hidden="1">
      <c r="A126" s="14" t="s">
        <v>227</v>
      </c>
      <c r="B126" s="18" t="s">
        <v>845</v>
      </c>
      <c r="C126" s="33" t="s">
        <v>242</v>
      </c>
      <c r="D126" s="81"/>
    </row>
    <row r="127" spans="1:4" s="37" customFormat="1" ht="0.75" customHeight="1" hidden="1">
      <c r="A127" s="42" t="s">
        <v>18</v>
      </c>
      <c r="B127" s="18" t="s">
        <v>846</v>
      </c>
      <c r="C127" s="33" t="s">
        <v>17</v>
      </c>
      <c r="D127" s="81"/>
    </row>
    <row r="128" spans="1:4" s="37" customFormat="1" ht="25.5" customHeight="1" hidden="1">
      <c r="A128" s="75" t="s">
        <v>342</v>
      </c>
      <c r="B128" s="18" t="s">
        <v>847</v>
      </c>
      <c r="C128" s="33" t="s">
        <v>17</v>
      </c>
      <c r="D128" s="81"/>
    </row>
    <row r="129" spans="1:4" s="37" customFormat="1" ht="54.75" customHeight="1" hidden="1">
      <c r="A129" s="75" t="s">
        <v>146</v>
      </c>
      <c r="B129" s="18" t="s">
        <v>848</v>
      </c>
      <c r="C129" s="33" t="s">
        <v>340</v>
      </c>
      <c r="D129" s="81"/>
    </row>
    <row r="130" spans="1:4" s="37" customFormat="1" ht="16.5" customHeight="1" hidden="1">
      <c r="A130" s="75" t="s">
        <v>342</v>
      </c>
      <c r="B130" s="18" t="s">
        <v>849</v>
      </c>
      <c r="C130" s="33" t="s">
        <v>340</v>
      </c>
      <c r="D130" s="81"/>
    </row>
    <row r="131" spans="1:4" s="37" customFormat="1" ht="16.5" customHeight="1" hidden="1">
      <c r="A131" s="75" t="s">
        <v>358</v>
      </c>
      <c r="B131" s="18" t="s">
        <v>850</v>
      </c>
      <c r="C131" s="33" t="s">
        <v>17</v>
      </c>
      <c r="D131" s="81"/>
    </row>
    <row r="132" spans="1:4" s="37" customFormat="1" ht="45.75" customHeight="1" hidden="1">
      <c r="A132" s="14" t="s">
        <v>563</v>
      </c>
      <c r="B132" s="18" t="s">
        <v>851</v>
      </c>
      <c r="C132" s="33" t="s">
        <v>520</v>
      </c>
      <c r="D132" s="81">
        <v>0</v>
      </c>
    </row>
    <row r="133" spans="1:4" s="37" customFormat="1" ht="33" customHeight="1" hidden="1">
      <c r="A133" s="75" t="s">
        <v>451</v>
      </c>
      <c r="B133" s="18" t="s">
        <v>852</v>
      </c>
      <c r="C133" s="76" t="s">
        <v>48</v>
      </c>
      <c r="D133" s="89">
        <f>D134+D135+D136</f>
        <v>0</v>
      </c>
    </row>
    <row r="134" spans="1:4" s="37" customFormat="1" ht="17.25" customHeight="1" hidden="1">
      <c r="A134" s="14" t="s">
        <v>125</v>
      </c>
      <c r="B134" s="18" t="s">
        <v>853</v>
      </c>
      <c r="C134" s="33" t="s">
        <v>553</v>
      </c>
      <c r="D134" s="81">
        <v>0</v>
      </c>
    </row>
    <row r="135" spans="1:4" s="37" customFormat="1" ht="19.5" customHeight="1" hidden="1">
      <c r="A135" s="14" t="s">
        <v>555</v>
      </c>
      <c r="B135" s="18" t="s">
        <v>854</v>
      </c>
      <c r="C135" s="33" t="s">
        <v>554</v>
      </c>
      <c r="D135" s="81"/>
    </row>
    <row r="136" spans="1:4" s="37" customFormat="1" ht="33" customHeight="1" hidden="1">
      <c r="A136" s="14" t="s">
        <v>526</v>
      </c>
      <c r="B136" s="18" t="s">
        <v>855</v>
      </c>
      <c r="C136" s="33" t="s">
        <v>517</v>
      </c>
      <c r="D136" s="81"/>
    </row>
    <row r="137" spans="1:4" s="37" customFormat="1" ht="45" customHeight="1" hidden="1">
      <c r="A137" s="75" t="s">
        <v>498</v>
      </c>
      <c r="B137" s="18" t="s">
        <v>856</v>
      </c>
      <c r="C137" s="82" t="s">
        <v>486</v>
      </c>
      <c r="D137" s="89">
        <f>D138</f>
        <v>0</v>
      </c>
    </row>
    <row r="138" spans="1:4" s="37" customFormat="1" ht="30" customHeight="1" hidden="1">
      <c r="A138" s="14" t="s">
        <v>730</v>
      </c>
      <c r="B138" s="18" t="s">
        <v>857</v>
      </c>
      <c r="C138" s="33" t="s">
        <v>487</v>
      </c>
      <c r="D138" s="81">
        <v>0</v>
      </c>
    </row>
    <row r="139" spans="1:5" s="37" customFormat="1" ht="62.25" customHeight="1">
      <c r="A139" s="75" t="s">
        <v>512</v>
      </c>
      <c r="B139" s="82" t="s">
        <v>426</v>
      </c>
      <c r="C139" s="82" t="s">
        <v>488</v>
      </c>
      <c r="D139" s="89">
        <f>SUM(D140:D148)</f>
        <v>29246.48429</v>
      </c>
      <c r="E139" s="45"/>
    </row>
    <row r="140" spans="1:5" s="37" customFormat="1" ht="30.75" customHeight="1">
      <c r="A140" s="14" t="s">
        <v>50</v>
      </c>
      <c r="B140" s="18" t="s">
        <v>192</v>
      </c>
      <c r="C140" s="33" t="s">
        <v>509</v>
      </c>
      <c r="D140" s="81">
        <f>2300-3.825</f>
        <v>2296.175</v>
      </c>
      <c r="E140" s="45"/>
    </row>
    <row r="141" spans="1:5" s="37" customFormat="1" ht="15.75" customHeight="1" hidden="1">
      <c r="A141" s="14" t="s">
        <v>50</v>
      </c>
      <c r="B141" s="18" t="s">
        <v>858</v>
      </c>
      <c r="C141" s="33" t="s">
        <v>511</v>
      </c>
      <c r="D141" s="81">
        <v>0</v>
      </c>
      <c r="E141" s="45"/>
    </row>
    <row r="142" spans="1:5" s="37" customFormat="1" ht="42.75" customHeight="1">
      <c r="A142" s="14" t="s">
        <v>923</v>
      </c>
      <c r="B142" s="18" t="s">
        <v>192</v>
      </c>
      <c r="C142" s="33" t="s">
        <v>509</v>
      </c>
      <c r="D142" s="81">
        <v>3.825</v>
      </c>
      <c r="E142" s="45"/>
    </row>
    <row r="143" spans="1:5" s="37" customFormat="1" ht="18" customHeight="1">
      <c r="A143" s="14" t="s">
        <v>398</v>
      </c>
      <c r="B143" s="18" t="s">
        <v>192</v>
      </c>
      <c r="C143" s="33" t="s">
        <v>511</v>
      </c>
      <c r="D143" s="81">
        <f>5217-30.30303+9986.48429+161.18502-282-562.18502</f>
        <v>14490.181260000001</v>
      </c>
      <c r="E143" s="45"/>
    </row>
    <row r="144" spans="1:5" s="37" customFormat="1" ht="18" customHeight="1">
      <c r="A144" s="42" t="s">
        <v>319</v>
      </c>
      <c r="B144" s="18" t="s">
        <v>192</v>
      </c>
      <c r="C144" s="33" t="s">
        <v>510</v>
      </c>
      <c r="D144" s="81">
        <f>9542-161.18502-517+562.18502</f>
        <v>9426</v>
      </c>
      <c r="E144" s="45"/>
    </row>
    <row r="145" spans="1:5" s="37" customFormat="1" ht="45.75" customHeight="1" hidden="1">
      <c r="A145" s="42" t="s">
        <v>531</v>
      </c>
      <c r="B145" s="18" t="s">
        <v>859</v>
      </c>
      <c r="C145" s="33" t="s">
        <v>532</v>
      </c>
      <c r="D145" s="81"/>
      <c r="E145" s="45"/>
    </row>
    <row r="146" spans="1:5" s="37" customFormat="1" ht="45.75" customHeight="1" hidden="1">
      <c r="A146" s="42" t="s">
        <v>535</v>
      </c>
      <c r="B146" s="18" t="s">
        <v>860</v>
      </c>
      <c r="C146" s="33" t="s">
        <v>536</v>
      </c>
      <c r="D146" s="81"/>
      <c r="E146" s="45"/>
    </row>
    <row r="147" spans="1:5" s="37" customFormat="1" ht="30.75" customHeight="1">
      <c r="A147" s="42" t="s">
        <v>766</v>
      </c>
      <c r="B147" s="18" t="s">
        <v>192</v>
      </c>
      <c r="C147" s="33" t="s">
        <v>737</v>
      </c>
      <c r="D147" s="81">
        <v>3000</v>
      </c>
      <c r="E147" s="45"/>
    </row>
    <row r="148" spans="1:5" s="37" customFormat="1" ht="42.75" customHeight="1">
      <c r="A148" s="42" t="s">
        <v>767</v>
      </c>
      <c r="B148" s="18" t="s">
        <v>192</v>
      </c>
      <c r="C148" s="33" t="s">
        <v>762</v>
      </c>
      <c r="D148" s="81">
        <v>30.30303</v>
      </c>
      <c r="E148" s="45"/>
    </row>
    <row r="149" spans="1:5" s="37" customFormat="1" ht="45.75" customHeight="1">
      <c r="A149" s="75" t="s">
        <v>658</v>
      </c>
      <c r="B149" s="82" t="s">
        <v>426</v>
      </c>
      <c r="C149" s="82" t="s">
        <v>549</v>
      </c>
      <c r="D149" s="89">
        <f>SUM(D150:D153)</f>
        <v>1215</v>
      </c>
      <c r="E149" s="45"/>
    </row>
    <row r="150" spans="1:5" s="37" customFormat="1" ht="17.25" customHeight="1">
      <c r="A150" s="14" t="s">
        <v>909</v>
      </c>
      <c r="B150" s="18" t="s">
        <v>429</v>
      </c>
      <c r="C150" s="33" t="s">
        <v>550</v>
      </c>
      <c r="D150" s="81">
        <f>1215-61.8-50-158</f>
        <v>945.2</v>
      </c>
      <c r="E150" s="45"/>
    </row>
    <row r="151" spans="1:5" s="37" customFormat="1" ht="16.5" customHeight="1">
      <c r="A151" s="14" t="s">
        <v>908</v>
      </c>
      <c r="B151" s="18" t="s">
        <v>192</v>
      </c>
      <c r="C151" s="33" t="s">
        <v>691</v>
      </c>
      <c r="D151" s="81">
        <f>31.6+50</f>
        <v>81.6</v>
      </c>
      <c r="E151" s="45"/>
    </row>
    <row r="152" spans="1:5" s="37" customFormat="1" ht="16.5" customHeight="1">
      <c r="A152" s="14" t="s">
        <v>910</v>
      </c>
      <c r="B152" s="18" t="s">
        <v>192</v>
      </c>
      <c r="C152" s="33" t="s">
        <v>907</v>
      </c>
      <c r="D152" s="81">
        <v>30.2</v>
      </c>
      <c r="E152" s="45"/>
    </row>
    <row r="153" spans="1:5" s="37" customFormat="1" ht="16.5" customHeight="1">
      <c r="A153" s="14" t="s">
        <v>917</v>
      </c>
      <c r="B153" s="18" t="s">
        <v>429</v>
      </c>
      <c r="C153" s="33" t="s">
        <v>918</v>
      </c>
      <c r="D153" s="81">
        <v>158</v>
      </c>
      <c r="E153" s="45"/>
    </row>
    <row r="154" spans="1:5" s="37" customFormat="1" ht="45.75" customHeight="1">
      <c r="A154" s="75" t="s">
        <v>570</v>
      </c>
      <c r="B154" s="82" t="s">
        <v>426</v>
      </c>
      <c r="C154" s="82" t="s">
        <v>552</v>
      </c>
      <c r="D154" s="89">
        <f>SUM(D155:D160)</f>
        <v>21689.051</v>
      </c>
      <c r="E154" s="45"/>
    </row>
    <row r="155" spans="1:5" s="37" customFormat="1" ht="33" customHeight="1" hidden="1">
      <c r="A155" s="14" t="s">
        <v>556</v>
      </c>
      <c r="B155" s="18" t="s">
        <v>861</v>
      </c>
      <c r="C155" s="33" t="s">
        <v>548</v>
      </c>
      <c r="D155" s="81">
        <v>0</v>
      </c>
      <c r="E155" s="45"/>
    </row>
    <row r="156" spans="1:5" s="37" customFormat="1" ht="15" customHeight="1">
      <c r="A156" s="42" t="s">
        <v>251</v>
      </c>
      <c r="B156" s="18" t="s">
        <v>192</v>
      </c>
      <c r="C156" s="33" t="s">
        <v>547</v>
      </c>
      <c r="D156" s="81">
        <v>1090</v>
      </c>
      <c r="E156" s="45"/>
    </row>
    <row r="157" spans="1:5" s="37" customFormat="1" ht="57.75" customHeight="1">
      <c r="A157" s="42" t="s">
        <v>558</v>
      </c>
      <c r="B157" s="18" t="s">
        <v>430</v>
      </c>
      <c r="C157" s="33" t="s">
        <v>544</v>
      </c>
      <c r="D157" s="81">
        <v>11291.076</v>
      </c>
      <c r="E157" s="45"/>
    </row>
    <row r="158" spans="1:5" s="37" customFormat="1" ht="31.5" customHeight="1">
      <c r="A158" s="42" t="s">
        <v>330</v>
      </c>
      <c r="B158" s="18" t="s">
        <v>430</v>
      </c>
      <c r="C158" s="33" t="s">
        <v>545</v>
      </c>
      <c r="D158" s="81">
        <f>8375.417+212.558</f>
        <v>8587.974999999999</v>
      </c>
      <c r="E158" s="45"/>
    </row>
    <row r="159" spans="1:5" s="37" customFormat="1" ht="29.25" customHeight="1">
      <c r="A159" s="42" t="s">
        <v>683</v>
      </c>
      <c r="B159" s="18" t="s">
        <v>430</v>
      </c>
      <c r="C159" s="33" t="s">
        <v>546</v>
      </c>
      <c r="D159" s="81">
        <f>450+170+100</f>
        <v>720</v>
      </c>
      <c r="E159" s="45"/>
    </row>
    <row r="160" spans="1:5" s="37" customFormat="1" ht="42.75" customHeight="1" hidden="1">
      <c r="A160" s="42" t="s">
        <v>717</v>
      </c>
      <c r="B160" s="18" t="s">
        <v>862</v>
      </c>
      <c r="C160" s="33" t="s">
        <v>751</v>
      </c>
      <c r="D160" s="81"/>
      <c r="E160" s="45"/>
    </row>
    <row r="161" spans="1:5" s="37" customFormat="1" ht="33.75" customHeight="1">
      <c r="A161" s="78" t="s">
        <v>865</v>
      </c>
      <c r="B161" s="82" t="s">
        <v>426</v>
      </c>
      <c r="C161" s="76" t="s">
        <v>584</v>
      </c>
      <c r="D161" s="89">
        <f>D162</f>
        <v>15</v>
      </c>
      <c r="E161" s="45"/>
    </row>
    <row r="162" spans="1:5" s="37" customFormat="1" ht="28.5" customHeight="1">
      <c r="A162" s="42" t="s">
        <v>585</v>
      </c>
      <c r="B162" s="18" t="s">
        <v>192</v>
      </c>
      <c r="C162" s="33" t="s">
        <v>586</v>
      </c>
      <c r="D162" s="81">
        <f>D163</f>
        <v>15</v>
      </c>
      <c r="E162" s="45"/>
    </row>
    <row r="163" spans="1:5" s="37" customFormat="1" ht="16.5" customHeight="1">
      <c r="A163" s="42" t="s">
        <v>639</v>
      </c>
      <c r="B163" s="18" t="s">
        <v>192</v>
      </c>
      <c r="C163" s="33" t="s">
        <v>588</v>
      </c>
      <c r="D163" s="81">
        <v>15</v>
      </c>
      <c r="E163" s="45"/>
    </row>
    <row r="164" spans="1:5" s="37" customFormat="1" ht="44.25" customHeight="1">
      <c r="A164" s="75" t="s">
        <v>594</v>
      </c>
      <c r="B164" s="82" t="s">
        <v>426</v>
      </c>
      <c r="C164" s="82" t="s">
        <v>595</v>
      </c>
      <c r="D164" s="89">
        <f>D165+D166</f>
        <v>1412.48629</v>
      </c>
      <c r="E164" s="45"/>
    </row>
    <row r="165" spans="1:5" s="37" customFormat="1" ht="31.5" customHeight="1">
      <c r="A165" s="42" t="s">
        <v>659</v>
      </c>
      <c r="B165" s="18" t="s">
        <v>863</v>
      </c>
      <c r="C165" s="33" t="s">
        <v>597</v>
      </c>
      <c r="D165" s="81">
        <v>1382.48629</v>
      </c>
      <c r="E165" s="45"/>
    </row>
    <row r="166" spans="1:5" s="37" customFormat="1" ht="29.25" customHeight="1">
      <c r="A166" s="42" t="s">
        <v>660</v>
      </c>
      <c r="B166" s="18" t="s">
        <v>192</v>
      </c>
      <c r="C166" s="33" t="s">
        <v>761</v>
      </c>
      <c r="D166" s="81">
        <f>20+10</f>
        <v>30</v>
      </c>
      <c r="E166" s="45"/>
    </row>
    <row r="167" spans="1:5" s="37" customFormat="1" ht="73.5" customHeight="1">
      <c r="A167" s="75" t="s">
        <v>898</v>
      </c>
      <c r="B167" s="82" t="s">
        <v>426</v>
      </c>
      <c r="C167" s="82" t="s">
        <v>818</v>
      </c>
      <c r="D167" s="89">
        <f>SUM(D168:D170)</f>
        <v>36447.990659999996</v>
      </c>
      <c r="E167" s="45"/>
    </row>
    <row r="168" spans="1:5" s="37" customFormat="1" ht="31.5" customHeight="1">
      <c r="A168" s="42" t="s">
        <v>820</v>
      </c>
      <c r="B168" s="18" t="s">
        <v>192</v>
      </c>
      <c r="C168" s="33" t="s">
        <v>822</v>
      </c>
      <c r="D168" s="81">
        <v>14799.63122</v>
      </c>
      <c r="E168" s="45"/>
    </row>
    <row r="169" spans="1:5" s="37" customFormat="1" ht="33" customHeight="1">
      <c r="A169" s="42" t="s">
        <v>821</v>
      </c>
      <c r="B169" s="18" t="s">
        <v>192</v>
      </c>
      <c r="C169" s="33" t="s">
        <v>823</v>
      </c>
      <c r="D169" s="81">
        <v>530.28251</v>
      </c>
      <c r="E169" s="45"/>
    </row>
    <row r="170" spans="1:7" s="37" customFormat="1" ht="44.25" customHeight="1">
      <c r="A170" s="42" t="s">
        <v>819</v>
      </c>
      <c r="B170" s="18" t="s">
        <v>192</v>
      </c>
      <c r="C170" s="33" t="s">
        <v>824</v>
      </c>
      <c r="D170" s="81">
        <v>21118.07693</v>
      </c>
      <c r="E170" s="87"/>
      <c r="F170" s="87"/>
      <c r="G170" s="87"/>
    </row>
    <row r="171" spans="1:5" s="260" customFormat="1" ht="18" customHeight="1">
      <c r="A171" s="78" t="s">
        <v>108</v>
      </c>
      <c r="B171" s="169"/>
      <c r="C171" s="170"/>
      <c r="D171" s="89">
        <f>D133+D98+D96+D77+D72+D69+D65+D12+D137+D139+D149+D154+D161+D164+D167</f>
        <v>513450.49350999994</v>
      </c>
      <c r="E171" s="265"/>
    </row>
    <row r="172" spans="1:5" ht="18" customHeight="1">
      <c r="A172" s="324" t="s">
        <v>374</v>
      </c>
      <c r="B172" s="324"/>
      <c r="C172" s="324"/>
      <c r="D172" s="324"/>
      <c r="E172" s="23"/>
    </row>
    <row r="173" spans="1:5" ht="30" customHeight="1">
      <c r="A173" s="34" t="s">
        <v>165</v>
      </c>
      <c r="B173" s="52"/>
      <c r="C173" s="53" t="s">
        <v>19</v>
      </c>
      <c r="D173" s="104"/>
      <c r="E173" s="23"/>
    </row>
    <row r="174" spans="1:5" ht="15">
      <c r="A174" s="34" t="s">
        <v>109</v>
      </c>
      <c r="B174" s="52"/>
      <c r="C174" s="53" t="s">
        <v>20</v>
      </c>
      <c r="D174" s="104"/>
      <c r="E174" s="23"/>
    </row>
    <row r="175" spans="1:5" ht="15">
      <c r="A175" s="42" t="s">
        <v>431</v>
      </c>
      <c r="B175" s="52"/>
      <c r="C175" s="53" t="s">
        <v>21</v>
      </c>
      <c r="D175" s="104">
        <v>1836.31</v>
      </c>
      <c r="E175" s="23"/>
    </row>
    <row r="176" spans="1:5" ht="18" customHeight="1">
      <c r="A176" s="42" t="s">
        <v>126</v>
      </c>
      <c r="B176" s="52"/>
      <c r="C176" s="53" t="s">
        <v>22</v>
      </c>
      <c r="D176" s="104">
        <v>1683</v>
      </c>
      <c r="E176" s="23"/>
    </row>
    <row r="177" spans="1:6" ht="28.5" customHeight="1">
      <c r="A177" s="42" t="s">
        <v>169</v>
      </c>
      <c r="B177" s="52"/>
      <c r="C177" s="53" t="s">
        <v>23</v>
      </c>
      <c r="D177" s="119">
        <f>38984.79+15-40.158+55.67</f>
        <v>39015.301999999996</v>
      </c>
      <c r="E177" s="64"/>
      <c r="F177" s="64"/>
    </row>
    <row r="178" spans="1:5" ht="16.5" customHeight="1">
      <c r="A178" s="42" t="s">
        <v>127</v>
      </c>
      <c r="B178" s="52"/>
      <c r="C178" s="53" t="s">
        <v>24</v>
      </c>
      <c r="D178" s="104">
        <v>1585.4</v>
      </c>
      <c r="E178" s="23"/>
    </row>
    <row r="179" spans="1:5" ht="15" customHeight="1">
      <c r="A179" s="42" t="s">
        <v>128</v>
      </c>
      <c r="B179" s="52"/>
      <c r="C179" s="53" t="s">
        <v>27</v>
      </c>
      <c r="D179" s="104">
        <v>2</v>
      </c>
      <c r="E179" s="23"/>
    </row>
    <row r="180" spans="1:5" ht="16.5" customHeight="1">
      <c r="A180" s="42" t="s">
        <v>129</v>
      </c>
      <c r="B180" s="52"/>
      <c r="C180" s="53" t="s">
        <v>28</v>
      </c>
      <c r="D180" s="104">
        <f>430+320</f>
        <v>750</v>
      </c>
      <c r="E180" s="23"/>
    </row>
    <row r="181" spans="1:5" ht="27" customHeight="1">
      <c r="A181" s="42" t="s">
        <v>392</v>
      </c>
      <c r="B181" s="52"/>
      <c r="C181" s="53" t="s">
        <v>29</v>
      </c>
      <c r="D181" s="104">
        <v>100</v>
      </c>
      <c r="E181" s="23"/>
    </row>
    <row r="182" spans="1:5" ht="33" customHeight="1" hidden="1">
      <c r="A182" s="42" t="s">
        <v>50</v>
      </c>
      <c r="B182" s="52"/>
      <c r="C182" s="53" t="s">
        <v>30</v>
      </c>
      <c r="D182" s="104"/>
      <c r="E182" s="23"/>
    </row>
    <row r="183" spans="1:5" ht="17.25" customHeight="1" hidden="1">
      <c r="A183" s="42" t="s">
        <v>398</v>
      </c>
      <c r="B183" s="52"/>
      <c r="C183" s="53" t="s">
        <v>31</v>
      </c>
      <c r="D183" s="104"/>
      <c r="E183" s="46"/>
    </row>
    <row r="184" spans="1:5" ht="31.5" customHeight="1" hidden="1">
      <c r="A184" s="42" t="s">
        <v>130</v>
      </c>
      <c r="B184" s="52"/>
      <c r="C184" s="53" t="s">
        <v>32</v>
      </c>
      <c r="D184" s="104"/>
      <c r="E184" s="23"/>
    </row>
    <row r="185" spans="1:5" ht="15.75" customHeight="1">
      <c r="A185" s="42" t="s">
        <v>593</v>
      </c>
      <c r="B185" s="52"/>
      <c r="C185" s="53" t="s">
        <v>33</v>
      </c>
      <c r="D185" s="104">
        <v>503.9</v>
      </c>
      <c r="E185" s="46"/>
    </row>
    <row r="186" spans="1:5" ht="15" customHeight="1">
      <c r="A186" s="42" t="s">
        <v>411</v>
      </c>
      <c r="B186" s="52"/>
      <c r="C186" s="53" t="s">
        <v>34</v>
      </c>
      <c r="D186" s="104">
        <f>90-15</f>
        <v>75</v>
      </c>
      <c r="E186" s="23"/>
    </row>
    <row r="187" spans="1:5" ht="15.75" customHeight="1">
      <c r="A187" s="42" t="s">
        <v>412</v>
      </c>
      <c r="B187" s="52"/>
      <c r="C187" s="53" t="s">
        <v>35</v>
      </c>
      <c r="D187" s="104">
        <f>100+1950.4+0.004+296.598</f>
        <v>2347.002</v>
      </c>
      <c r="E187" s="23"/>
    </row>
    <row r="188" spans="1:5" ht="15.75" customHeight="1">
      <c r="A188" s="42" t="s">
        <v>499</v>
      </c>
      <c r="B188" s="52"/>
      <c r="C188" s="53" t="s">
        <v>93</v>
      </c>
      <c r="D188" s="104">
        <f>683+84.6</f>
        <v>767.6</v>
      </c>
      <c r="E188" s="23"/>
    </row>
    <row r="189" spans="1:5" ht="15.75" customHeight="1" hidden="1">
      <c r="A189" s="42" t="s">
        <v>221</v>
      </c>
      <c r="B189" s="52"/>
      <c r="C189" s="53" t="s">
        <v>100</v>
      </c>
      <c r="D189" s="104"/>
      <c r="E189" s="23"/>
    </row>
    <row r="190" spans="1:5" ht="15.75" customHeight="1">
      <c r="A190" s="42" t="s">
        <v>507</v>
      </c>
      <c r="B190" s="52"/>
      <c r="C190" s="53" t="s">
        <v>101</v>
      </c>
      <c r="D190" s="104">
        <f>655.9+15</f>
        <v>670.9</v>
      </c>
      <c r="E190" s="23"/>
    </row>
    <row r="191" spans="1:5" ht="30" customHeight="1" hidden="1">
      <c r="A191" s="42" t="s">
        <v>330</v>
      </c>
      <c r="B191" s="52"/>
      <c r="C191" s="53" t="s">
        <v>102</v>
      </c>
      <c r="D191" s="104"/>
      <c r="E191" s="23"/>
    </row>
    <row r="192" spans="1:5" ht="17.25" customHeight="1" hidden="1">
      <c r="A192" s="42" t="s">
        <v>473</v>
      </c>
      <c r="B192" s="52"/>
      <c r="C192" s="53" t="s">
        <v>103</v>
      </c>
      <c r="D192" s="104"/>
      <c r="E192" s="23"/>
    </row>
    <row r="193" spans="1:5" ht="79.5" customHeight="1" hidden="1">
      <c r="A193" s="42" t="s">
        <v>530</v>
      </c>
      <c r="B193" s="52"/>
      <c r="C193" s="53" t="s">
        <v>529</v>
      </c>
      <c r="D193" s="104"/>
      <c r="E193" s="23"/>
    </row>
    <row r="194" spans="1:5" ht="17.25" customHeight="1" hidden="1">
      <c r="A194" s="42" t="s">
        <v>523</v>
      </c>
      <c r="B194" s="52"/>
      <c r="C194" s="53" t="s">
        <v>524</v>
      </c>
      <c r="D194" s="104"/>
      <c r="E194" s="23"/>
    </row>
    <row r="195" spans="1:5" ht="17.25" customHeight="1">
      <c r="A195" s="42" t="s">
        <v>533</v>
      </c>
      <c r="B195" s="52"/>
      <c r="C195" s="53" t="s">
        <v>534</v>
      </c>
      <c r="D195" s="104">
        <f>1402.9-504.6-2+138.78701</f>
        <v>1035.0870100000002</v>
      </c>
      <c r="E195" s="23"/>
    </row>
    <row r="196" spans="1:5" ht="63.75" customHeight="1" hidden="1">
      <c r="A196" s="42" t="s">
        <v>353</v>
      </c>
      <c r="B196" s="52"/>
      <c r="C196" s="53" t="s">
        <v>514</v>
      </c>
      <c r="D196" s="104"/>
      <c r="E196" s="23"/>
    </row>
    <row r="197" spans="1:5" ht="15.75" customHeight="1" hidden="1">
      <c r="A197" s="42" t="s">
        <v>567</v>
      </c>
      <c r="B197" s="52"/>
      <c r="C197" s="53" t="s">
        <v>568</v>
      </c>
      <c r="D197" s="104"/>
      <c r="E197" s="23"/>
    </row>
    <row r="198" spans="1:5" ht="15.75" customHeight="1">
      <c r="A198" s="42" t="s">
        <v>661</v>
      </c>
      <c r="B198" s="52"/>
      <c r="C198" s="53" t="s">
        <v>602</v>
      </c>
      <c r="D198" s="104">
        <v>900</v>
      </c>
      <c r="E198" s="23"/>
    </row>
    <row r="199" spans="1:5" ht="15.75" customHeight="1">
      <c r="A199" s="42" t="s">
        <v>579</v>
      </c>
      <c r="B199" s="52"/>
      <c r="C199" s="53" t="s">
        <v>580</v>
      </c>
      <c r="D199" s="104">
        <f>100-11.45-24.964+600-25.292-6.497-16.526</f>
        <v>615.2710000000001</v>
      </c>
      <c r="E199" s="23"/>
    </row>
    <row r="200" spans="1:5" ht="30" customHeight="1">
      <c r="A200" s="42" t="s">
        <v>773</v>
      </c>
      <c r="B200" s="52"/>
      <c r="C200" s="53" t="s">
        <v>774</v>
      </c>
      <c r="D200" s="104">
        <f>11.45+24.964+25.292+6.497+16.526</f>
        <v>84.729</v>
      </c>
      <c r="E200" s="23"/>
    </row>
    <row r="201" spans="1:5" ht="39.75" customHeight="1" hidden="1">
      <c r="A201" s="42" t="s">
        <v>805</v>
      </c>
      <c r="B201" s="52"/>
      <c r="C201" s="53" t="s">
        <v>806</v>
      </c>
      <c r="D201" s="104"/>
      <c r="E201" s="23"/>
    </row>
    <row r="202" spans="1:5" ht="15.75" customHeight="1">
      <c r="A202" s="42" t="s">
        <v>591</v>
      </c>
      <c r="B202" s="52"/>
      <c r="C202" s="53" t="s">
        <v>592</v>
      </c>
      <c r="D202" s="104">
        <f>80.3+40.158</f>
        <v>120.458</v>
      </c>
      <c r="E202" s="23"/>
    </row>
    <row r="203" spans="1:7" ht="57" customHeight="1">
      <c r="A203" s="42" t="s">
        <v>598</v>
      </c>
      <c r="B203" s="52"/>
      <c r="C203" s="53" t="s">
        <v>599</v>
      </c>
      <c r="D203" s="104">
        <f>250-150</f>
        <v>100</v>
      </c>
      <c r="E203" s="23"/>
      <c r="G203" s="64"/>
    </row>
    <row r="204" spans="1:7" ht="16.5" customHeight="1">
      <c r="A204" s="42" t="s">
        <v>915</v>
      </c>
      <c r="B204" s="52"/>
      <c r="C204" s="53" t="s">
        <v>916</v>
      </c>
      <c r="D204" s="104">
        <v>287.5</v>
      </c>
      <c r="E204" s="23"/>
      <c r="G204" s="64"/>
    </row>
    <row r="205" spans="1:5" ht="55.5" customHeight="1">
      <c r="A205" s="42" t="s">
        <v>110</v>
      </c>
      <c r="B205" s="52"/>
      <c r="C205" s="132">
        <v>9999959300</v>
      </c>
      <c r="D205" s="104">
        <f>1361.162+34.03</f>
        <v>1395.192</v>
      </c>
      <c r="E205" s="23"/>
    </row>
    <row r="206" spans="1:5" ht="33" customHeight="1" hidden="1">
      <c r="A206" s="42" t="s">
        <v>807</v>
      </c>
      <c r="B206" s="52"/>
      <c r="C206" s="132" t="s">
        <v>808</v>
      </c>
      <c r="D206" s="104"/>
      <c r="E206" s="23"/>
    </row>
    <row r="207" spans="1:5" ht="19.5" customHeight="1">
      <c r="A207" s="78" t="s">
        <v>882</v>
      </c>
      <c r="B207" s="169"/>
      <c r="C207" s="170" t="s">
        <v>884</v>
      </c>
      <c r="D207" s="192">
        <f>D208+D209</f>
        <v>1964.216</v>
      </c>
      <c r="E207" s="23"/>
    </row>
    <row r="208" spans="1:5" ht="27.75" customHeight="1">
      <c r="A208" s="42" t="s">
        <v>111</v>
      </c>
      <c r="B208" s="52"/>
      <c r="C208" s="53" t="s">
        <v>884</v>
      </c>
      <c r="D208" s="104">
        <v>1197.791</v>
      </c>
      <c r="E208" s="23"/>
    </row>
    <row r="209" spans="1:5" ht="15">
      <c r="A209" s="42" t="s">
        <v>112</v>
      </c>
      <c r="B209" s="52"/>
      <c r="C209" s="53" t="s">
        <v>884</v>
      </c>
      <c r="D209" s="104">
        <v>766.425</v>
      </c>
      <c r="E209" s="23"/>
    </row>
    <row r="210" spans="1:5" ht="30" customHeight="1">
      <c r="A210" s="42" t="s">
        <v>750</v>
      </c>
      <c r="B210" s="52"/>
      <c r="C210" s="53" t="s">
        <v>49</v>
      </c>
      <c r="D210" s="104">
        <v>265.91093</v>
      </c>
      <c r="E210" s="23"/>
    </row>
    <row r="211" spans="1:5" ht="17.25" customHeight="1">
      <c r="A211" s="42" t="s">
        <v>113</v>
      </c>
      <c r="B211" s="52"/>
      <c r="C211" s="53" t="s">
        <v>25</v>
      </c>
      <c r="D211" s="104">
        <v>794.861</v>
      </c>
      <c r="E211" s="23"/>
    </row>
    <row r="212" spans="1:5" ht="34.5" customHeight="1">
      <c r="A212" s="42" t="s">
        <v>698</v>
      </c>
      <c r="B212" s="52"/>
      <c r="C212" s="53" t="s">
        <v>718</v>
      </c>
      <c r="D212" s="104">
        <v>1865.848</v>
      </c>
      <c r="E212" s="23"/>
    </row>
    <row r="213" spans="1:5" ht="41.25" customHeight="1" hidden="1">
      <c r="A213" s="42" t="s">
        <v>699</v>
      </c>
      <c r="B213" s="52"/>
      <c r="C213" s="53" t="s">
        <v>719</v>
      </c>
      <c r="D213" s="104"/>
      <c r="E213" s="23"/>
    </row>
    <row r="214" spans="1:5" ht="29.25" customHeight="1" hidden="1">
      <c r="A214" s="42" t="s">
        <v>700</v>
      </c>
      <c r="B214" s="52"/>
      <c r="C214" s="53" t="s">
        <v>720</v>
      </c>
      <c r="D214" s="104"/>
      <c r="E214" s="23"/>
    </row>
    <row r="215" spans="1:5" ht="45">
      <c r="A215" s="42" t="s">
        <v>114</v>
      </c>
      <c r="B215" s="52"/>
      <c r="C215" s="53" t="s">
        <v>36</v>
      </c>
      <c r="D215" s="104">
        <v>1.69524</v>
      </c>
      <c r="E215" s="23"/>
    </row>
    <row r="216" spans="1:5" ht="30.75" customHeight="1">
      <c r="A216" s="42" t="s">
        <v>756</v>
      </c>
      <c r="B216" s="52"/>
      <c r="C216" s="53" t="s">
        <v>478</v>
      </c>
      <c r="D216" s="104">
        <f>26.012+0.0008</f>
        <v>26.012800000000002</v>
      </c>
      <c r="E216" s="23"/>
    </row>
    <row r="217" spans="1:5" ht="30" hidden="1">
      <c r="A217" s="42" t="s">
        <v>115</v>
      </c>
      <c r="B217" s="52"/>
      <c r="C217" s="53">
        <v>9999951180</v>
      </c>
      <c r="D217" s="104"/>
      <c r="E217" s="46"/>
    </row>
    <row r="218" spans="1:5" ht="42.75" customHeight="1">
      <c r="A218" s="42" t="s">
        <v>662</v>
      </c>
      <c r="B218" s="52"/>
      <c r="C218" s="53" t="s">
        <v>590</v>
      </c>
      <c r="D218" s="104">
        <v>3.38708</v>
      </c>
      <c r="E218" s="46"/>
    </row>
    <row r="219" spans="1:5" ht="42.75" customHeight="1">
      <c r="A219" s="42" t="s">
        <v>643</v>
      </c>
      <c r="B219" s="52"/>
      <c r="C219" s="53" t="s">
        <v>583</v>
      </c>
      <c r="D219" s="104">
        <v>879.91987</v>
      </c>
      <c r="E219" s="80"/>
    </row>
    <row r="220" spans="1:5" ht="27.75" customHeight="1" hidden="1">
      <c r="A220" s="42" t="s">
        <v>765</v>
      </c>
      <c r="B220" s="52"/>
      <c r="C220" s="53" t="s">
        <v>771</v>
      </c>
      <c r="D220" s="104"/>
      <c r="E220" s="46"/>
    </row>
    <row r="221" spans="1:5" ht="29.25" customHeight="1" hidden="1">
      <c r="A221" s="42" t="s">
        <v>770</v>
      </c>
      <c r="B221" s="52"/>
      <c r="C221" s="53" t="s">
        <v>772</v>
      </c>
      <c r="D221" s="104"/>
      <c r="E221" s="46"/>
    </row>
    <row r="222" spans="1:5" ht="18.75" customHeight="1" hidden="1">
      <c r="A222" s="42"/>
      <c r="B222" s="52"/>
      <c r="C222" s="53"/>
      <c r="D222" s="104"/>
      <c r="E222" s="46"/>
    </row>
    <row r="223" spans="1:5" ht="15" customHeight="1">
      <c r="A223" s="42" t="s">
        <v>883</v>
      </c>
      <c r="B223" s="52"/>
      <c r="C223" s="53" t="s">
        <v>885</v>
      </c>
      <c r="D223" s="104">
        <v>307.152</v>
      </c>
      <c r="E223" s="179"/>
    </row>
    <row r="224" spans="1:5" ht="54.75" customHeight="1" hidden="1">
      <c r="A224" s="42" t="s">
        <v>789</v>
      </c>
      <c r="B224" s="52"/>
      <c r="C224" s="53" t="s">
        <v>790</v>
      </c>
      <c r="D224" s="104"/>
      <c r="E224" s="46"/>
    </row>
    <row r="225" spans="1:5" ht="16.5" customHeight="1">
      <c r="A225" s="78" t="s">
        <v>132</v>
      </c>
      <c r="B225" s="169"/>
      <c r="C225" s="170"/>
      <c r="D225" s="88">
        <f>SUM(D175:D207)+SUM(D210:D223)</f>
        <v>59983.65393</v>
      </c>
      <c r="E225" s="266"/>
    </row>
    <row r="226" spans="1:5" s="19" customFormat="1" ht="19.5" customHeight="1">
      <c r="A226" s="78" t="s">
        <v>116</v>
      </c>
      <c r="B226" s="169"/>
      <c r="C226" s="170"/>
      <c r="D226" s="88">
        <f>D225+D171</f>
        <v>573434.14744</v>
      </c>
      <c r="E226" s="267"/>
    </row>
    <row r="227" ht="15.75">
      <c r="D227" s="269"/>
    </row>
    <row r="228" ht="12.75">
      <c r="C228" s="186"/>
    </row>
    <row r="229" ht="12.75">
      <c r="C229" s="186"/>
    </row>
    <row r="230" spans="3:4" ht="12.75">
      <c r="C230" s="270"/>
      <c r="D230" s="206"/>
    </row>
    <row r="232" ht="12.75">
      <c r="C232" s="31"/>
    </row>
  </sheetData>
  <sheetProtection/>
  <mergeCells count="7">
    <mergeCell ref="A172:D172"/>
    <mergeCell ref="A6:D6"/>
    <mergeCell ref="A11:D11"/>
    <mergeCell ref="A1:D1"/>
    <mergeCell ref="A2:D2"/>
    <mergeCell ref="A3:D3"/>
    <mergeCell ref="A4:D4"/>
  </mergeCells>
  <printOptions/>
  <pageMargins left="0.7480314960629921" right="0.7480314960629921" top="0.984251968503937" bottom="0.7874015748031497" header="0.5118110236220472" footer="0.5118110236220472"/>
  <pageSetup fitToHeight="0" fitToWidth="1" horizontalDpi="600" verticalDpi="600" orientation="portrait" paperSize="9" scale="77" r:id="rId1"/>
  <rowBreaks count="3" manualBreakCount="3">
    <brk id="38" max="3" man="1"/>
    <brk id="101" max="3" man="1"/>
    <brk id="156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519"/>
  <sheetViews>
    <sheetView view="pageBreakPreview" zoomScaleSheetLayoutView="100" zoomScalePageLayoutView="0" workbookViewId="0" topLeftCell="A7">
      <selection activeCell="C17" sqref="C17:D19"/>
    </sheetView>
  </sheetViews>
  <sheetFormatPr defaultColWidth="9.25390625" defaultRowHeight="12.75"/>
  <cols>
    <col min="1" max="1" width="42.375" style="218" customWidth="1"/>
    <col min="2" max="2" width="21.00390625" style="218" customWidth="1"/>
    <col min="3" max="4" width="18.25390625" style="218" customWidth="1"/>
    <col min="5" max="5" width="5.25390625" style="271" hidden="1" customWidth="1"/>
    <col min="6" max="6" width="15.25390625" style="271" hidden="1" customWidth="1"/>
    <col min="7" max="7" width="13.75390625" style="271" hidden="1" customWidth="1"/>
    <col min="8" max="8" width="9.25390625" style="271" customWidth="1"/>
    <col min="9" max="9" width="9.375" style="271" bestFit="1" customWidth="1"/>
    <col min="10" max="16384" width="9.25390625" style="271" customWidth="1"/>
  </cols>
  <sheetData>
    <row r="1" spans="1:8" ht="17.25" customHeight="1">
      <c r="A1" s="10"/>
      <c r="B1" s="10"/>
      <c r="C1" s="10"/>
      <c r="D1" s="7" t="s">
        <v>925</v>
      </c>
      <c r="E1" s="10"/>
      <c r="F1" s="327"/>
      <c r="G1" s="327"/>
      <c r="H1" s="327"/>
    </row>
    <row r="2" spans="1:8" ht="16.5" customHeight="1">
      <c r="A2" s="327" t="s">
        <v>422</v>
      </c>
      <c r="B2" s="327"/>
      <c r="C2" s="327"/>
      <c r="D2" s="327"/>
      <c r="E2" s="327"/>
      <c r="F2" s="327"/>
      <c r="G2" s="327"/>
      <c r="H2" s="327"/>
    </row>
    <row r="3" spans="1:8" ht="15.75">
      <c r="A3" s="327" t="s">
        <v>423</v>
      </c>
      <c r="B3" s="327"/>
      <c r="C3" s="327"/>
      <c r="D3" s="327"/>
      <c r="E3" s="327"/>
      <c r="F3" s="327"/>
      <c r="G3" s="327"/>
      <c r="H3" s="327"/>
    </row>
    <row r="4" spans="1:8" ht="15.75">
      <c r="A4" s="297" t="s">
        <v>947</v>
      </c>
      <c r="B4" s="297"/>
      <c r="C4" s="297"/>
      <c r="D4" s="297"/>
      <c r="E4" s="297"/>
      <c r="F4" s="293"/>
      <c r="G4" s="293"/>
      <c r="H4" s="293"/>
    </row>
    <row r="5" spans="1:8" ht="15.75">
      <c r="A5" s="137"/>
      <c r="B5" s="137"/>
      <c r="C5" s="137"/>
      <c r="D5" s="137"/>
      <c r="E5" s="1"/>
      <c r="F5" s="1"/>
      <c r="G5" s="1"/>
      <c r="H5" s="1"/>
    </row>
    <row r="6" spans="1:5" ht="87" customHeight="1">
      <c r="A6" s="317" t="s">
        <v>540</v>
      </c>
      <c r="B6" s="317"/>
      <c r="C6" s="317"/>
      <c r="D6" s="317"/>
      <c r="E6" s="317"/>
    </row>
    <row r="7" spans="1:4" ht="22.5" customHeight="1">
      <c r="A7" s="272"/>
      <c r="B7" s="272"/>
      <c r="C7" s="272"/>
      <c r="D7" s="273" t="s">
        <v>145</v>
      </c>
    </row>
    <row r="8" spans="1:4" ht="18" customHeight="1">
      <c r="A8" s="328" t="s">
        <v>4</v>
      </c>
      <c r="B8" s="328" t="s">
        <v>684</v>
      </c>
      <c r="C8" s="328" t="s">
        <v>527</v>
      </c>
      <c r="D8" s="331" t="s">
        <v>10</v>
      </c>
    </row>
    <row r="9" spans="1:7" ht="36" customHeight="1">
      <c r="A9" s="329"/>
      <c r="B9" s="330"/>
      <c r="C9" s="330"/>
      <c r="D9" s="331"/>
      <c r="F9" s="274"/>
      <c r="G9" s="275"/>
    </row>
    <row r="10" spans="1:8" ht="27.75" customHeight="1">
      <c r="A10" s="276" t="s">
        <v>5</v>
      </c>
      <c r="B10" s="188">
        <v>7100.02</v>
      </c>
      <c r="C10" s="188">
        <v>131.672</v>
      </c>
      <c r="D10" s="277">
        <f aca="true" t="shared" si="0" ref="D10:D16">C10+B10</f>
        <v>7231.692</v>
      </c>
      <c r="E10" s="278" t="e">
        <f>D10+#REF!</f>
        <v>#REF!</v>
      </c>
      <c r="F10" s="275"/>
      <c r="G10" s="279"/>
      <c r="H10" s="280"/>
    </row>
    <row r="11" spans="1:8" ht="27.75" customHeight="1">
      <c r="A11" s="276" t="s">
        <v>257</v>
      </c>
      <c r="B11" s="188">
        <v>2786.856</v>
      </c>
      <c r="C11" s="188">
        <v>20.536</v>
      </c>
      <c r="D11" s="277">
        <f t="shared" si="0"/>
        <v>2807.3920000000003</v>
      </c>
      <c r="E11" s="278" t="e">
        <f>D11+#REF!</f>
        <v>#REF!</v>
      </c>
      <c r="F11" s="275"/>
      <c r="G11" s="279"/>
      <c r="H11" s="280"/>
    </row>
    <row r="12" spans="1:8" ht="27.75" customHeight="1">
      <c r="A12" s="276" t="s">
        <v>256</v>
      </c>
      <c r="B12" s="188">
        <v>43.35</v>
      </c>
      <c r="C12" s="188">
        <v>308.31</v>
      </c>
      <c r="D12" s="277">
        <f t="shared" si="0"/>
        <v>351.66</v>
      </c>
      <c r="E12" s="278" t="e">
        <f>D12+#REF!</f>
        <v>#REF!</v>
      </c>
      <c r="F12" s="281"/>
      <c r="G12" s="279"/>
      <c r="H12" s="280"/>
    </row>
    <row r="13" spans="1:8" ht="27.75" customHeight="1">
      <c r="A13" s="276" t="s">
        <v>7</v>
      </c>
      <c r="B13" s="188">
        <v>450.5</v>
      </c>
      <c r="C13" s="188">
        <f>2833.25+27.2</f>
        <v>2860.45</v>
      </c>
      <c r="D13" s="277">
        <f t="shared" si="0"/>
        <v>3310.95</v>
      </c>
      <c r="E13" s="278" t="e">
        <f>D13+#REF!</f>
        <v>#REF!</v>
      </c>
      <c r="F13" s="281"/>
      <c r="G13" s="279"/>
      <c r="H13" s="280"/>
    </row>
    <row r="14" spans="1:8" ht="27.75" customHeight="1">
      <c r="A14" s="276" t="s">
        <v>8</v>
      </c>
      <c r="B14" s="188">
        <v>789.65</v>
      </c>
      <c r="C14" s="188">
        <f>4246.137+28.9</f>
        <v>4275.036999999999</v>
      </c>
      <c r="D14" s="277">
        <f t="shared" si="0"/>
        <v>5064.686999999999</v>
      </c>
      <c r="E14" s="278" t="e">
        <f>D14+#REF!</f>
        <v>#REF!</v>
      </c>
      <c r="F14" s="281"/>
      <c r="G14" s="279"/>
      <c r="H14" s="280"/>
    </row>
    <row r="15" spans="1:8" ht="27.75" customHeight="1">
      <c r="A15" s="276" t="s">
        <v>9</v>
      </c>
      <c r="B15" s="188">
        <v>120.7</v>
      </c>
      <c r="C15" s="188">
        <f>987.72+4.25</f>
        <v>991.97</v>
      </c>
      <c r="D15" s="277">
        <f t="shared" si="0"/>
        <v>1112.67</v>
      </c>
      <c r="E15" s="278" t="e">
        <f>D15+#REF!</f>
        <v>#REF!</v>
      </c>
      <c r="F15" s="281"/>
      <c r="G15" s="279"/>
      <c r="H15" s="280"/>
    </row>
    <row r="16" spans="1:9" s="284" customFormat="1" ht="35.25" customHeight="1">
      <c r="A16" s="282" t="s">
        <v>10</v>
      </c>
      <c r="B16" s="283">
        <f>SUM(B10:B15)</f>
        <v>11291.076000000001</v>
      </c>
      <c r="C16" s="283">
        <f>SUM(C10:C15)</f>
        <v>8587.974999999999</v>
      </c>
      <c r="D16" s="283">
        <f t="shared" si="0"/>
        <v>19879.051</v>
      </c>
      <c r="F16" s="285"/>
      <c r="G16" s="286"/>
      <c r="I16" s="287"/>
    </row>
    <row r="17" spans="1:4" ht="15.75">
      <c r="A17" s="288"/>
      <c r="B17" s="288"/>
      <c r="C17" s="288"/>
      <c r="D17" s="288"/>
    </row>
    <row r="18" spans="1:4" ht="15.75">
      <c r="A18" s="288"/>
      <c r="B18" s="288"/>
      <c r="C18" s="289"/>
      <c r="D18" s="288"/>
    </row>
    <row r="19" spans="1:4" ht="15.75">
      <c r="A19" s="288"/>
      <c r="B19" s="288"/>
      <c r="C19" s="288"/>
      <c r="D19" s="288"/>
    </row>
    <row r="20" spans="1:4" ht="15.75">
      <c r="A20" s="288"/>
      <c r="B20" s="288"/>
      <c r="C20" s="288"/>
      <c r="D20" s="288"/>
    </row>
    <row r="21" spans="1:4" ht="15.75">
      <c r="A21" s="288"/>
      <c r="B21" s="288"/>
      <c r="C21" s="288"/>
      <c r="D21" s="288"/>
    </row>
    <row r="22" spans="1:4" ht="15.75">
      <c r="A22" s="288"/>
      <c r="B22" s="288"/>
      <c r="C22" s="288"/>
      <c r="D22" s="288"/>
    </row>
    <row r="23" spans="1:4" ht="15.75">
      <c r="A23" s="288"/>
      <c r="B23" s="288"/>
      <c r="C23" s="288"/>
      <c r="D23" s="288"/>
    </row>
    <row r="24" spans="1:4" ht="15.75">
      <c r="A24" s="288"/>
      <c r="B24" s="288"/>
      <c r="C24" s="288"/>
      <c r="D24" s="288"/>
    </row>
    <row r="25" spans="1:4" ht="15.75">
      <c r="A25" s="288"/>
      <c r="B25" s="288"/>
      <c r="C25" s="288"/>
      <c r="D25" s="288"/>
    </row>
    <row r="26" spans="1:4" ht="15.75">
      <c r="A26" s="288"/>
      <c r="B26" s="288"/>
      <c r="C26" s="288"/>
      <c r="D26" s="288"/>
    </row>
    <row r="27" spans="1:4" ht="15.75">
      <c r="A27" s="288"/>
      <c r="B27" s="288"/>
      <c r="C27" s="288"/>
      <c r="D27" s="288"/>
    </row>
    <row r="28" spans="1:4" ht="15.75">
      <c r="A28" s="288"/>
      <c r="B28" s="288"/>
      <c r="C28" s="288"/>
      <c r="D28" s="288"/>
    </row>
    <row r="29" spans="1:4" ht="15.75">
      <c r="A29" s="288"/>
      <c r="B29" s="288"/>
      <c r="C29" s="288"/>
      <c r="D29" s="288"/>
    </row>
    <row r="30" spans="1:4" ht="15.75">
      <c r="A30" s="288"/>
      <c r="B30" s="288"/>
      <c r="C30" s="288"/>
      <c r="D30" s="288"/>
    </row>
    <row r="31" spans="1:4" ht="15.75">
      <c r="A31" s="288"/>
      <c r="B31" s="288"/>
      <c r="C31" s="288"/>
      <c r="D31" s="288"/>
    </row>
    <row r="32" spans="1:4" ht="15.75">
      <c r="A32" s="288"/>
      <c r="B32" s="288"/>
      <c r="C32" s="288"/>
      <c r="D32" s="288"/>
    </row>
    <row r="33" spans="1:4" ht="15.75">
      <c r="A33" s="288"/>
      <c r="B33" s="288"/>
      <c r="C33" s="288"/>
      <c r="D33" s="288"/>
    </row>
    <row r="34" spans="1:4" ht="15.75">
      <c r="A34" s="288"/>
      <c r="B34" s="288"/>
      <c r="C34" s="288"/>
      <c r="D34" s="288"/>
    </row>
    <row r="35" spans="1:4" ht="15.75">
      <c r="A35" s="288"/>
      <c r="B35" s="288"/>
      <c r="C35" s="288"/>
      <c r="D35" s="288"/>
    </row>
    <row r="36" spans="1:4" ht="15.75">
      <c r="A36" s="288"/>
      <c r="B36" s="288"/>
      <c r="C36" s="288"/>
      <c r="D36" s="288"/>
    </row>
    <row r="37" spans="1:4" ht="15.75">
      <c r="A37" s="288"/>
      <c r="B37" s="288"/>
      <c r="C37" s="288"/>
      <c r="D37" s="288"/>
    </row>
    <row r="38" spans="1:4" ht="15.75">
      <c r="A38" s="288"/>
      <c r="B38" s="288"/>
      <c r="C38" s="288"/>
      <c r="D38" s="288"/>
    </row>
    <row r="39" spans="1:4" ht="15.75">
      <c r="A39" s="288"/>
      <c r="B39" s="288"/>
      <c r="C39" s="288"/>
      <c r="D39" s="288"/>
    </row>
    <row r="40" spans="1:4" ht="15.75">
      <c r="A40" s="288"/>
      <c r="B40" s="288"/>
      <c r="C40" s="288"/>
      <c r="D40" s="288"/>
    </row>
    <row r="41" spans="1:4" ht="15.75">
      <c r="A41" s="288"/>
      <c r="B41" s="288"/>
      <c r="C41" s="288"/>
      <c r="D41" s="288"/>
    </row>
    <row r="42" spans="1:4" ht="15.75">
      <c r="A42" s="288"/>
      <c r="B42" s="288"/>
      <c r="C42" s="288"/>
      <c r="D42" s="288"/>
    </row>
    <row r="43" spans="1:4" ht="15.75">
      <c r="A43" s="288"/>
      <c r="B43" s="288"/>
      <c r="C43" s="288"/>
      <c r="D43" s="288"/>
    </row>
    <row r="44" spans="1:4" ht="15.75">
      <c r="A44" s="288"/>
      <c r="B44" s="288"/>
      <c r="C44" s="288"/>
      <c r="D44" s="288"/>
    </row>
    <row r="45" spans="1:4" ht="15.75">
      <c r="A45" s="288"/>
      <c r="B45" s="288"/>
      <c r="C45" s="288"/>
      <c r="D45" s="288"/>
    </row>
    <row r="46" spans="1:4" ht="15.75">
      <c r="A46" s="288"/>
      <c r="B46" s="288"/>
      <c r="C46" s="288"/>
      <c r="D46" s="288"/>
    </row>
    <row r="47" spans="1:4" ht="15.75">
      <c r="A47" s="288"/>
      <c r="B47" s="288"/>
      <c r="C47" s="288"/>
      <c r="D47" s="288"/>
    </row>
    <row r="48" spans="1:4" ht="15.75">
      <c r="A48" s="288"/>
      <c r="B48" s="288"/>
      <c r="C48" s="288"/>
      <c r="D48" s="288"/>
    </row>
    <row r="49" spans="1:4" ht="15.75">
      <c r="A49" s="288"/>
      <c r="B49" s="288"/>
      <c r="C49" s="288"/>
      <c r="D49" s="288"/>
    </row>
    <row r="50" spans="1:4" ht="15.75">
      <c r="A50" s="288"/>
      <c r="B50" s="288"/>
      <c r="C50" s="288"/>
      <c r="D50" s="288"/>
    </row>
    <row r="51" spans="1:4" ht="15.75">
      <c r="A51" s="288"/>
      <c r="B51" s="288"/>
      <c r="C51" s="288"/>
      <c r="D51" s="288"/>
    </row>
    <row r="52" spans="1:4" ht="15.75">
      <c r="A52" s="288"/>
      <c r="B52" s="288"/>
      <c r="C52" s="288"/>
      <c r="D52" s="288"/>
    </row>
    <row r="53" spans="1:4" ht="15.75">
      <c r="A53" s="288"/>
      <c r="B53" s="288"/>
      <c r="C53" s="288"/>
      <c r="D53" s="288"/>
    </row>
    <row r="54" spans="1:4" ht="15.75">
      <c r="A54" s="288"/>
      <c r="B54" s="288"/>
      <c r="C54" s="288"/>
      <c r="D54" s="288"/>
    </row>
    <row r="55" spans="1:4" ht="15.75">
      <c r="A55" s="288"/>
      <c r="B55" s="288"/>
      <c r="C55" s="288"/>
      <c r="D55" s="288"/>
    </row>
    <row r="56" spans="1:4" ht="15.75">
      <c r="A56" s="288"/>
      <c r="B56" s="288"/>
      <c r="C56" s="288"/>
      <c r="D56" s="288"/>
    </row>
    <row r="57" spans="1:4" ht="15.75">
      <c r="A57" s="288"/>
      <c r="B57" s="288"/>
      <c r="C57" s="288"/>
      <c r="D57" s="288"/>
    </row>
    <row r="58" spans="1:4" ht="15.75">
      <c r="A58" s="288"/>
      <c r="B58" s="288"/>
      <c r="C58" s="288"/>
      <c r="D58" s="288"/>
    </row>
    <row r="59" spans="1:4" ht="15.75">
      <c r="A59" s="288"/>
      <c r="B59" s="288"/>
      <c r="C59" s="288"/>
      <c r="D59" s="288"/>
    </row>
    <row r="60" spans="1:4" ht="15.75">
      <c r="A60" s="288"/>
      <c r="B60" s="288"/>
      <c r="C60" s="288"/>
      <c r="D60" s="288"/>
    </row>
    <row r="61" spans="1:4" ht="15.75">
      <c r="A61" s="288"/>
      <c r="B61" s="288"/>
      <c r="C61" s="288"/>
      <c r="D61" s="288"/>
    </row>
    <row r="62" spans="1:4" ht="15.75">
      <c r="A62" s="288"/>
      <c r="B62" s="288"/>
      <c r="C62" s="288"/>
      <c r="D62" s="288"/>
    </row>
    <row r="63" spans="1:4" ht="15.75">
      <c r="A63" s="288"/>
      <c r="B63" s="288"/>
      <c r="C63" s="288"/>
      <c r="D63" s="288"/>
    </row>
    <row r="64" spans="1:4" ht="15.75">
      <c r="A64" s="288"/>
      <c r="B64" s="288"/>
      <c r="C64" s="288"/>
      <c r="D64" s="288"/>
    </row>
    <row r="65" spans="1:4" ht="15.75">
      <c r="A65" s="288"/>
      <c r="B65" s="288"/>
      <c r="C65" s="288"/>
      <c r="D65" s="288"/>
    </row>
    <row r="66" spans="1:4" ht="15.75">
      <c r="A66" s="288"/>
      <c r="B66" s="288"/>
      <c r="C66" s="288"/>
      <c r="D66" s="288"/>
    </row>
    <row r="67" spans="1:4" ht="15.75">
      <c r="A67" s="288"/>
      <c r="B67" s="288"/>
      <c r="C67" s="288"/>
      <c r="D67" s="288"/>
    </row>
    <row r="68" spans="1:4" ht="15.75">
      <c r="A68" s="288"/>
      <c r="B68" s="288"/>
      <c r="C68" s="288"/>
      <c r="D68" s="288"/>
    </row>
    <row r="69" spans="1:4" ht="15.75">
      <c r="A69" s="288"/>
      <c r="B69" s="288"/>
      <c r="C69" s="288"/>
      <c r="D69" s="288"/>
    </row>
    <row r="70" spans="1:4" ht="15.75">
      <c r="A70" s="288"/>
      <c r="B70" s="288"/>
      <c r="C70" s="288"/>
      <c r="D70" s="288"/>
    </row>
    <row r="71" spans="1:4" ht="15.75">
      <c r="A71" s="288"/>
      <c r="B71" s="288"/>
      <c r="C71" s="288"/>
      <c r="D71" s="288"/>
    </row>
    <row r="72" spans="1:4" ht="15.75">
      <c r="A72" s="288"/>
      <c r="B72" s="288"/>
      <c r="C72" s="288"/>
      <c r="D72" s="288"/>
    </row>
    <row r="73" spans="1:4" ht="15.75">
      <c r="A73" s="288"/>
      <c r="B73" s="288"/>
      <c r="C73" s="288"/>
      <c r="D73" s="288"/>
    </row>
    <row r="74" spans="1:4" ht="15.75">
      <c r="A74" s="288"/>
      <c r="B74" s="288"/>
      <c r="C74" s="288"/>
      <c r="D74" s="288"/>
    </row>
    <row r="75" spans="1:4" ht="15.75">
      <c r="A75" s="288"/>
      <c r="B75" s="288"/>
      <c r="C75" s="288"/>
      <c r="D75" s="288"/>
    </row>
    <row r="76" spans="1:4" ht="15.75">
      <c r="A76" s="288"/>
      <c r="B76" s="288"/>
      <c r="C76" s="288"/>
      <c r="D76" s="288"/>
    </row>
    <row r="77" spans="1:4" ht="15.75">
      <c r="A77" s="288"/>
      <c r="B77" s="288"/>
      <c r="C77" s="288"/>
      <c r="D77" s="288"/>
    </row>
    <row r="78" spans="1:4" ht="15.75">
      <c r="A78" s="288"/>
      <c r="B78" s="288"/>
      <c r="C78" s="288"/>
      <c r="D78" s="288"/>
    </row>
    <row r="79" spans="1:4" ht="15.75">
      <c r="A79" s="288"/>
      <c r="B79" s="288"/>
      <c r="C79" s="288"/>
      <c r="D79" s="288"/>
    </row>
    <row r="80" spans="1:4" ht="15.75">
      <c r="A80" s="288"/>
      <c r="B80" s="288"/>
      <c r="C80" s="288"/>
      <c r="D80" s="288"/>
    </row>
    <row r="81" spans="1:4" ht="15.75">
      <c r="A81" s="288"/>
      <c r="B81" s="288"/>
      <c r="C81" s="288"/>
      <c r="D81" s="288"/>
    </row>
    <row r="82" spans="1:4" ht="15.75">
      <c r="A82" s="288"/>
      <c r="B82" s="288"/>
      <c r="C82" s="288"/>
      <c r="D82" s="288"/>
    </row>
    <row r="83" spans="1:4" ht="15.75">
      <c r="A83" s="288"/>
      <c r="B83" s="288"/>
      <c r="C83" s="288"/>
      <c r="D83" s="288"/>
    </row>
    <row r="84" spans="1:4" ht="15.75">
      <c r="A84" s="288"/>
      <c r="B84" s="288"/>
      <c r="C84" s="288"/>
      <c r="D84" s="288"/>
    </row>
    <row r="85" spans="1:4" ht="15.75">
      <c r="A85" s="288"/>
      <c r="B85" s="288"/>
      <c r="C85" s="288"/>
      <c r="D85" s="288"/>
    </row>
    <row r="86" spans="1:4" ht="15.75">
      <c r="A86" s="288"/>
      <c r="B86" s="288"/>
      <c r="C86" s="288"/>
      <c r="D86" s="288"/>
    </row>
    <row r="87" spans="1:4" ht="15.75">
      <c r="A87" s="288"/>
      <c r="B87" s="288"/>
      <c r="C87" s="288"/>
      <c r="D87" s="288"/>
    </row>
    <row r="88" spans="1:4" ht="15.75">
      <c r="A88" s="288"/>
      <c r="B88" s="288"/>
      <c r="C88" s="288"/>
      <c r="D88" s="288"/>
    </row>
    <row r="89" spans="1:4" ht="15.75">
      <c r="A89" s="288"/>
      <c r="B89" s="288"/>
      <c r="C89" s="288"/>
      <c r="D89" s="288"/>
    </row>
    <row r="90" spans="1:4" ht="15.75">
      <c r="A90" s="288"/>
      <c r="B90" s="288"/>
      <c r="C90" s="288"/>
      <c r="D90" s="288"/>
    </row>
    <row r="91" spans="1:4" ht="15.75">
      <c r="A91" s="288"/>
      <c r="B91" s="288"/>
      <c r="C91" s="288"/>
      <c r="D91" s="288"/>
    </row>
    <row r="92" spans="1:4" ht="15.75">
      <c r="A92" s="288"/>
      <c r="B92" s="288"/>
      <c r="C92" s="288"/>
      <c r="D92" s="288"/>
    </row>
    <row r="93" spans="1:4" ht="15.75">
      <c r="A93" s="288"/>
      <c r="B93" s="288"/>
      <c r="C93" s="288"/>
      <c r="D93" s="288"/>
    </row>
    <row r="94" spans="1:4" ht="15.75">
      <c r="A94" s="288"/>
      <c r="B94" s="288"/>
      <c r="C94" s="288"/>
      <c r="D94" s="288"/>
    </row>
    <row r="95" spans="1:4" ht="15.75">
      <c r="A95" s="288"/>
      <c r="B95" s="288"/>
      <c r="C95" s="288"/>
      <c r="D95" s="288"/>
    </row>
    <row r="96" spans="1:4" ht="15.75">
      <c r="A96" s="288"/>
      <c r="B96" s="288"/>
      <c r="C96" s="288"/>
      <c r="D96" s="288"/>
    </row>
    <row r="97" spans="1:4" ht="15.75">
      <c r="A97" s="288"/>
      <c r="B97" s="288"/>
      <c r="C97" s="288"/>
      <c r="D97" s="288"/>
    </row>
    <row r="98" spans="1:4" ht="15.75">
      <c r="A98" s="288"/>
      <c r="B98" s="288"/>
      <c r="C98" s="288"/>
      <c r="D98" s="288"/>
    </row>
    <row r="99" spans="1:4" ht="15.75">
      <c r="A99" s="288"/>
      <c r="B99" s="288"/>
      <c r="C99" s="288"/>
      <c r="D99" s="288"/>
    </row>
    <row r="100" spans="1:4" ht="15.75">
      <c r="A100" s="288"/>
      <c r="B100" s="288"/>
      <c r="C100" s="288"/>
      <c r="D100" s="288"/>
    </row>
    <row r="101" spans="1:4" ht="15.75">
      <c r="A101" s="288"/>
      <c r="B101" s="288"/>
      <c r="C101" s="288"/>
      <c r="D101" s="288"/>
    </row>
    <row r="102" spans="1:4" ht="15.75">
      <c r="A102" s="288"/>
      <c r="B102" s="288"/>
      <c r="C102" s="288"/>
      <c r="D102" s="288"/>
    </row>
    <row r="103" spans="1:4" ht="15.75">
      <c r="A103" s="288"/>
      <c r="B103" s="288"/>
      <c r="C103" s="288"/>
      <c r="D103" s="288"/>
    </row>
    <row r="104" spans="1:4" ht="15.75">
      <c r="A104" s="288"/>
      <c r="B104" s="288"/>
      <c r="C104" s="288"/>
      <c r="D104" s="288"/>
    </row>
    <row r="105" spans="1:4" ht="15.75">
      <c r="A105" s="288"/>
      <c r="B105" s="288"/>
      <c r="C105" s="288"/>
      <c r="D105" s="288"/>
    </row>
    <row r="106" spans="1:4" ht="15.75">
      <c r="A106" s="288"/>
      <c r="B106" s="288"/>
      <c r="C106" s="288"/>
      <c r="D106" s="288"/>
    </row>
    <row r="107" spans="1:4" ht="15.75">
      <c r="A107" s="288"/>
      <c r="B107" s="288"/>
      <c r="C107" s="288"/>
      <c r="D107" s="288"/>
    </row>
    <row r="108" spans="1:4" ht="15.75">
      <c r="A108" s="288"/>
      <c r="B108" s="288"/>
      <c r="C108" s="288"/>
      <c r="D108" s="288"/>
    </row>
    <row r="109" spans="1:4" ht="15.75">
      <c r="A109" s="288"/>
      <c r="B109" s="288"/>
      <c r="C109" s="288"/>
      <c r="D109" s="288"/>
    </row>
    <row r="110" spans="1:4" ht="15.75">
      <c r="A110" s="288"/>
      <c r="B110" s="288"/>
      <c r="C110" s="288"/>
      <c r="D110" s="288"/>
    </row>
    <row r="111" spans="1:4" ht="15.75">
      <c r="A111" s="288"/>
      <c r="B111" s="288"/>
      <c r="C111" s="288"/>
      <c r="D111" s="288"/>
    </row>
    <row r="112" spans="1:4" ht="15.75">
      <c r="A112" s="288"/>
      <c r="B112" s="288"/>
      <c r="C112" s="288"/>
      <c r="D112" s="288"/>
    </row>
    <row r="113" spans="1:4" ht="15.75">
      <c r="A113" s="288"/>
      <c r="B113" s="288"/>
      <c r="C113" s="288"/>
      <c r="D113" s="288"/>
    </row>
    <row r="114" spans="1:4" ht="15.75">
      <c r="A114" s="288"/>
      <c r="B114" s="288"/>
      <c r="C114" s="288"/>
      <c r="D114" s="288"/>
    </row>
    <row r="115" spans="1:4" ht="15.75">
      <c r="A115" s="288"/>
      <c r="B115" s="288"/>
      <c r="C115" s="288"/>
      <c r="D115" s="288"/>
    </row>
    <row r="116" spans="1:4" ht="15.75">
      <c r="A116" s="288"/>
      <c r="B116" s="288"/>
      <c r="C116" s="288"/>
      <c r="D116" s="288"/>
    </row>
    <row r="117" spans="1:4" ht="15.75">
      <c r="A117" s="288"/>
      <c r="B117" s="288"/>
      <c r="C117" s="288"/>
      <c r="D117" s="288"/>
    </row>
    <row r="118" spans="1:4" ht="15.75">
      <c r="A118" s="288"/>
      <c r="B118" s="288"/>
      <c r="C118" s="288"/>
      <c r="D118" s="288"/>
    </row>
    <row r="119" spans="1:4" ht="15.75">
      <c r="A119" s="288"/>
      <c r="B119" s="288"/>
      <c r="C119" s="288"/>
      <c r="D119" s="288"/>
    </row>
    <row r="120" spans="1:4" ht="15.75">
      <c r="A120" s="288"/>
      <c r="B120" s="288"/>
      <c r="C120" s="288"/>
      <c r="D120" s="288"/>
    </row>
    <row r="121" spans="1:4" ht="15.75">
      <c r="A121" s="288"/>
      <c r="B121" s="288"/>
      <c r="C121" s="288"/>
      <c r="D121" s="288"/>
    </row>
    <row r="122" spans="1:4" ht="15.75">
      <c r="A122" s="288"/>
      <c r="B122" s="288"/>
      <c r="C122" s="288"/>
      <c r="D122" s="288"/>
    </row>
    <row r="123" spans="1:4" ht="15.75">
      <c r="A123" s="288"/>
      <c r="B123" s="288"/>
      <c r="C123" s="288"/>
      <c r="D123" s="288"/>
    </row>
    <row r="124" spans="1:4" ht="15.75">
      <c r="A124" s="288"/>
      <c r="B124" s="288"/>
      <c r="C124" s="288"/>
      <c r="D124" s="288"/>
    </row>
    <row r="125" spans="1:4" ht="15.75">
      <c r="A125" s="288"/>
      <c r="B125" s="288"/>
      <c r="C125" s="288"/>
      <c r="D125" s="288"/>
    </row>
    <row r="126" spans="1:4" ht="15.75">
      <c r="A126" s="288"/>
      <c r="B126" s="288"/>
      <c r="C126" s="288"/>
      <c r="D126" s="288"/>
    </row>
    <row r="127" spans="1:4" ht="15.75">
      <c r="A127" s="288"/>
      <c r="B127" s="288"/>
      <c r="C127" s="288"/>
      <c r="D127" s="288"/>
    </row>
    <row r="128" spans="1:4" ht="15.75">
      <c r="A128" s="288"/>
      <c r="B128" s="288"/>
      <c r="C128" s="288"/>
      <c r="D128" s="288"/>
    </row>
    <row r="129" spans="1:4" ht="15.75">
      <c r="A129" s="288"/>
      <c r="B129" s="288"/>
      <c r="C129" s="288"/>
      <c r="D129" s="288"/>
    </row>
    <row r="130" spans="1:4" ht="15.75">
      <c r="A130" s="288"/>
      <c r="B130" s="288"/>
      <c r="C130" s="288"/>
      <c r="D130" s="288"/>
    </row>
    <row r="131" spans="1:4" ht="15.75">
      <c r="A131" s="288"/>
      <c r="B131" s="288"/>
      <c r="C131" s="288"/>
      <c r="D131" s="288"/>
    </row>
    <row r="132" spans="1:4" ht="15.75">
      <c r="A132" s="288"/>
      <c r="B132" s="288"/>
      <c r="C132" s="288"/>
      <c r="D132" s="288"/>
    </row>
    <row r="133" spans="1:4" ht="15.75">
      <c r="A133" s="288"/>
      <c r="B133" s="288"/>
      <c r="C133" s="288"/>
      <c r="D133" s="288"/>
    </row>
    <row r="134" spans="1:4" ht="15.75">
      <c r="A134" s="288"/>
      <c r="B134" s="288"/>
      <c r="C134" s="288"/>
      <c r="D134" s="288"/>
    </row>
    <row r="135" spans="1:4" ht="15.75">
      <c r="A135" s="288"/>
      <c r="B135" s="288"/>
      <c r="C135" s="288"/>
      <c r="D135" s="288"/>
    </row>
    <row r="136" spans="1:4" ht="15.75">
      <c r="A136" s="288"/>
      <c r="B136" s="288"/>
      <c r="C136" s="288"/>
      <c r="D136" s="288"/>
    </row>
    <row r="137" spans="1:4" ht="15.75">
      <c r="A137" s="288"/>
      <c r="B137" s="288"/>
      <c r="C137" s="288"/>
      <c r="D137" s="288"/>
    </row>
    <row r="138" spans="1:4" ht="15.75">
      <c r="A138" s="288"/>
      <c r="B138" s="288"/>
      <c r="C138" s="288"/>
      <c r="D138" s="288"/>
    </row>
    <row r="139" spans="1:4" ht="15.75">
      <c r="A139" s="288"/>
      <c r="B139" s="288"/>
      <c r="C139" s="288"/>
      <c r="D139" s="288"/>
    </row>
    <row r="140" spans="1:4" ht="15.75">
      <c r="A140" s="288"/>
      <c r="B140" s="288"/>
      <c r="C140" s="288"/>
      <c r="D140" s="288"/>
    </row>
    <row r="141" spans="1:4" ht="15.75">
      <c r="A141" s="288"/>
      <c r="B141" s="288"/>
      <c r="C141" s="288"/>
      <c r="D141" s="288"/>
    </row>
    <row r="142" spans="1:4" ht="15.75">
      <c r="A142" s="288"/>
      <c r="B142" s="288"/>
      <c r="C142" s="288"/>
      <c r="D142" s="288"/>
    </row>
    <row r="143" spans="1:4" ht="15.75">
      <c r="A143" s="288"/>
      <c r="B143" s="288"/>
      <c r="C143" s="288"/>
      <c r="D143" s="288"/>
    </row>
    <row r="144" spans="1:4" ht="15.75">
      <c r="A144" s="288"/>
      <c r="B144" s="288"/>
      <c r="C144" s="288"/>
      <c r="D144" s="288"/>
    </row>
    <row r="145" spans="1:4" ht="15.75">
      <c r="A145" s="288"/>
      <c r="B145" s="288"/>
      <c r="C145" s="288"/>
      <c r="D145" s="288"/>
    </row>
    <row r="146" spans="1:4" ht="15.75">
      <c r="A146" s="288"/>
      <c r="B146" s="288"/>
      <c r="C146" s="288"/>
      <c r="D146" s="288"/>
    </row>
    <row r="147" spans="1:4" ht="15.75">
      <c r="A147" s="288"/>
      <c r="B147" s="288"/>
      <c r="C147" s="288"/>
      <c r="D147" s="288"/>
    </row>
    <row r="148" spans="1:4" ht="15.75">
      <c r="A148" s="288"/>
      <c r="B148" s="288"/>
      <c r="C148" s="288"/>
      <c r="D148" s="288"/>
    </row>
    <row r="149" spans="1:4" ht="15.75">
      <c r="A149" s="288"/>
      <c r="B149" s="288"/>
      <c r="C149" s="288"/>
      <c r="D149" s="288"/>
    </row>
    <row r="150" spans="1:4" ht="15.75">
      <c r="A150" s="288"/>
      <c r="B150" s="288"/>
      <c r="C150" s="288"/>
      <c r="D150" s="288"/>
    </row>
    <row r="151" spans="1:4" ht="15.75">
      <c r="A151" s="288"/>
      <c r="B151" s="288"/>
      <c r="C151" s="288"/>
      <c r="D151" s="288"/>
    </row>
    <row r="152" spans="1:4" ht="15.75">
      <c r="A152" s="288"/>
      <c r="B152" s="288"/>
      <c r="C152" s="288"/>
      <c r="D152" s="288"/>
    </row>
    <row r="153" spans="1:4" ht="15.75">
      <c r="A153" s="288"/>
      <c r="B153" s="288"/>
      <c r="C153" s="288"/>
      <c r="D153" s="288"/>
    </row>
    <row r="154" spans="1:4" ht="15.75">
      <c r="A154" s="288"/>
      <c r="B154" s="288"/>
      <c r="C154" s="288"/>
      <c r="D154" s="288"/>
    </row>
    <row r="155" spans="1:4" ht="15.75">
      <c r="A155" s="288"/>
      <c r="B155" s="288"/>
      <c r="C155" s="288"/>
      <c r="D155" s="288"/>
    </row>
    <row r="156" spans="1:4" ht="15.75">
      <c r="A156" s="288"/>
      <c r="B156" s="288"/>
      <c r="C156" s="288"/>
      <c r="D156" s="288"/>
    </row>
    <row r="157" spans="1:4" ht="15.75">
      <c r="A157" s="288"/>
      <c r="B157" s="288"/>
      <c r="C157" s="288"/>
      <c r="D157" s="288"/>
    </row>
    <row r="158" spans="1:4" ht="15.75">
      <c r="A158" s="288"/>
      <c r="B158" s="288"/>
      <c r="C158" s="288"/>
      <c r="D158" s="288"/>
    </row>
    <row r="159" spans="1:4" ht="15.75">
      <c r="A159" s="288"/>
      <c r="B159" s="288"/>
      <c r="C159" s="288"/>
      <c r="D159" s="288"/>
    </row>
    <row r="160" spans="1:4" ht="15.75">
      <c r="A160" s="288"/>
      <c r="B160" s="288"/>
      <c r="C160" s="288"/>
      <c r="D160" s="288"/>
    </row>
    <row r="161" spans="1:4" ht="15.75">
      <c r="A161" s="288"/>
      <c r="B161" s="288"/>
      <c r="C161" s="288"/>
      <c r="D161" s="288"/>
    </row>
    <row r="162" spans="1:4" ht="15.75">
      <c r="A162" s="288"/>
      <c r="B162" s="288"/>
      <c r="C162" s="288"/>
      <c r="D162" s="288"/>
    </row>
    <row r="163" spans="1:4" ht="15.75">
      <c r="A163" s="288"/>
      <c r="B163" s="288"/>
      <c r="C163" s="288"/>
      <c r="D163" s="288"/>
    </row>
    <row r="164" spans="1:4" ht="15.75">
      <c r="A164" s="288"/>
      <c r="B164" s="288"/>
      <c r="C164" s="288"/>
      <c r="D164" s="288"/>
    </row>
    <row r="165" spans="1:4" ht="15.75">
      <c r="A165" s="288"/>
      <c r="B165" s="288"/>
      <c r="C165" s="288"/>
      <c r="D165" s="288"/>
    </row>
    <row r="166" spans="1:4" ht="15.75">
      <c r="A166" s="288"/>
      <c r="B166" s="288"/>
      <c r="C166" s="288"/>
      <c r="D166" s="288"/>
    </row>
    <row r="167" spans="1:4" ht="15.75">
      <c r="A167" s="288"/>
      <c r="B167" s="288"/>
      <c r="C167" s="288"/>
      <c r="D167" s="288"/>
    </row>
    <row r="168" spans="1:4" ht="15.75">
      <c r="A168" s="288"/>
      <c r="B168" s="288"/>
      <c r="C168" s="288"/>
      <c r="D168" s="288"/>
    </row>
    <row r="169" spans="1:4" ht="15.75">
      <c r="A169" s="288"/>
      <c r="B169" s="288"/>
      <c r="C169" s="288"/>
      <c r="D169" s="288"/>
    </row>
    <row r="170" spans="1:4" ht="15.75">
      <c r="A170" s="288"/>
      <c r="B170" s="288"/>
      <c r="C170" s="288"/>
      <c r="D170" s="288"/>
    </row>
    <row r="171" spans="1:4" ht="15.75">
      <c r="A171" s="288"/>
      <c r="B171" s="288"/>
      <c r="C171" s="288"/>
      <c r="D171" s="288"/>
    </row>
    <row r="172" spans="1:4" ht="15.75">
      <c r="A172" s="288"/>
      <c r="B172" s="288"/>
      <c r="C172" s="288"/>
      <c r="D172" s="288"/>
    </row>
    <row r="173" spans="1:4" ht="15.75">
      <c r="A173" s="288"/>
      <c r="B173" s="288"/>
      <c r="C173" s="288"/>
      <c r="D173" s="288"/>
    </row>
    <row r="174" spans="1:4" ht="15.75">
      <c r="A174" s="288"/>
      <c r="B174" s="288"/>
      <c r="C174" s="288"/>
      <c r="D174" s="288"/>
    </row>
    <row r="175" spans="1:4" ht="15.75">
      <c r="A175" s="288"/>
      <c r="B175" s="288"/>
      <c r="C175" s="288"/>
      <c r="D175" s="288"/>
    </row>
    <row r="176" spans="1:4" ht="15.75">
      <c r="A176" s="288"/>
      <c r="B176" s="288"/>
      <c r="C176" s="288"/>
      <c r="D176" s="288"/>
    </row>
    <row r="177" spans="1:4" ht="15.75">
      <c r="A177" s="288"/>
      <c r="B177" s="288"/>
      <c r="C177" s="288"/>
      <c r="D177" s="288"/>
    </row>
    <row r="178" spans="1:4" ht="15.75">
      <c r="A178" s="288"/>
      <c r="B178" s="288"/>
      <c r="C178" s="288"/>
      <c r="D178" s="288"/>
    </row>
    <row r="179" spans="1:4" ht="15.75">
      <c r="A179" s="288"/>
      <c r="B179" s="288"/>
      <c r="C179" s="288"/>
      <c r="D179" s="288"/>
    </row>
    <row r="180" spans="1:4" ht="15.75">
      <c r="A180" s="288"/>
      <c r="B180" s="288"/>
      <c r="C180" s="288"/>
      <c r="D180" s="288"/>
    </row>
    <row r="181" spans="1:4" ht="15.75">
      <c r="A181" s="288"/>
      <c r="B181" s="288"/>
      <c r="C181" s="288"/>
      <c r="D181" s="288"/>
    </row>
    <row r="182" spans="1:4" ht="15.75">
      <c r="A182" s="288"/>
      <c r="B182" s="288"/>
      <c r="C182" s="288"/>
      <c r="D182" s="288"/>
    </row>
    <row r="183" spans="1:4" ht="15.75">
      <c r="A183" s="288"/>
      <c r="B183" s="288"/>
      <c r="C183" s="288"/>
      <c r="D183" s="288"/>
    </row>
    <row r="184" spans="1:4" ht="15.75">
      <c r="A184" s="288"/>
      <c r="B184" s="288"/>
      <c r="C184" s="288"/>
      <c r="D184" s="288"/>
    </row>
    <row r="185" spans="1:4" ht="15.75">
      <c r="A185" s="288"/>
      <c r="B185" s="288"/>
      <c r="C185" s="288"/>
      <c r="D185" s="288"/>
    </row>
    <row r="186" spans="1:4" ht="15.75">
      <c r="A186" s="288"/>
      <c r="B186" s="288"/>
      <c r="C186" s="288"/>
      <c r="D186" s="288"/>
    </row>
    <row r="187" spans="1:4" ht="15.75">
      <c r="A187" s="288"/>
      <c r="B187" s="288"/>
      <c r="C187" s="288"/>
      <c r="D187" s="288"/>
    </row>
    <row r="188" spans="1:4" ht="15.75">
      <c r="A188" s="288"/>
      <c r="B188" s="288"/>
      <c r="C188" s="288"/>
      <c r="D188" s="288"/>
    </row>
    <row r="189" spans="1:4" ht="15.75">
      <c r="A189" s="288"/>
      <c r="B189" s="288"/>
      <c r="C189" s="288"/>
      <c r="D189" s="288"/>
    </row>
    <row r="190" spans="1:4" ht="15.75">
      <c r="A190" s="288"/>
      <c r="B190" s="288"/>
      <c r="C190" s="288"/>
      <c r="D190" s="288"/>
    </row>
    <row r="191" spans="1:4" ht="15.75">
      <c r="A191" s="288"/>
      <c r="B191" s="288"/>
      <c r="C191" s="288"/>
      <c r="D191" s="288"/>
    </row>
    <row r="192" spans="1:4" ht="15.75">
      <c r="A192" s="288"/>
      <c r="B192" s="288"/>
      <c r="C192" s="288"/>
      <c r="D192" s="288"/>
    </row>
    <row r="193" spans="1:4" ht="15.75">
      <c r="A193" s="288"/>
      <c r="B193" s="288"/>
      <c r="C193" s="288"/>
      <c r="D193" s="288"/>
    </row>
    <row r="194" spans="1:4" ht="15.75">
      <c r="A194" s="288"/>
      <c r="B194" s="288"/>
      <c r="C194" s="288"/>
      <c r="D194" s="288"/>
    </row>
    <row r="195" spans="1:4" ht="15.75">
      <c r="A195" s="288"/>
      <c r="B195" s="288"/>
      <c r="C195" s="288"/>
      <c r="D195" s="288"/>
    </row>
    <row r="196" spans="1:4" ht="15.75">
      <c r="A196" s="288"/>
      <c r="B196" s="288"/>
      <c r="C196" s="288"/>
      <c r="D196" s="288"/>
    </row>
    <row r="197" spans="1:4" ht="15.75">
      <c r="A197" s="288"/>
      <c r="B197" s="288"/>
      <c r="C197" s="288"/>
      <c r="D197" s="288"/>
    </row>
    <row r="198" spans="1:4" ht="15.75">
      <c r="A198" s="288"/>
      <c r="B198" s="288"/>
      <c r="C198" s="288"/>
      <c r="D198" s="288"/>
    </row>
    <row r="199" spans="1:4" ht="15.75">
      <c r="A199" s="288"/>
      <c r="B199" s="288"/>
      <c r="C199" s="288"/>
      <c r="D199" s="288"/>
    </row>
    <row r="200" spans="1:4" ht="15.75">
      <c r="A200" s="288"/>
      <c r="B200" s="288"/>
      <c r="C200" s="288"/>
      <c r="D200" s="288"/>
    </row>
    <row r="201" spans="1:4" ht="15.75">
      <c r="A201" s="288"/>
      <c r="B201" s="288"/>
      <c r="C201" s="288"/>
      <c r="D201" s="288"/>
    </row>
    <row r="202" spans="1:4" ht="15.75">
      <c r="A202" s="288"/>
      <c r="B202" s="288"/>
      <c r="C202" s="288"/>
      <c r="D202" s="288"/>
    </row>
    <row r="203" spans="1:4" ht="15.75">
      <c r="A203" s="288"/>
      <c r="B203" s="288"/>
      <c r="C203" s="288"/>
      <c r="D203" s="288"/>
    </row>
    <row r="204" spans="1:4" ht="15.75">
      <c r="A204" s="288"/>
      <c r="B204" s="288"/>
      <c r="C204" s="288"/>
      <c r="D204" s="288"/>
    </row>
    <row r="205" spans="1:4" ht="15.75">
      <c r="A205" s="288"/>
      <c r="B205" s="288"/>
      <c r="C205" s="288"/>
      <c r="D205" s="288"/>
    </row>
    <row r="206" spans="1:4" ht="15.75">
      <c r="A206" s="288"/>
      <c r="B206" s="288"/>
      <c r="C206" s="288"/>
      <c r="D206" s="288"/>
    </row>
    <row r="207" spans="1:4" ht="15.75">
      <c r="A207" s="288"/>
      <c r="B207" s="288"/>
      <c r="C207" s="288"/>
      <c r="D207" s="288"/>
    </row>
    <row r="208" spans="1:4" ht="15.75">
      <c r="A208" s="288"/>
      <c r="B208" s="288"/>
      <c r="C208" s="288"/>
      <c r="D208" s="288"/>
    </row>
    <row r="209" spans="1:4" ht="15.75">
      <c r="A209" s="288"/>
      <c r="B209" s="288"/>
      <c r="C209" s="288"/>
      <c r="D209" s="288"/>
    </row>
    <row r="210" spans="1:4" ht="15.75">
      <c r="A210" s="288"/>
      <c r="B210" s="288"/>
      <c r="C210" s="288"/>
      <c r="D210" s="288"/>
    </row>
    <row r="211" spans="1:4" ht="15.75">
      <c r="A211" s="288"/>
      <c r="B211" s="288"/>
      <c r="C211" s="288"/>
      <c r="D211" s="288"/>
    </row>
    <row r="212" spans="1:4" ht="15.75">
      <c r="A212" s="288"/>
      <c r="B212" s="288"/>
      <c r="C212" s="288"/>
      <c r="D212" s="288"/>
    </row>
    <row r="213" spans="1:4" ht="15.75">
      <c r="A213" s="288"/>
      <c r="B213" s="288"/>
      <c r="C213" s="288"/>
      <c r="D213" s="288"/>
    </row>
    <row r="214" spans="1:4" ht="15.75">
      <c r="A214" s="288"/>
      <c r="B214" s="288"/>
      <c r="C214" s="288"/>
      <c r="D214" s="288"/>
    </row>
    <row r="215" spans="1:4" ht="15.75">
      <c r="A215" s="288"/>
      <c r="B215" s="288"/>
      <c r="C215" s="288"/>
      <c r="D215" s="288"/>
    </row>
    <row r="216" spans="1:4" ht="15.75">
      <c r="A216" s="288"/>
      <c r="B216" s="288"/>
      <c r="C216" s="288"/>
      <c r="D216" s="288"/>
    </row>
    <row r="217" spans="1:4" ht="15.75">
      <c r="A217" s="288"/>
      <c r="B217" s="288"/>
      <c r="C217" s="288"/>
      <c r="D217" s="288"/>
    </row>
    <row r="218" spans="1:4" ht="15.75">
      <c r="A218" s="288"/>
      <c r="B218" s="288"/>
      <c r="C218" s="288"/>
      <c r="D218" s="288"/>
    </row>
    <row r="219" spans="1:4" ht="15.75">
      <c r="A219" s="288"/>
      <c r="B219" s="288"/>
      <c r="C219" s="288"/>
      <c r="D219" s="288"/>
    </row>
    <row r="220" spans="1:4" ht="15.75">
      <c r="A220" s="288"/>
      <c r="B220" s="288"/>
      <c r="C220" s="288"/>
      <c r="D220" s="288"/>
    </row>
    <row r="221" spans="1:4" ht="15.75">
      <c r="A221" s="288"/>
      <c r="B221" s="288"/>
      <c r="C221" s="288"/>
      <c r="D221" s="288"/>
    </row>
    <row r="222" spans="1:4" ht="15.75">
      <c r="A222" s="288"/>
      <c r="B222" s="288"/>
      <c r="C222" s="288"/>
      <c r="D222" s="288"/>
    </row>
    <row r="223" spans="1:4" ht="15.75">
      <c r="A223" s="288"/>
      <c r="B223" s="288"/>
      <c r="C223" s="288"/>
      <c r="D223" s="288"/>
    </row>
    <row r="224" spans="1:4" ht="15.75">
      <c r="A224" s="288"/>
      <c r="B224" s="288"/>
      <c r="C224" s="288"/>
      <c r="D224" s="288"/>
    </row>
    <row r="225" spans="1:4" ht="15.75">
      <c r="A225" s="288"/>
      <c r="B225" s="288"/>
      <c r="C225" s="288"/>
      <c r="D225" s="288"/>
    </row>
    <row r="226" spans="1:4" ht="15.75">
      <c r="A226" s="288"/>
      <c r="B226" s="288"/>
      <c r="C226" s="288"/>
      <c r="D226" s="288"/>
    </row>
    <row r="227" spans="1:4" ht="15.75">
      <c r="A227" s="288"/>
      <c r="B227" s="288"/>
      <c r="C227" s="288"/>
      <c r="D227" s="288"/>
    </row>
    <row r="228" spans="1:4" ht="15.75">
      <c r="A228" s="288"/>
      <c r="B228" s="288"/>
      <c r="C228" s="288"/>
      <c r="D228" s="288"/>
    </row>
    <row r="229" spans="1:4" ht="15.75">
      <c r="A229" s="288"/>
      <c r="B229" s="288"/>
      <c r="C229" s="288"/>
      <c r="D229" s="288"/>
    </row>
    <row r="230" spans="1:4" ht="15.75">
      <c r="A230" s="288"/>
      <c r="B230" s="288"/>
      <c r="C230" s="288"/>
      <c r="D230" s="288"/>
    </row>
    <row r="231" spans="1:4" ht="15.75">
      <c r="A231" s="288"/>
      <c r="B231" s="288"/>
      <c r="C231" s="288"/>
      <c r="D231" s="288"/>
    </row>
    <row r="232" spans="1:4" ht="15.75">
      <c r="A232" s="288"/>
      <c r="B232" s="288"/>
      <c r="C232" s="288"/>
      <c r="D232" s="288"/>
    </row>
    <row r="233" spans="1:4" ht="15.75">
      <c r="A233" s="288"/>
      <c r="B233" s="288"/>
      <c r="C233" s="288"/>
      <c r="D233" s="288"/>
    </row>
    <row r="234" spans="1:4" ht="15.75">
      <c r="A234" s="288"/>
      <c r="B234" s="288"/>
      <c r="C234" s="288"/>
      <c r="D234" s="288"/>
    </row>
    <row r="235" spans="1:4" ht="15.75">
      <c r="A235" s="288"/>
      <c r="B235" s="288"/>
      <c r="C235" s="288"/>
      <c r="D235" s="288"/>
    </row>
    <row r="236" spans="1:4" ht="15.75">
      <c r="A236" s="288"/>
      <c r="B236" s="288"/>
      <c r="C236" s="288"/>
      <c r="D236" s="288"/>
    </row>
    <row r="237" spans="1:4" ht="15.75">
      <c r="A237" s="288"/>
      <c r="B237" s="288"/>
      <c r="C237" s="288"/>
      <c r="D237" s="288"/>
    </row>
    <row r="238" spans="1:4" ht="15.75">
      <c r="A238" s="288"/>
      <c r="B238" s="288"/>
      <c r="C238" s="288"/>
      <c r="D238" s="288"/>
    </row>
    <row r="239" spans="1:4" ht="15.75">
      <c r="A239" s="288"/>
      <c r="B239" s="288"/>
      <c r="C239" s="288"/>
      <c r="D239" s="288"/>
    </row>
    <row r="240" spans="1:4" ht="15.75">
      <c r="A240" s="288"/>
      <c r="B240" s="288"/>
      <c r="C240" s="288"/>
      <c r="D240" s="288"/>
    </row>
    <row r="241" spans="1:4" ht="15.75">
      <c r="A241" s="288"/>
      <c r="B241" s="288"/>
      <c r="C241" s="288"/>
      <c r="D241" s="288"/>
    </row>
    <row r="242" spans="1:4" ht="15.75">
      <c r="A242" s="288"/>
      <c r="B242" s="288"/>
      <c r="C242" s="288"/>
      <c r="D242" s="288"/>
    </row>
    <row r="243" spans="1:4" ht="15.75">
      <c r="A243" s="288"/>
      <c r="B243" s="288"/>
      <c r="C243" s="288"/>
      <c r="D243" s="288"/>
    </row>
    <row r="244" spans="1:4" ht="15.75">
      <c r="A244" s="288"/>
      <c r="B244" s="288"/>
      <c r="C244" s="288"/>
      <c r="D244" s="288"/>
    </row>
    <row r="245" spans="1:4" ht="15.75">
      <c r="A245" s="288"/>
      <c r="B245" s="288"/>
      <c r="C245" s="288"/>
      <c r="D245" s="288"/>
    </row>
    <row r="246" spans="1:4" ht="15.75">
      <c r="A246" s="288"/>
      <c r="B246" s="288"/>
      <c r="C246" s="288"/>
      <c r="D246" s="288"/>
    </row>
    <row r="247" spans="1:4" ht="15.75">
      <c r="A247" s="288"/>
      <c r="B247" s="288"/>
      <c r="C247" s="288"/>
      <c r="D247" s="288"/>
    </row>
    <row r="248" spans="1:4" ht="15.75">
      <c r="A248" s="288"/>
      <c r="B248" s="288"/>
      <c r="C248" s="288"/>
      <c r="D248" s="288"/>
    </row>
    <row r="249" spans="1:4" ht="15.75">
      <c r="A249" s="288"/>
      <c r="B249" s="288"/>
      <c r="C249" s="288"/>
      <c r="D249" s="288"/>
    </row>
    <row r="250" spans="1:4" ht="15.75">
      <c r="A250" s="288"/>
      <c r="B250" s="288"/>
      <c r="C250" s="288"/>
      <c r="D250" s="288"/>
    </row>
    <row r="251" spans="1:4" ht="15.75">
      <c r="A251" s="288"/>
      <c r="B251" s="288"/>
      <c r="C251" s="288"/>
      <c r="D251" s="288"/>
    </row>
    <row r="252" spans="1:4" ht="15.75">
      <c r="A252" s="288"/>
      <c r="B252" s="288"/>
      <c r="C252" s="288"/>
      <c r="D252" s="288"/>
    </row>
    <row r="253" spans="1:4" ht="15.75">
      <c r="A253" s="288"/>
      <c r="B253" s="288"/>
      <c r="C253" s="288"/>
      <c r="D253" s="288"/>
    </row>
    <row r="254" spans="1:4" ht="15.75">
      <c r="A254" s="288"/>
      <c r="B254" s="288"/>
      <c r="C254" s="288"/>
      <c r="D254" s="288"/>
    </row>
    <row r="255" spans="1:4" ht="15.75">
      <c r="A255" s="288"/>
      <c r="B255" s="288"/>
      <c r="C255" s="288"/>
      <c r="D255" s="288"/>
    </row>
    <row r="256" spans="1:4" ht="15.75">
      <c r="A256" s="288"/>
      <c r="B256" s="288"/>
      <c r="C256" s="288"/>
      <c r="D256" s="288"/>
    </row>
    <row r="257" spans="1:4" ht="15.75">
      <c r="A257" s="288"/>
      <c r="B257" s="288"/>
      <c r="C257" s="288"/>
      <c r="D257" s="288"/>
    </row>
    <row r="258" spans="1:4" ht="15.75">
      <c r="A258" s="288"/>
      <c r="B258" s="288"/>
      <c r="C258" s="288"/>
      <c r="D258" s="288"/>
    </row>
    <row r="259" spans="1:4" ht="15.75">
      <c r="A259" s="288"/>
      <c r="B259" s="288"/>
      <c r="C259" s="288"/>
      <c r="D259" s="288"/>
    </row>
    <row r="260" spans="1:4" ht="15.75">
      <c r="A260" s="288"/>
      <c r="B260" s="288"/>
      <c r="C260" s="288"/>
      <c r="D260" s="288"/>
    </row>
    <row r="261" spans="1:4" ht="15.75">
      <c r="A261" s="288"/>
      <c r="B261" s="288"/>
      <c r="C261" s="288"/>
      <c r="D261" s="288"/>
    </row>
    <row r="262" spans="1:4" ht="15.75">
      <c r="A262" s="288"/>
      <c r="B262" s="288"/>
      <c r="C262" s="288"/>
      <c r="D262" s="288"/>
    </row>
    <row r="263" spans="1:4" ht="15.75">
      <c r="A263" s="288"/>
      <c r="B263" s="288"/>
      <c r="C263" s="288"/>
      <c r="D263" s="288"/>
    </row>
    <row r="264" spans="1:4" ht="15.75">
      <c r="A264" s="288"/>
      <c r="B264" s="288"/>
      <c r="C264" s="288"/>
      <c r="D264" s="288"/>
    </row>
    <row r="265" spans="1:4" ht="15.75">
      <c r="A265" s="288"/>
      <c r="B265" s="288"/>
      <c r="C265" s="288"/>
      <c r="D265" s="288"/>
    </row>
    <row r="266" spans="1:4" ht="15.75">
      <c r="A266" s="288"/>
      <c r="B266" s="288"/>
      <c r="C266" s="288"/>
      <c r="D266" s="288"/>
    </row>
    <row r="267" spans="1:4" ht="15.75">
      <c r="A267" s="288"/>
      <c r="B267" s="288"/>
      <c r="C267" s="288"/>
      <c r="D267" s="288"/>
    </row>
    <row r="268" spans="1:4" ht="15.75">
      <c r="A268" s="288"/>
      <c r="B268" s="288"/>
      <c r="C268" s="288"/>
      <c r="D268" s="288"/>
    </row>
    <row r="269" spans="1:4" ht="15.75">
      <c r="A269" s="288"/>
      <c r="B269" s="288"/>
      <c r="C269" s="288"/>
      <c r="D269" s="288"/>
    </row>
    <row r="270" spans="1:4" ht="15.75">
      <c r="A270" s="288"/>
      <c r="B270" s="288"/>
      <c r="C270" s="288"/>
      <c r="D270" s="288"/>
    </row>
    <row r="271" spans="1:4" ht="15.75">
      <c r="A271" s="288"/>
      <c r="B271" s="288"/>
      <c r="C271" s="288"/>
      <c r="D271" s="288"/>
    </row>
    <row r="272" spans="1:4" ht="15.75">
      <c r="A272" s="288"/>
      <c r="B272" s="288"/>
      <c r="C272" s="288"/>
      <c r="D272" s="288"/>
    </row>
    <row r="273" spans="1:4" ht="15.75">
      <c r="A273" s="288"/>
      <c r="B273" s="288"/>
      <c r="C273" s="288"/>
      <c r="D273" s="288"/>
    </row>
    <row r="274" spans="1:4" ht="15.75">
      <c r="A274" s="288"/>
      <c r="B274" s="288"/>
      <c r="C274" s="288"/>
      <c r="D274" s="288"/>
    </row>
    <row r="275" spans="1:4" ht="15.75">
      <c r="A275" s="288"/>
      <c r="B275" s="288"/>
      <c r="C275" s="288"/>
      <c r="D275" s="288"/>
    </row>
    <row r="276" spans="1:4" ht="15.75">
      <c r="A276" s="288"/>
      <c r="B276" s="288"/>
      <c r="C276" s="288"/>
      <c r="D276" s="288"/>
    </row>
    <row r="277" spans="1:4" ht="15.75">
      <c r="A277" s="288"/>
      <c r="B277" s="288"/>
      <c r="C277" s="288"/>
      <c r="D277" s="288"/>
    </row>
    <row r="278" spans="1:4" ht="15.75">
      <c r="A278" s="288"/>
      <c r="B278" s="288"/>
      <c r="C278" s="288"/>
      <c r="D278" s="288"/>
    </row>
    <row r="279" spans="1:4" ht="15.75">
      <c r="A279" s="288"/>
      <c r="B279" s="288"/>
      <c r="C279" s="288"/>
      <c r="D279" s="288"/>
    </row>
    <row r="280" spans="1:4" ht="15.75">
      <c r="A280" s="288"/>
      <c r="B280" s="288"/>
      <c r="C280" s="288"/>
      <c r="D280" s="288"/>
    </row>
    <row r="281" spans="1:4" ht="15.75">
      <c r="A281" s="288"/>
      <c r="B281" s="288"/>
      <c r="C281" s="288"/>
      <c r="D281" s="288"/>
    </row>
    <row r="282" spans="1:4" ht="15.75">
      <c r="A282" s="288"/>
      <c r="B282" s="288"/>
      <c r="C282" s="288"/>
      <c r="D282" s="288"/>
    </row>
    <row r="283" spans="1:4" ht="15.75">
      <c r="A283" s="288"/>
      <c r="B283" s="288"/>
      <c r="C283" s="288"/>
      <c r="D283" s="288"/>
    </row>
    <row r="284" spans="1:4" ht="15.75">
      <c r="A284" s="288"/>
      <c r="B284" s="288"/>
      <c r="C284" s="288"/>
      <c r="D284" s="288"/>
    </row>
    <row r="285" spans="1:4" ht="15.75">
      <c r="A285" s="288"/>
      <c r="B285" s="288"/>
      <c r="C285" s="288"/>
      <c r="D285" s="288"/>
    </row>
    <row r="286" spans="1:4" ht="15.75">
      <c r="A286" s="288"/>
      <c r="B286" s="288"/>
      <c r="C286" s="288"/>
      <c r="D286" s="288"/>
    </row>
    <row r="287" spans="1:4" ht="15.75">
      <c r="A287" s="288"/>
      <c r="B287" s="288"/>
      <c r="C287" s="288"/>
      <c r="D287" s="288"/>
    </row>
    <row r="288" spans="1:4" ht="15.75">
      <c r="A288" s="288"/>
      <c r="B288" s="288"/>
      <c r="C288" s="288"/>
      <c r="D288" s="288"/>
    </row>
    <row r="289" spans="1:4" ht="15.75">
      <c r="A289" s="288"/>
      <c r="B289" s="288"/>
      <c r="C289" s="288"/>
      <c r="D289" s="288"/>
    </row>
    <row r="290" spans="1:4" ht="15.75">
      <c r="A290" s="288"/>
      <c r="B290" s="288"/>
      <c r="C290" s="288"/>
      <c r="D290" s="288"/>
    </row>
    <row r="291" spans="1:4" ht="15.75">
      <c r="A291" s="288"/>
      <c r="B291" s="288"/>
      <c r="C291" s="288"/>
      <c r="D291" s="288"/>
    </row>
    <row r="292" spans="1:4" ht="15.75">
      <c r="A292" s="288"/>
      <c r="B292" s="288"/>
      <c r="C292" s="288"/>
      <c r="D292" s="288"/>
    </row>
    <row r="293" spans="1:4" ht="15.75">
      <c r="A293" s="288"/>
      <c r="B293" s="288"/>
      <c r="C293" s="288"/>
      <c r="D293" s="288"/>
    </row>
    <row r="294" spans="1:4" ht="15.75">
      <c r="A294" s="288"/>
      <c r="B294" s="288"/>
      <c r="C294" s="288"/>
      <c r="D294" s="288"/>
    </row>
    <row r="295" spans="1:4" ht="15.75">
      <c r="A295" s="288"/>
      <c r="B295" s="288"/>
      <c r="C295" s="288"/>
      <c r="D295" s="288"/>
    </row>
    <row r="296" spans="1:4" ht="15.75">
      <c r="A296" s="288"/>
      <c r="B296" s="288"/>
      <c r="C296" s="288"/>
      <c r="D296" s="288"/>
    </row>
    <row r="297" spans="1:4" ht="15.75">
      <c r="A297" s="288"/>
      <c r="B297" s="288"/>
      <c r="C297" s="288"/>
      <c r="D297" s="288"/>
    </row>
    <row r="298" spans="1:4" ht="15.75">
      <c r="A298" s="288"/>
      <c r="B298" s="288"/>
      <c r="C298" s="288"/>
      <c r="D298" s="288"/>
    </row>
    <row r="299" spans="1:4" ht="15.75">
      <c r="A299" s="288"/>
      <c r="B299" s="288"/>
      <c r="C299" s="288"/>
      <c r="D299" s="288"/>
    </row>
    <row r="300" spans="1:4" ht="15.75">
      <c r="A300" s="288"/>
      <c r="B300" s="288"/>
      <c r="C300" s="288"/>
      <c r="D300" s="288"/>
    </row>
    <row r="301" spans="1:4" ht="15.75">
      <c r="A301" s="288"/>
      <c r="B301" s="288"/>
      <c r="C301" s="288"/>
      <c r="D301" s="288"/>
    </row>
    <row r="302" spans="1:4" ht="15.75">
      <c r="A302" s="288"/>
      <c r="B302" s="288"/>
      <c r="C302" s="288"/>
      <c r="D302" s="288"/>
    </row>
    <row r="303" spans="1:4" ht="15.75">
      <c r="A303" s="288"/>
      <c r="B303" s="288"/>
      <c r="C303" s="288"/>
      <c r="D303" s="288"/>
    </row>
    <row r="304" spans="1:4" ht="15.75">
      <c r="A304" s="288"/>
      <c r="B304" s="288"/>
      <c r="C304" s="288"/>
      <c r="D304" s="288"/>
    </row>
    <row r="305" spans="1:4" ht="15.75">
      <c r="A305" s="288"/>
      <c r="B305" s="288"/>
      <c r="C305" s="288"/>
      <c r="D305" s="288"/>
    </row>
    <row r="306" spans="1:4" ht="15.75">
      <c r="A306" s="288"/>
      <c r="B306" s="288"/>
      <c r="C306" s="288"/>
      <c r="D306" s="288"/>
    </row>
    <row r="307" spans="1:4" ht="15.75">
      <c r="A307" s="288"/>
      <c r="B307" s="288"/>
      <c r="C307" s="288"/>
      <c r="D307" s="288"/>
    </row>
    <row r="308" spans="1:4" ht="15.75">
      <c r="A308" s="288"/>
      <c r="B308" s="288"/>
      <c r="C308" s="288"/>
      <c r="D308" s="288"/>
    </row>
    <row r="309" spans="1:4" ht="15.75">
      <c r="A309" s="288"/>
      <c r="B309" s="288"/>
      <c r="C309" s="288"/>
      <c r="D309" s="288"/>
    </row>
    <row r="310" spans="1:4" ht="15.75">
      <c r="A310" s="288"/>
      <c r="B310" s="288"/>
      <c r="C310" s="288"/>
      <c r="D310" s="288"/>
    </row>
    <row r="311" spans="1:4" ht="15.75">
      <c r="A311" s="288"/>
      <c r="B311" s="288"/>
      <c r="C311" s="288"/>
      <c r="D311" s="288"/>
    </row>
    <row r="312" spans="1:4" ht="15.75">
      <c r="A312" s="288"/>
      <c r="B312" s="288"/>
      <c r="C312" s="288"/>
      <c r="D312" s="288"/>
    </row>
    <row r="313" spans="1:4" ht="15.75">
      <c r="A313" s="288"/>
      <c r="B313" s="288"/>
      <c r="C313" s="288"/>
      <c r="D313" s="288"/>
    </row>
    <row r="314" spans="1:4" ht="15.75">
      <c r="A314" s="288"/>
      <c r="B314" s="288"/>
      <c r="C314" s="288"/>
      <c r="D314" s="288"/>
    </row>
    <row r="315" spans="1:4" ht="15.75">
      <c r="A315" s="288"/>
      <c r="B315" s="288"/>
      <c r="C315" s="288"/>
      <c r="D315" s="288"/>
    </row>
    <row r="316" spans="1:4" ht="15.75">
      <c r="A316" s="288"/>
      <c r="B316" s="288"/>
      <c r="C316" s="288"/>
      <c r="D316" s="288"/>
    </row>
    <row r="317" spans="1:4" ht="15.75">
      <c r="A317" s="288"/>
      <c r="B317" s="288"/>
      <c r="C317" s="288"/>
      <c r="D317" s="288"/>
    </row>
    <row r="318" spans="1:4" ht="15.75">
      <c r="A318" s="288"/>
      <c r="B318" s="288"/>
      <c r="C318" s="288"/>
      <c r="D318" s="288"/>
    </row>
    <row r="319" spans="1:4" ht="15.75">
      <c r="A319" s="288"/>
      <c r="B319" s="288"/>
      <c r="C319" s="288"/>
      <c r="D319" s="288"/>
    </row>
    <row r="320" spans="1:4" ht="15.75">
      <c r="A320" s="288"/>
      <c r="B320" s="288"/>
      <c r="C320" s="288"/>
      <c r="D320" s="288"/>
    </row>
    <row r="321" spans="1:4" ht="15.75">
      <c r="A321" s="288"/>
      <c r="B321" s="288"/>
      <c r="C321" s="288"/>
      <c r="D321" s="288"/>
    </row>
    <row r="322" spans="1:4" ht="15.75">
      <c r="A322" s="288"/>
      <c r="B322" s="288"/>
      <c r="C322" s="288"/>
      <c r="D322" s="288"/>
    </row>
    <row r="323" spans="1:4" ht="15.75">
      <c r="A323" s="288"/>
      <c r="B323" s="288"/>
      <c r="C323" s="288"/>
      <c r="D323" s="288"/>
    </row>
    <row r="324" spans="1:4" ht="15.75">
      <c r="A324" s="288"/>
      <c r="B324" s="288"/>
      <c r="C324" s="288"/>
      <c r="D324" s="288"/>
    </row>
    <row r="325" spans="1:4" ht="15.75">
      <c r="A325" s="288"/>
      <c r="B325" s="288"/>
      <c r="C325" s="288"/>
      <c r="D325" s="288"/>
    </row>
    <row r="326" spans="1:4" ht="15.75">
      <c r="A326" s="288"/>
      <c r="B326" s="288"/>
      <c r="C326" s="288"/>
      <c r="D326" s="288"/>
    </row>
    <row r="327" spans="1:4" ht="15.75">
      <c r="A327" s="288"/>
      <c r="B327" s="288"/>
      <c r="C327" s="288"/>
      <c r="D327" s="288"/>
    </row>
    <row r="328" spans="1:4" ht="15.75">
      <c r="A328" s="288"/>
      <c r="B328" s="288"/>
      <c r="C328" s="288"/>
      <c r="D328" s="288"/>
    </row>
    <row r="329" spans="1:4" ht="15.75">
      <c r="A329" s="288"/>
      <c r="B329" s="288"/>
      <c r="C329" s="288"/>
      <c r="D329" s="288"/>
    </row>
    <row r="330" spans="1:4" ht="15.75">
      <c r="A330" s="288"/>
      <c r="B330" s="288"/>
      <c r="C330" s="288"/>
      <c r="D330" s="288"/>
    </row>
    <row r="331" spans="1:4" ht="15.75">
      <c r="A331" s="288"/>
      <c r="B331" s="288"/>
      <c r="C331" s="288"/>
      <c r="D331" s="288"/>
    </row>
    <row r="332" spans="1:4" ht="15.75">
      <c r="A332" s="288"/>
      <c r="B332" s="288"/>
      <c r="C332" s="288"/>
      <c r="D332" s="288"/>
    </row>
    <row r="333" spans="1:4" ht="15.75">
      <c r="A333" s="288"/>
      <c r="B333" s="288"/>
      <c r="C333" s="288"/>
      <c r="D333" s="288"/>
    </row>
    <row r="334" spans="1:4" ht="15.75">
      <c r="A334" s="288"/>
      <c r="B334" s="288"/>
      <c r="C334" s="288"/>
      <c r="D334" s="288"/>
    </row>
    <row r="335" spans="1:4" ht="15.75">
      <c r="A335" s="288"/>
      <c r="B335" s="288"/>
      <c r="C335" s="288"/>
      <c r="D335" s="288"/>
    </row>
    <row r="336" spans="1:4" ht="15.75">
      <c r="A336" s="288"/>
      <c r="B336" s="288"/>
      <c r="C336" s="288"/>
      <c r="D336" s="288"/>
    </row>
    <row r="337" spans="1:4" ht="15.75">
      <c r="A337" s="288"/>
      <c r="B337" s="288"/>
      <c r="C337" s="288"/>
      <c r="D337" s="288"/>
    </row>
    <row r="338" spans="1:4" ht="15.75">
      <c r="A338" s="288"/>
      <c r="B338" s="288"/>
      <c r="C338" s="288"/>
      <c r="D338" s="288"/>
    </row>
    <row r="339" spans="1:4" ht="15.75">
      <c r="A339" s="288"/>
      <c r="B339" s="288"/>
      <c r="C339" s="288"/>
      <c r="D339" s="288"/>
    </row>
    <row r="340" spans="1:4" ht="15.75">
      <c r="A340" s="288"/>
      <c r="B340" s="288"/>
      <c r="C340" s="288"/>
      <c r="D340" s="288"/>
    </row>
    <row r="341" spans="1:4" ht="15.75">
      <c r="A341" s="288"/>
      <c r="B341" s="288"/>
      <c r="C341" s="288"/>
      <c r="D341" s="288"/>
    </row>
    <row r="342" spans="1:4" ht="15.75">
      <c r="A342" s="288"/>
      <c r="B342" s="288"/>
      <c r="C342" s="288"/>
      <c r="D342" s="288"/>
    </row>
    <row r="343" spans="1:4" ht="15.75">
      <c r="A343" s="288"/>
      <c r="B343" s="288"/>
      <c r="C343" s="288"/>
      <c r="D343" s="288"/>
    </row>
    <row r="344" spans="1:4" ht="15.75">
      <c r="A344" s="288"/>
      <c r="B344" s="288"/>
      <c r="C344" s="288"/>
      <c r="D344" s="288"/>
    </row>
    <row r="345" spans="1:4" ht="15.75">
      <c r="A345" s="288"/>
      <c r="B345" s="288"/>
      <c r="C345" s="288"/>
      <c r="D345" s="288"/>
    </row>
    <row r="346" spans="1:4" ht="15.75">
      <c r="A346" s="288"/>
      <c r="B346" s="288"/>
      <c r="C346" s="288"/>
      <c r="D346" s="288"/>
    </row>
    <row r="347" spans="1:4" ht="15.75">
      <c r="A347" s="288"/>
      <c r="B347" s="288"/>
      <c r="C347" s="288"/>
      <c r="D347" s="288"/>
    </row>
    <row r="348" spans="1:4" ht="15.75">
      <c r="A348" s="288"/>
      <c r="B348" s="288"/>
      <c r="C348" s="288"/>
      <c r="D348" s="288"/>
    </row>
    <row r="349" spans="1:4" ht="15.75">
      <c r="A349" s="288"/>
      <c r="B349" s="288"/>
      <c r="C349" s="288"/>
      <c r="D349" s="288"/>
    </row>
    <row r="350" spans="1:4" ht="15.75">
      <c r="A350" s="288"/>
      <c r="B350" s="288"/>
      <c r="C350" s="288"/>
      <c r="D350" s="288"/>
    </row>
    <row r="351" spans="1:4" ht="15.75">
      <c r="A351" s="288"/>
      <c r="B351" s="288"/>
      <c r="C351" s="288"/>
      <c r="D351" s="288"/>
    </row>
    <row r="352" spans="1:4" ht="15.75">
      <c r="A352" s="288"/>
      <c r="B352" s="288"/>
      <c r="C352" s="288"/>
      <c r="D352" s="288"/>
    </row>
    <row r="353" spans="1:4" ht="15.75">
      <c r="A353" s="288"/>
      <c r="B353" s="288"/>
      <c r="C353" s="288"/>
      <c r="D353" s="288"/>
    </row>
    <row r="354" spans="1:4" ht="15.75">
      <c r="A354" s="288"/>
      <c r="B354" s="288"/>
      <c r="C354" s="288"/>
      <c r="D354" s="288"/>
    </row>
    <row r="355" spans="1:4" ht="15.75">
      <c r="A355" s="288"/>
      <c r="B355" s="288"/>
      <c r="C355" s="288"/>
      <c r="D355" s="288"/>
    </row>
    <row r="356" spans="1:4" ht="15.75">
      <c r="A356" s="288"/>
      <c r="B356" s="288"/>
      <c r="C356" s="288"/>
      <c r="D356" s="288"/>
    </row>
    <row r="357" spans="1:4" ht="15.75">
      <c r="A357" s="288"/>
      <c r="B357" s="288"/>
      <c r="C357" s="288"/>
      <c r="D357" s="288"/>
    </row>
    <row r="358" spans="1:4" ht="15.75">
      <c r="A358" s="288"/>
      <c r="B358" s="288"/>
      <c r="C358" s="288"/>
      <c r="D358" s="288"/>
    </row>
    <row r="359" spans="1:4" ht="15.75">
      <c r="A359" s="288"/>
      <c r="B359" s="288"/>
      <c r="C359" s="288"/>
      <c r="D359" s="288"/>
    </row>
    <row r="360" spans="1:4" ht="15.75">
      <c r="A360" s="288"/>
      <c r="B360" s="288"/>
      <c r="C360" s="288"/>
      <c r="D360" s="288"/>
    </row>
    <row r="361" spans="1:4" ht="15.75">
      <c r="A361" s="288"/>
      <c r="B361" s="288"/>
      <c r="C361" s="288"/>
      <c r="D361" s="288"/>
    </row>
    <row r="362" spans="1:4" ht="15.75">
      <c r="A362" s="288"/>
      <c r="B362" s="288"/>
      <c r="C362" s="288"/>
      <c r="D362" s="288"/>
    </row>
    <row r="363" spans="1:4" ht="15.75">
      <c r="A363" s="288"/>
      <c r="B363" s="288"/>
      <c r="C363" s="288"/>
      <c r="D363" s="288"/>
    </row>
    <row r="364" spans="1:4" ht="15.75">
      <c r="A364" s="288"/>
      <c r="B364" s="288"/>
      <c r="C364" s="288"/>
      <c r="D364" s="288"/>
    </row>
    <row r="365" spans="1:4" ht="15.75">
      <c r="A365" s="288"/>
      <c r="B365" s="288"/>
      <c r="C365" s="288"/>
      <c r="D365" s="288"/>
    </row>
    <row r="366" spans="1:4" ht="15.75">
      <c r="A366" s="288"/>
      <c r="B366" s="288"/>
      <c r="C366" s="288"/>
      <c r="D366" s="288"/>
    </row>
    <row r="367" spans="1:4" ht="15.75">
      <c r="A367" s="288"/>
      <c r="B367" s="288"/>
      <c r="C367" s="288"/>
      <c r="D367" s="288"/>
    </row>
    <row r="368" spans="1:4" ht="15.75">
      <c r="A368" s="288"/>
      <c r="B368" s="288"/>
      <c r="C368" s="288"/>
      <c r="D368" s="288"/>
    </row>
    <row r="369" spans="1:4" ht="15.75">
      <c r="A369" s="288"/>
      <c r="B369" s="288"/>
      <c r="C369" s="288"/>
      <c r="D369" s="288"/>
    </row>
    <row r="370" spans="1:4" ht="15.75">
      <c r="A370" s="288"/>
      <c r="B370" s="288"/>
      <c r="C370" s="288"/>
      <c r="D370" s="288"/>
    </row>
    <row r="371" spans="1:4" ht="15.75">
      <c r="A371" s="288"/>
      <c r="B371" s="288"/>
      <c r="C371" s="288"/>
      <c r="D371" s="288"/>
    </row>
    <row r="372" spans="1:4" ht="15.75">
      <c r="A372" s="288"/>
      <c r="B372" s="288"/>
      <c r="C372" s="288"/>
      <c r="D372" s="288"/>
    </row>
    <row r="373" spans="1:4" ht="15.75">
      <c r="A373" s="288"/>
      <c r="B373" s="288"/>
      <c r="C373" s="288"/>
      <c r="D373" s="288"/>
    </row>
    <row r="374" spans="1:4" ht="15.75">
      <c r="A374" s="288"/>
      <c r="B374" s="288"/>
      <c r="C374" s="288"/>
      <c r="D374" s="288"/>
    </row>
    <row r="375" spans="1:4" ht="15.75">
      <c r="A375" s="288"/>
      <c r="B375" s="288"/>
      <c r="C375" s="288"/>
      <c r="D375" s="288"/>
    </row>
    <row r="376" spans="1:4" ht="15.75">
      <c r="A376" s="288"/>
      <c r="B376" s="288"/>
      <c r="C376" s="288"/>
      <c r="D376" s="288"/>
    </row>
    <row r="377" spans="1:4" ht="15.75">
      <c r="A377" s="288"/>
      <c r="B377" s="288"/>
      <c r="C377" s="288"/>
      <c r="D377" s="288"/>
    </row>
    <row r="378" spans="1:4" ht="15.75">
      <c r="A378" s="288"/>
      <c r="B378" s="288"/>
      <c r="C378" s="288"/>
      <c r="D378" s="288"/>
    </row>
    <row r="379" spans="1:4" ht="15.75">
      <c r="A379" s="288"/>
      <c r="B379" s="288"/>
      <c r="C379" s="288"/>
      <c r="D379" s="288"/>
    </row>
    <row r="380" spans="1:4" ht="15.75">
      <c r="A380" s="288"/>
      <c r="B380" s="288"/>
      <c r="C380" s="288"/>
      <c r="D380" s="288"/>
    </row>
    <row r="381" spans="1:4" ht="15.75">
      <c r="A381" s="288"/>
      <c r="B381" s="288"/>
      <c r="C381" s="288"/>
      <c r="D381" s="288"/>
    </row>
    <row r="382" spans="1:4" ht="15.75">
      <c r="A382" s="288"/>
      <c r="B382" s="288"/>
      <c r="C382" s="288"/>
      <c r="D382" s="288"/>
    </row>
    <row r="383" spans="1:4" ht="15.75">
      <c r="A383" s="288"/>
      <c r="B383" s="288"/>
      <c r="C383" s="288"/>
      <c r="D383" s="288"/>
    </row>
    <row r="384" spans="1:4" ht="15.75">
      <c r="A384" s="288"/>
      <c r="B384" s="288"/>
      <c r="C384" s="288"/>
      <c r="D384" s="288"/>
    </row>
    <row r="385" spans="1:4" ht="15.75">
      <c r="A385" s="288"/>
      <c r="B385" s="288"/>
      <c r="C385" s="288"/>
      <c r="D385" s="288"/>
    </row>
    <row r="386" spans="1:4" ht="15.75">
      <c r="A386" s="288"/>
      <c r="B386" s="288"/>
      <c r="C386" s="288"/>
      <c r="D386" s="288"/>
    </row>
    <row r="387" spans="1:4" ht="15.75">
      <c r="A387" s="288"/>
      <c r="B387" s="288"/>
      <c r="C387" s="288"/>
      <c r="D387" s="288"/>
    </row>
    <row r="388" spans="1:4" ht="15.75">
      <c r="A388" s="288"/>
      <c r="B388" s="288"/>
      <c r="C388" s="288"/>
      <c r="D388" s="288"/>
    </row>
    <row r="389" spans="1:4" ht="15.75">
      <c r="A389" s="288"/>
      <c r="B389" s="288"/>
      <c r="C389" s="288"/>
      <c r="D389" s="288"/>
    </row>
    <row r="390" spans="1:4" ht="15.75">
      <c r="A390" s="288"/>
      <c r="B390" s="288"/>
      <c r="C390" s="288"/>
      <c r="D390" s="288"/>
    </row>
    <row r="391" spans="1:4" ht="15.75">
      <c r="A391" s="288"/>
      <c r="B391" s="288"/>
      <c r="C391" s="288"/>
      <c r="D391" s="288"/>
    </row>
    <row r="392" spans="1:4" ht="15.75">
      <c r="A392" s="288"/>
      <c r="B392" s="288"/>
      <c r="C392" s="288"/>
      <c r="D392" s="288"/>
    </row>
    <row r="393" spans="1:4" ht="15.75">
      <c r="A393" s="288"/>
      <c r="B393" s="288"/>
      <c r="C393" s="288"/>
      <c r="D393" s="288"/>
    </row>
    <row r="394" spans="1:4" ht="15.75">
      <c r="A394" s="288"/>
      <c r="B394" s="288"/>
      <c r="C394" s="288"/>
      <c r="D394" s="288"/>
    </row>
    <row r="395" spans="1:4" ht="15.75">
      <c r="A395" s="288"/>
      <c r="B395" s="288"/>
      <c r="C395" s="288"/>
      <c r="D395" s="288"/>
    </row>
    <row r="396" spans="1:4" ht="15.75">
      <c r="A396" s="288"/>
      <c r="B396" s="288"/>
      <c r="C396" s="288"/>
      <c r="D396" s="288"/>
    </row>
    <row r="397" spans="1:4" ht="15.75">
      <c r="A397" s="288"/>
      <c r="B397" s="288"/>
      <c r="C397" s="288"/>
      <c r="D397" s="288"/>
    </row>
    <row r="398" spans="1:4" ht="15.75">
      <c r="A398" s="288"/>
      <c r="B398" s="288"/>
      <c r="C398" s="288"/>
      <c r="D398" s="288"/>
    </row>
    <row r="399" spans="1:4" ht="15.75">
      <c r="A399" s="288"/>
      <c r="B399" s="288"/>
      <c r="C399" s="288"/>
      <c r="D399" s="288"/>
    </row>
    <row r="400" spans="1:4" ht="15.75">
      <c r="A400" s="288"/>
      <c r="B400" s="288"/>
      <c r="C400" s="288"/>
      <c r="D400" s="288"/>
    </row>
    <row r="401" spans="1:4" ht="15.75">
      <c r="A401" s="288"/>
      <c r="B401" s="288"/>
      <c r="C401" s="288"/>
      <c r="D401" s="288"/>
    </row>
    <row r="402" spans="1:4" ht="15.75">
      <c r="A402" s="288"/>
      <c r="B402" s="288"/>
      <c r="C402" s="288"/>
      <c r="D402" s="288"/>
    </row>
    <row r="403" spans="1:4" ht="15.75">
      <c r="A403" s="288"/>
      <c r="B403" s="288"/>
      <c r="C403" s="288"/>
      <c r="D403" s="288"/>
    </row>
    <row r="404" spans="1:4" ht="15.75">
      <c r="A404" s="288"/>
      <c r="B404" s="288"/>
      <c r="C404" s="288"/>
      <c r="D404" s="288"/>
    </row>
    <row r="405" spans="1:4" ht="15.75">
      <c r="A405" s="288"/>
      <c r="B405" s="288"/>
      <c r="C405" s="288"/>
      <c r="D405" s="288"/>
    </row>
    <row r="406" spans="1:4" ht="15.75">
      <c r="A406" s="288"/>
      <c r="B406" s="288"/>
      <c r="C406" s="288"/>
      <c r="D406" s="288"/>
    </row>
    <row r="407" spans="1:4" ht="15.75">
      <c r="A407" s="288"/>
      <c r="B407" s="288"/>
      <c r="C407" s="288"/>
      <c r="D407" s="288"/>
    </row>
    <row r="408" spans="1:4" ht="15.75">
      <c r="A408" s="288"/>
      <c r="B408" s="288"/>
      <c r="C408" s="288"/>
      <c r="D408" s="288"/>
    </row>
    <row r="409" spans="1:4" ht="15.75">
      <c r="A409" s="288"/>
      <c r="B409" s="288"/>
      <c r="C409" s="288"/>
      <c r="D409" s="288"/>
    </row>
    <row r="410" spans="1:4" ht="15.75">
      <c r="A410" s="288"/>
      <c r="B410" s="288"/>
      <c r="C410" s="288"/>
      <c r="D410" s="288"/>
    </row>
    <row r="411" spans="1:4" ht="15.75">
      <c r="A411" s="288"/>
      <c r="B411" s="288"/>
      <c r="C411" s="288"/>
      <c r="D411" s="288"/>
    </row>
    <row r="412" spans="1:4" ht="15.75">
      <c r="A412" s="288"/>
      <c r="B412" s="288"/>
      <c r="C412" s="288"/>
      <c r="D412" s="288"/>
    </row>
    <row r="413" spans="1:4" ht="15.75">
      <c r="A413" s="288"/>
      <c r="B413" s="288"/>
      <c r="C413" s="288"/>
      <c r="D413" s="288"/>
    </row>
    <row r="414" spans="1:4" ht="15.75">
      <c r="A414" s="288"/>
      <c r="B414" s="288"/>
      <c r="C414" s="288"/>
      <c r="D414" s="288"/>
    </row>
    <row r="415" spans="1:4" ht="15.75">
      <c r="A415" s="288"/>
      <c r="B415" s="288"/>
      <c r="C415" s="288"/>
      <c r="D415" s="288"/>
    </row>
    <row r="416" spans="1:4" ht="15.75">
      <c r="A416" s="288"/>
      <c r="B416" s="288"/>
      <c r="C416" s="288"/>
      <c r="D416" s="288"/>
    </row>
    <row r="417" spans="1:4" ht="15.75">
      <c r="A417" s="288"/>
      <c r="B417" s="288"/>
      <c r="C417" s="288"/>
      <c r="D417" s="288"/>
    </row>
    <row r="418" spans="1:4" ht="15.75">
      <c r="A418" s="288"/>
      <c r="B418" s="288"/>
      <c r="C418" s="288"/>
      <c r="D418" s="288"/>
    </row>
    <row r="419" spans="1:4" ht="15.75">
      <c r="A419" s="288"/>
      <c r="B419" s="288"/>
      <c r="C419" s="288"/>
      <c r="D419" s="288"/>
    </row>
    <row r="420" spans="1:4" ht="15.75">
      <c r="A420" s="288"/>
      <c r="B420" s="288"/>
      <c r="C420" s="288"/>
      <c r="D420" s="288"/>
    </row>
    <row r="421" spans="1:4" ht="15.75">
      <c r="A421" s="288"/>
      <c r="B421" s="288"/>
      <c r="C421" s="288"/>
      <c r="D421" s="288"/>
    </row>
    <row r="422" spans="1:4" ht="15.75">
      <c r="A422" s="288"/>
      <c r="B422" s="288"/>
      <c r="C422" s="288"/>
      <c r="D422" s="288"/>
    </row>
    <row r="423" spans="1:4" ht="15.75">
      <c r="A423" s="288"/>
      <c r="B423" s="288"/>
      <c r="C423" s="288"/>
      <c r="D423" s="288"/>
    </row>
    <row r="424" spans="1:4" ht="15.75">
      <c r="A424" s="288"/>
      <c r="B424" s="288"/>
      <c r="C424" s="288"/>
      <c r="D424" s="288"/>
    </row>
    <row r="425" spans="1:4" ht="15.75">
      <c r="A425" s="288"/>
      <c r="B425" s="288"/>
      <c r="C425" s="288"/>
      <c r="D425" s="288"/>
    </row>
    <row r="426" spans="1:4" ht="15.75">
      <c r="A426" s="288"/>
      <c r="B426" s="288"/>
      <c r="C426" s="288"/>
      <c r="D426" s="288"/>
    </row>
    <row r="427" spans="1:4" ht="15.75">
      <c r="A427" s="288"/>
      <c r="B427" s="288"/>
      <c r="C427" s="288"/>
      <c r="D427" s="288"/>
    </row>
    <row r="428" spans="1:4" ht="15.75">
      <c r="A428" s="288"/>
      <c r="B428" s="288"/>
      <c r="C428" s="288"/>
      <c r="D428" s="288"/>
    </row>
    <row r="429" spans="1:4" ht="15.75">
      <c r="A429" s="288"/>
      <c r="B429" s="288"/>
      <c r="C429" s="288"/>
      <c r="D429" s="288"/>
    </row>
    <row r="430" spans="1:4" ht="15.75">
      <c r="A430" s="288"/>
      <c r="B430" s="288"/>
      <c r="C430" s="288"/>
      <c r="D430" s="288"/>
    </row>
    <row r="431" spans="1:4" ht="15.75">
      <c r="A431" s="288"/>
      <c r="B431" s="288"/>
      <c r="C431" s="288"/>
      <c r="D431" s="288"/>
    </row>
    <row r="432" spans="1:4" ht="15.75">
      <c r="A432" s="288"/>
      <c r="B432" s="288"/>
      <c r="C432" s="288"/>
      <c r="D432" s="288"/>
    </row>
    <row r="433" spans="1:4" ht="15.75">
      <c r="A433" s="288"/>
      <c r="B433" s="288"/>
      <c r="C433" s="288"/>
      <c r="D433" s="288"/>
    </row>
    <row r="434" spans="1:4" ht="15.75">
      <c r="A434" s="288"/>
      <c r="B434" s="288"/>
      <c r="C434" s="288"/>
      <c r="D434" s="288"/>
    </row>
    <row r="435" spans="1:4" ht="15.75">
      <c r="A435" s="288"/>
      <c r="B435" s="288"/>
      <c r="C435" s="288"/>
      <c r="D435" s="288"/>
    </row>
    <row r="436" spans="1:4" ht="15.75">
      <c r="A436" s="288"/>
      <c r="B436" s="288"/>
      <c r="C436" s="288"/>
      <c r="D436" s="288"/>
    </row>
    <row r="437" spans="1:4" ht="15.75">
      <c r="A437" s="288"/>
      <c r="B437" s="288"/>
      <c r="C437" s="288"/>
      <c r="D437" s="288"/>
    </row>
    <row r="438" spans="1:4" ht="15.75">
      <c r="A438" s="288"/>
      <c r="B438" s="288"/>
      <c r="C438" s="288"/>
      <c r="D438" s="288"/>
    </row>
    <row r="439" spans="1:4" ht="15.75">
      <c r="A439" s="288"/>
      <c r="B439" s="288"/>
      <c r="C439" s="288"/>
      <c r="D439" s="288"/>
    </row>
    <row r="440" spans="1:4" ht="15.75">
      <c r="A440" s="288"/>
      <c r="B440" s="288"/>
      <c r="C440" s="288"/>
      <c r="D440" s="288"/>
    </row>
    <row r="441" spans="1:4" ht="15.75">
      <c r="A441" s="288"/>
      <c r="B441" s="288"/>
      <c r="C441" s="288"/>
      <c r="D441" s="288"/>
    </row>
    <row r="442" spans="1:4" ht="15.75">
      <c r="A442" s="288"/>
      <c r="B442" s="288"/>
      <c r="C442" s="288"/>
      <c r="D442" s="288"/>
    </row>
    <row r="443" spans="1:4" ht="15.75">
      <c r="A443" s="288"/>
      <c r="B443" s="288"/>
      <c r="C443" s="288"/>
      <c r="D443" s="288"/>
    </row>
    <row r="444" spans="1:4" ht="15.75">
      <c r="A444" s="288"/>
      <c r="B444" s="288"/>
      <c r="C444" s="288"/>
      <c r="D444" s="288"/>
    </row>
    <row r="445" spans="1:4" ht="15.75">
      <c r="A445" s="288"/>
      <c r="B445" s="288"/>
      <c r="C445" s="288"/>
      <c r="D445" s="288"/>
    </row>
    <row r="446" spans="1:4" ht="15.75">
      <c r="A446" s="288"/>
      <c r="B446" s="288"/>
      <c r="C446" s="288"/>
      <c r="D446" s="288"/>
    </row>
    <row r="447" spans="1:4" ht="15.75">
      <c r="A447" s="288"/>
      <c r="B447" s="288"/>
      <c r="C447" s="288"/>
      <c r="D447" s="288"/>
    </row>
    <row r="448" spans="1:4" ht="15.75">
      <c r="A448" s="288"/>
      <c r="B448" s="288"/>
      <c r="C448" s="288"/>
      <c r="D448" s="288"/>
    </row>
    <row r="449" spans="1:4" ht="15.75">
      <c r="A449" s="288"/>
      <c r="B449" s="288"/>
      <c r="C449" s="288"/>
      <c r="D449" s="288"/>
    </row>
    <row r="450" spans="1:4" ht="15.75">
      <c r="A450" s="288"/>
      <c r="B450" s="288"/>
      <c r="C450" s="288"/>
      <c r="D450" s="288"/>
    </row>
    <row r="451" spans="1:4" ht="15.75">
      <c r="A451" s="288"/>
      <c r="B451" s="288"/>
      <c r="C451" s="288"/>
      <c r="D451" s="288"/>
    </row>
    <row r="452" spans="1:4" ht="15.75">
      <c r="A452" s="288"/>
      <c r="B452" s="288"/>
      <c r="C452" s="288"/>
      <c r="D452" s="288"/>
    </row>
    <row r="453" spans="1:4" ht="15.75">
      <c r="A453" s="288"/>
      <c r="B453" s="288"/>
      <c r="C453" s="288"/>
      <c r="D453" s="288"/>
    </row>
    <row r="454" spans="1:4" ht="15.75">
      <c r="A454" s="288"/>
      <c r="B454" s="288"/>
      <c r="C454" s="288"/>
      <c r="D454" s="288"/>
    </row>
    <row r="455" spans="1:4" ht="15.75">
      <c r="A455" s="288"/>
      <c r="B455" s="288"/>
      <c r="C455" s="288"/>
      <c r="D455" s="288"/>
    </row>
    <row r="456" spans="1:4" ht="15.75">
      <c r="A456" s="288"/>
      <c r="B456" s="288"/>
      <c r="C456" s="288"/>
      <c r="D456" s="288"/>
    </row>
    <row r="457" spans="1:4" ht="15.75">
      <c r="A457" s="288"/>
      <c r="B457" s="288"/>
      <c r="C457" s="288"/>
      <c r="D457" s="288"/>
    </row>
    <row r="458" spans="1:4" ht="15.75">
      <c r="A458" s="288"/>
      <c r="B458" s="288"/>
      <c r="C458" s="288"/>
      <c r="D458" s="288"/>
    </row>
    <row r="459" spans="1:4" ht="15.75">
      <c r="A459" s="288"/>
      <c r="B459" s="288"/>
      <c r="C459" s="288"/>
      <c r="D459" s="288"/>
    </row>
    <row r="460" spans="1:4" ht="15.75">
      <c r="A460" s="288"/>
      <c r="B460" s="288"/>
      <c r="C460" s="288"/>
      <c r="D460" s="288"/>
    </row>
    <row r="461" spans="1:4" ht="15.75">
      <c r="A461" s="288"/>
      <c r="B461" s="288"/>
      <c r="C461" s="288"/>
      <c r="D461" s="288"/>
    </row>
    <row r="462" spans="1:4" ht="15.75">
      <c r="A462" s="288"/>
      <c r="B462" s="288"/>
      <c r="C462" s="288"/>
      <c r="D462" s="288"/>
    </row>
    <row r="463" spans="1:4" ht="15.75">
      <c r="A463" s="288"/>
      <c r="B463" s="288"/>
      <c r="C463" s="288"/>
      <c r="D463" s="288"/>
    </row>
    <row r="464" spans="1:4" ht="15.75">
      <c r="A464" s="288"/>
      <c r="B464" s="288"/>
      <c r="C464" s="288"/>
      <c r="D464" s="288"/>
    </row>
    <row r="465" spans="1:4" ht="15.75">
      <c r="A465" s="288"/>
      <c r="B465" s="288"/>
      <c r="C465" s="288"/>
      <c r="D465" s="288"/>
    </row>
    <row r="466" spans="1:4" ht="15.75">
      <c r="A466" s="288"/>
      <c r="B466" s="288"/>
      <c r="C466" s="288"/>
      <c r="D466" s="288"/>
    </row>
    <row r="467" spans="1:4" ht="15.75">
      <c r="A467" s="288"/>
      <c r="B467" s="288"/>
      <c r="C467" s="288"/>
      <c r="D467" s="288"/>
    </row>
    <row r="468" spans="1:4" ht="15.75">
      <c r="A468" s="288"/>
      <c r="B468" s="288"/>
      <c r="C468" s="288"/>
      <c r="D468" s="288"/>
    </row>
    <row r="469" spans="1:4" ht="15.75">
      <c r="A469" s="288"/>
      <c r="B469" s="288"/>
      <c r="C469" s="288"/>
      <c r="D469" s="288"/>
    </row>
    <row r="470" spans="1:4" ht="15.75">
      <c r="A470" s="288"/>
      <c r="B470" s="288"/>
      <c r="C470" s="288"/>
      <c r="D470" s="288"/>
    </row>
    <row r="471" spans="1:4" ht="15.75">
      <c r="A471" s="288"/>
      <c r="B471" s="288"/>
      <c r="C471" s="288"/>
      <c r="D471" s="288"/>
    </row>
    <row r="472" spans="1:4" ht="15.75">
      <c r="A472" s="288"/>
      <c r="B472" s="288"/>
      <c r="C472" s="288"/>
      <c r="D472" s="288"/>
    </row>
    <row r="473" spans="1:4" ht="15.75">
      <c r="A473" s="288"/>
      <c r="B473" s="288"/>
      <c r="C473" s="288"/>
      <c r="D473" s="288"/>
    </row>
    <row r="474" spans="1:4" ht="15.75">
      <c r="A474" s="288"/>
      <c r="B474" s="288"/>
      <c r="C474" s="288"/>
      <c r="D474" s="288"/>
    </row>
    <row r="475" spans="1:4" ht="15.75">
      <c r="A475" s="288"/>
      <c r="B475" s="288"/>
      <c r="C475" s="288"/>
      <c r="D475" s="288"/>
    </row>
    <row r="476" spans="1:4" ht="15.75">
      <c r="A476" s="288"/>
      <c r="B476" s="288"/>
      <c r="C476" s="288"/>
      <c r="D476" s="288"/>
    </row>
    <row r="477" spans="1:4" ht="15.75">
      <c r="A477" s="288"/>
      <c r="B477" s="288"/>
      <c r="C477" s="288"/>
      <c r="D477" s="288"/>
    </row>
    <row r="478" spans="1:4" ht="15.75">
      <c r="A478" s="288"/>
      <c r="B478" s="288"/>
      <c r="C478" s="288"/>
      <c r="D478" s="288"/>
    </row>
    <row r="479" spans="1:4" ht="15.75">
      <c r="A479" s="288"/>
      <c r="B479" s="288"/>
      <c r="C479" s="288"/>
      <c r="D479" s="288"/>
    </row>
    <row r="480" spans="1:4" ht="15.75">
      <c r="A480" s="288"/>
      <c r="B480" s="288"/>
      <c r="C480" s="288"/>
      <c r="D480" s="288"/>
    </row>
    <row r="481" spans="1:4" ht="15.75">
      <c r="A481" s="288"/>
      <c r="B481" s="288"/>
      <c r="C481" s="288"/>
      <c r="D481" s="288"/>
    </row>
    <row r="482" spans="1:4" ht="15.75">
      <c r="A482" s="288"/>
      <c r="B482" s="288"/>
      <c r="C482" s="288"/>
      <c r="D482" s="288"/>
    </row>
    <row r="483" spans="1:4" ht="15.75">
      <c r="A483" s="288"/>
      <c r="B483" s="288"/>
      <c r="C483" s="288"/>
      <c r="D483" s="288"/>
    </row>
    <row r="484" spans="1:4" ht="15.75">
      <c r="A484" s="288"/>
      <c r="B484" s="288"/>
      <c r="C484" s="288"/>
      <c r="D484" s="288"/>
    </row>
    <row r="485" spans="1:4" ht="15.75">
      <c r="A485" s="288"/>
      <c r="B485" s="288"/>
      <c r="C485" s="288"/>
      <c r="D485" s="288"/>
    </row>
    <row r="486" spans="1:4" ht="15.75">
      <c r="A486" s="288"/>
      <c r="B486" s="288"/>
      <c r="C486" s="288"/>
      <c r="D486" s="288"/>
    </row>
    <row r="487" spans="1:4" ht="15.75">
      <c r="A487" s="288"/>
      <c r="B487" s="288"/>
      <c r="C487" s="288"/>
      <c r="D487" s="288"/>
    </row>
    <row r="488" spans="1:4" ht="15.75">
      <c r="A488" s="288"/>
      <c r="B488" s="288"/>
      <c r="C488" s="288"/>
      <c r="D488" s="288"/>
    </row>
    <row r="489" spans="1:4" ht="15.75">
      <c r="A489" s="288"/>
      <c r="B489" s="288"/>
      <c r="C489" s="288"/>
      <c r="D489" s="288"/>
    </row>
    <row r="490" spans="1:4" ht="15.75">
      <c r="A490" s="288"/>
      <c r="B490" s="288"/>
      <c r="C490" s="288"/>
      <c r="D490" s="288"/>
    </row>
    <row r="491" spans="1:4" ht="15.75">
      <c r="A491" s="288"/>
      <c r="B491" s="288"/>
      <c r="C491" s="288"/>
      <c r="D491" s="288"/>
    </row>
    <row r="492" spans="1:4" ht="15.75">
      <c r="A492" s="288"/>
      <c r="B492" s="288"/>
      <c r="C492" s="288"/>
      <c r="D492" s="288"/>
    </row>
    <row r="493" spans="1:4" ht="15.75">
      <c r="A493" s="288"/>
      <c r="B493" s="288"/>
      <c r="C493" s="288"/>
      <c r="D493" s="288"/>
    </row>
    <row r="494" spans="1:4" ht="15.75">
      <c r="A494" s="288"/>
      <c r="B494" s="288"/>
      <c r="C494" s="288"/>
      <c r="D494" s="288"/>
    </row>
    <row r="495" spans="1:4" ht="15.75">
      <c r="A495" s="288"/>
      <c r="B495" s="288"/>
      <c r="C495" s="288"/>
      <c r="D495" s="288"/>
    </row>
    <row r="496" spans="1:4" ht="15.75">
      <c r="A496" s="288"/>
      <c r="B496" s="288"/>
      <c r="C496" s="288"/>
      <c r="D496" s="288"/>
    </row>
    <row r="497" spans="1:4" ht="15.75">
      <c r="A497" s="288"/>
      <c r="B497" s="288"/>
      <c r="C497" s="288"/>
      <c r="D497" s="288"/>
    </row>
    <row r="498" spans="1:4" ht="15.75">
      <c r="A498" s="288"/>
      <c r="B498" s="288"/>
      <c r="C498" s="288"/>
      <c r="D498" s="288"/>
    </row>
    <row r="499" spans="1:4" ht="15.75">
      <c r="A499" s="288"/>
      <c r="B499" s="288"/>
      <c r="C499" s="288"/>
      <c r="D499" s="288"/>
    </row>
    <row r="500" spans="1:4" ht="15.75">
      <c r="A500" s="288"/>
      <c r="B500" s="288"/>
      <c r="C500" s="288"/>
      <c r="D500" s="288"/>
    </row>
    <row r="501" spans="1:4" ht="15.75">
      <c r="A501" s="288"/>
      <c r="B501" s="288"/>
      <c r="C501" s="288"/>
      <c r="D501" s="288"/>
    </row>
    <row r="502" spans="1:4" ht="15.75">
      <c r="A502" s="288"/>
      <c r="B502" s="288"/>
      <c r="C502" s="288"/>
      <c r="D502" s="288"/>
    </row>
    <row r="503" spans="1:4" ht="15.75">
      <c r="A503" s="288"/>
      <c r="B503" s="288"/>
      <c r="C503" s="288"/>
      <c r="D503" s="288"/>
    </row>
    <row r="504" spans="1:4" ht="15.75">
      <c r="A504" s="288"/>
      <c r="B504" s="288"/>
      <c r="C504" s="288"/>
      <c r="D504" s="288"/>
    </row>
    <row r="505" spans="1:4" ht="15.75">
      <c r="A505" s="288"/>
      <c r="B505" s="288"/>
      <c r="C505" s="288"/>
      <c r="D505" s="288"/>
    </row>
    <row r="506" spans="1:4" ht="15.75">
      <c r="A506" s="288"/>
      <c r="B506" s="288"/>
      <c r="C506" s="288"/>
      <c r="D506" s="288"/>
    </row>
    <row r="507" spans="1:4" ht="15.75">
      <c r="A507" s="288"/>
      <c r="B507" s="288"/>
      <c r="C507" s="288"/>
      <c r="D507" s="288"/>
    </row>
    <row r="508" spans="1:4" ht="15.75">
      <c r="A508" s="288"/>
      <c r="B508" s="288"/>
      <c r="C508" s="288"/>
      <c r="D508" s="288"/>
    </row>
    <row r="509" spans="1:4" ht="15.75">
      <c r="A509" s="288"/>
      <c r="B509" s="288"/>
      <c r="C509" s="288"/>
      <c r="D509" s="288"/>
    </row>
    <row r="510" spans="1:4" ht="15.75">
      <c r="A510" s="288"/>
      <c r="B510" s="288"/>
      <c r="C510" s="288"/>
      <c r="D510" s="288"/>
    </row>
    <row r="511" spans="1:4" ht="15.75">
      <c r="A511" s="288"/>
      <c r="B511" s="288"/>
      <c r="C511" s="288"/>
      <c r="D511" s="288"/>
    </row>
    <row r="512" spans="1:4" ht="15.75">
      <c r="A512" s="288"/>
      <c r="B512" s="288"/>
      <c r="C512" s="288"/>
      <c r="D512" s="288"/>
    </row>
    <row r="513" spans="1:4" ht="15.75">
      <c r="A513" s="288"/>
      <c r="B513" s="288"/>
      <c r="C513" s="288"/>
      <c r="D513" s="288"/>
    </row>
    <row r="514" spans="1:4" ht="15.75">
      <c r="A514" s="288"/>
      <c r="B514" s="288"/>
      <c r="C514" s="288"/>
      <c r="D514" s="288"/>
    </row>
    <row r="515" spans="1:4" ht="15.75">
      <c r="A515" s="288"/>
      <c r="B515" s="288"/>
      <c r="C515" s="288"/>
      <c r="D515" s="288"/>
    </row>
    <row r="516" spans="1:4" ht="15.75">
      <c r="A516" s="288"/>
      <c r="B516" s="288"/>
      <c r="C516" s="288"/>
      <c r="D516" s="288"/>
    </row>
    <row r="517" spans="1:4" ht="15.75">
      <c r="A517" s="288"/>
      <c r="B517" s="288"/>
      <c r="C517" s="288"/>
      <c r="D517" s="288"/>
    </row>
    <row r="518" spans="1:4" ht="15.75">
      <c r="A518" s="288"/>
      <c r="B518" s="288"/>
      <c r="C518" s="288"/>
      <c r="D518" s="288"/>
    </row>
    <row r="519" spans="1:4" ht="15.75">
      <c r="A519" s="288"/>
      <c r="B519" s="288"/>
      <c r="C519" s="288"/>
      <c r="D519" s="288"/>
    </row>
  </sheetData>
  <sheetProtection/>
  <mergeCells count="12">
    <mergeCell ref="F1:H1"/>
    <mergeCell ref="A2:E2"/>
    <mergeCell ref="F2:H2"/>
    <mergeCell ref="A3:E3"/>
    <mergeCell ref="F3:H3"/>
    <mergeCell ref="A4:E4"/>
    <mergeCell ref="F4:H4"/>
    <mergeCell ref="A6:E6"/>
    <mergeCell ref="A8:A9"/>
    <mergeCell ref="C8:C9"/>
    <mergeCell ref="D8:D9"/>
    <mergeCell ref="B8:B9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E16"/>
  <sheetViews>
    <sheetView view="pageBreakPreview" zoomScaleSheetLayoutView="100" zoomScalePageLayoutView="0" workbookViewId="0" topLeftCell="A1">
      <selection activeCell="A1" sqref="A1:IV16384"/>
    </sheetView>
  </sheetViews>
  <sheetFormatPr defaultColWidth="8.875" defaultRowHeight="12.75"/>
  <cols>
    <col min="1" max="1" width="33.875" style="207" customWidth="1"/>
    <col min="2" max="2" width="15.25390625" style="207" customWidth="1"/>
    <col min="3" max="3" width="13.25390625" style="207" customWidth="1"/>
    <col min="4" max="4" width="12.75390625" style="207" customWidth="1"/>
    <col min="5" max="16384" width="8.875" style="207" customWidth="1"/>
  </cols>
  <sheetData>
    <row r="1" spans="1:4" ht="17.25" customHeight="1">
      <c r="A1" s="138"/>
      <c r="B1" s="137"/>
      <c r="C1" s="138"/>
      <c r="D1" s="137" t="s">
        <v>926</v>
      </c>
    </row>
    <row r="2" spans="1:4" ht="15.75">
      <c r="A2" s="138"/>
      <c r="B2" s="137"/>
      <c r="C2" s="138"/>
      <c r="D2" s="137" t="s">
        <v>11</v>
      </c>
    </row>
    <row r="3" spans="1:4" ht="15.75">
      <c r="A3" s="138"/>
      <c r="B3" s="137"/>
      <c r="C3" s="138"/>
      <c r="D3" s="137" t="s">
        <v>12</v>
      </c>
    </row>
    <row r="4" spans="1:5" ht="18.75" customHeight="1">
      <c r="A4" s="293" t="s">
        <v>948</v>
      </c>
      <c r="B4" s="293"/>
      <c r="C4" s="333"/>
      <c r="D4" s="333"/>
      <c r="E4" s="6"/>
    </row>
    <row r="5" ht="22.5" customHeight="1"/>
    <row r="6" spans="1:4" ht="115.5" customHeight="1">
      <c r="A6" s="332" t="s">
        <v>872</v>
      </c>
      <c r="B6" s="332"/>
      <c r="C6" s="332"/>
      <c r="D6" s="332"/>
    </row>
    <row r="7" spans="1:2" ht="14.25" customHeight="1">
      <c r="A7" s="217"/>
      <c r="B7" s="217"/>
    </row>
    <row r="8" spans="1:4" ht="20.25" customHeight="1">
      <c r="A8" s="217"/>
      <c r="B8" s="273"/>
      <c r="C8" s="273"/>
      <c r="D8" s="273" t="s">
        <v>190</v>
      </c>
    </row>
    <row r="9" spans="1:4" ht="18.75" customHeight="1">
      <c r="A9" s="296" t="s">
        <v>4</v>
      </c>
      <c r="B9" s="296" t="s">
        <v>537</v>
      </c>
      <c r="C9" s="296" t="s">
        <v>675</v>
      </c>
      <c r="D9" s="296" t="s">
        <v>871</v>
      </c>
    </row>
    <row r="10" spans="1:4" ht="39.75" customHeight="1">
      <c r="A10" s="296"/>
      <c r="B10" s="296"/>
      <c r="C10" s="296"/>
      <c r="D10" s="296"/>
    </row>
    <row r="11" spans="1:4" ht="0.75" customHeight="1" hidden="1">
      <c r="A11" s="334" t="s">
        <v>6</v>
      </c>
      <c r="B11" s="335">
        <v>0</v>
      </c>
      <c r="C11" s="335">
        <v>0</v>
      </c>
      <c r="D11" s="335">
        <v>0</v>
      </c>
    </row>
    <row r="12" spans="1:4" ht="12.75" hidden="1">
      <c r="A12" s="334"/>
      <c r="B12" s="335"/>
      <c r="C12" s="335"/>
      <c r="D12" s="335"/>
    </row>
    <row r="13" spans="1:4" ht="18.75" customHeight="1">
      <c r="A13" s="225" t="s">
        <v>409</v>
      </c>
      <c r="B13" s="21">
        <f>450+50</f>
        <v>500</v>
      </c>
      <c r="C13" s="290">
        <v>50</v>
      </c>
      <c r="D13" s="290">
        <v>50</v>
      </c>
    </row>
    <row r="14" spans="1:4" ht="18.75" customHeight="1" hidden="1">
      <c r="A14" s="225" t="s">
        <v>8</v>
      </c>
      <c r="B14" s="290"/>
      <c r="C14" s="290"/>
      <c r="D14" s="290"/>
    </row>
    <row r="15" spans="1:4" ht="18.75" customHeight="1">
      <c r="A15" s="225" t="s">
        <v>9</v>
      </c>
      <c r="B15" s="290">
        <v>50</v>
      </c>
      <c r="C15" s="290">
        <v>0</v>
      </c>
      <c r="D15" s="290">
        <v>0</v>
      </c>
    </row>
    <row r="16" spans="1:4" ht="21.75" customHeight="1">
      <c r="A16" s="224" t="s">
        <v>10</v>
      </c>
      <c r="B16" s="291">
        <f>B13+B15</f>
        <v>550</v>
      </c>
      <c r="C16" s="291">
        <f>C13+C14</f>
        <v>50</v>
      </c>
      <c r="D16" s="291">
        <f>D13+D14</f>
        <v>50</v>
      </c>
    </row>
  </sheetData>
  <sheetProtection/>
  <mergeCells count="10">
    <mergeCell ref="A6:D6"/>
    <mergeCell ref="A4:D4"/>
    <mergeCell ref="A11:A12"/>
    <mergeCell ref="B11:B12"/>
    <mergeCell ref="A9:A10"/>
    <mergeCell ref="B9:B10"/>
    <mergeCell ref="C9:C10"/>
    <mergeCell ref="D9:D10"/>
    <mergeCell ref="C11:C12"/>
    <mergeCell ref="D11:D12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view="pageBreakPreview" zoomScaleSheetLayoutView="100" zoomScalePageLayoutView="0" workbookViewId="0" topLeftCell="A8">
      <selection activeCell="A1" sqref="A1:IV16384"/>
    </sheetView>
  </sheetViews>
  <sheetFormatPr defaultColWidth="8.875" defaultRowHeight="12.75"/>
  <cols>
    <col min="1" max="5" width="8.875" style="207" customWidth="1"/>
    <col min="6" max="6" width="15.25390625" style="207" customWidth="1"/>
    <col min="7" max="7" width="17.25390625" style="207" customWidth="1"/>
    <col min="8" max="8" width="9.25390625" style="207" hidden="1" customWidth="1"/>
    <col min="9" max="9" width="13.875" style="207" customWidth="1"/>
    <col min="10" max="16384" width="8.875" style="207" customWidth="1"/>
  </cols>
  <sheetData>
    <row r="1" spans="2:9" ht="15">
      <c r="B1" s="333"/>
      <c r="C1" s="333"/>
      <c r="D1" s="333"/>
      <c r="E1" s="37"/>
      <c r="F1" s="341" t="s">
        <v>927</v>
      </c>
      <c r="G1" s="341"/>
      <c r="H1" s="341"/>
      <c r="I1" s="342"/>
    </row>
    <row r="2" spans="1:9" ht="15">
      <c r="A2" s="333"/>
      <c r="B2" s="333"/>
      <c r="C2" s="333"/>
      <c r="D2" s="333"/>
      <c r="E2" s="341" t="s">
        <v>11</v>
      </c>
      <c r="F2" s="341"/>
      <c r="G2" s="341"/>
      <c r="H2" s="341"/>
      <c r="I2" s="342"/>
    </row>
    <row r="3" spans="1:9" ht="15">
      <c r="A3" s="333"/>
      <c r="B3" s="333"/>
      <c r="C3" s="333"/>
      <c r="D3" s="333"/>
      <c r="E3" s="341" t="s">
        <v>12</v>
      </c>
      <c r="F3" s="341"/>
      <c r="G3" s="341"/>
      <c r="H3" s="341"/>
      <c r="I3" s="342"/>
    </row>
    <row r="4" spans="2:9" ht="15">
      <c r="B4" s="333"/>
      <c r="C4" s="333"/>
      <c r="D4" s="333"/>
      <c r="E4" s="37"/>
      <c r="F4" s="341" t="s">
        <v>947</v>
      </c>
      <c r="G4" s="341"/>
      <c r="H4" s="341"/>
      <c r="I4" s="342"/>
    </row>
    <row r="5" ht="17.25" customHeight="1"/>
    <row r="6" spans="1:9" ht="52.5" customHeight="1">
      <c r="A6" s="343" t="s">
        <v>875</v>
      </c>
      <c r="B6" s="343"/>
      <c r="C6" s="343"/>
      <c r="D6" s="343"/>
      <c r="E6" s="343"/>
      <c r="F6" s="343"/>
      <c r="G6" s="343"/>
      <c r="H6" s="342"/>
      <c r="I6" s="342"/>
    </row>
    <row r="7" spans="1:7" ht="15" hidden="1">
      <c r="A7" s="37"/>
      <c r="B7" s="37"/>
      <c r="C7" s="37"/>
      <c r="D7" s="37"/>
      <c r="E7" s="37"/>
      <c r="F7" s="37"/>
      <c r="G7" s="37"/>
    </row>
    <row r="8" spans="1:9" ht="16.5" customHeight="1">
      <c r="A8" s="37"/>
      <c r="B8" s="37"/>
      <c r="C8" s="37"/>
      <c r="D8" s="37"/>
      <c r="E8" s="37"/>
      <c r="F8" s="37"/>
      <c r="G8" s="107"/>
      <c r="I8" s="41" t="s">
        <v>145</v>
      </c>
    </row>
    <row r="9" spans="1:9" ht="15.75" customHeight="1">
      <c r="A9" s="316" t="s">
        <v>143</v>
      </c>
      <c r="B9" s="316"/>
      <c r="C9" s="316"/>
      <c r="D9" s="316"/>
      <c r="E9" s="316"/>
      <c r="F9" s="316"/>
      <c r="G9" s="303" t="s">
        <v>541</v>
      </c>
      <c r="I9" s="339" t="s">
        <v>902</v>
      </c>
    </row>
    <row r="10" spans="1:9" ht="54.75" customHeight="1">
      <c r="A10" s="316"/>
      <c r="B10" s="316"/>
      <c r="C10" s="316"/>
      <c r="D10" s="316"/>
      <c r="E10" s="316"/>
      <c r="F10" s="316"/>
      <c r="G10" s="303"/>
      <c r="I10" s="340"/>
    </row>
    <row r="11" spans="1:9" ht="29.25" customHeight="1">
      <c r="A11" s="338" t="s">
        <v>144</v>
      </c>
      <c r="B11" s="338"/>
      <c r="C11" s="338"/>
      <c r="D11" s="338"/>
      <c r="E11" s="338"/>
      <c r="F11" s="338"/>
      <c r="G11" s="89">
        <f>G12+G13</f>
        <v>5838.579200000001</v>
      </c>
      <c r="I11" s="195"/>
    </row>
    <row r="12" spans="1:9" ht="15.75" customHeight="1">
      <c r="A12" s="336" t="s">
        <v>147</v>
      </c>
      <c r="B12" s="336"/>
      <c r="C12" s="336"/>
      <c r="D12" s="336"/>
      <c r="E12" s="336"/>
      <c r="F12" s="336"/>
      <c r="G12" s="81">
        <f>7237.01064-439.05279</f>
        <v>6797.957850000001</v>
      </c>
      <c r="I12" s="195"/>
    </row>
    <row r="13" spans="1:9" ht="19.5" customHeight="1">
      <c r="A13" s="336" t="s">
        <v>148</v>
      </c>
      <c r="B13" s="336"/>
      <c r="C13" s="336"/>
      <c r="D13" s="336"/>
      <c r="E13" s="336"/>
      <c r="F13" s="336"/>
      <c r="G13" s="81">
        <v>-959.37865</v>
      </c>
      <c r="I13" s="196" t="s">
        <v>903</v>
      </c>
    </row>
    <row r="14" spans="1:9" ht="51.75" customHeight="1">
      <c r="A14" s="337" t="s">
        <v>149</v>
      </c>
      <c r="B14" s="337"/>
      <c r="C14" s="337"/>
      <c r="D14" s="337"/>
      <c r="E14" s="337"/>
      <c r="F14" s="337"/>
      <c r="G14" s="89">
        <f>G15+G16</f>
        <v>-3338.5791999999997</v>
      </c>
      <c r="I14" s="66"/>
    </row>
    <row r="15" spans="1:9" ht="19.5" customHeight="1">
      <c r="A15" s="336" t="s">
        <v>147</v>
      </c>
      <c r="B15" s="336"/>
      <c r="C15" s="336"/>
      <c r="D15" s="336"/>
      <c r="E15" s="336"/>
      <c r="F15" s="336"/>
      <c r="G15" s="81">
        <v>0</v>
      </c>
      <c r="I15" s="66"/>
    </row>
    <row r="16" spans="1:9" ht="17.25" customHeight="1">
      <c r="A16" s="336" t="s">
        <v>148</v>
      </c>
      <c r="B16" s="336"/>
      <c r="C16" s="336"/>
      <c r="D16" s="336"/>
      <c r="E16" s="336"/>
      <c r="F16" s="336"/>
      <c r="G16" s="81">
        <f>-(1680+2097.63199-439.05279)</f>
        <v>-3338.5791999999997</v>
      </c>
      <c r="I16" s="196" t="s">
        <v>924</v>
      </c>
    </row>
    <row r="17" spans="1:9" s="19" customFormat="1" ht="19.5" customHeight="1">
      <c r="A17" s="337" t="s">
        <v>150</v>
      </c>
      <c r="B17" s="337"/>
      <c r="C17" s="337"/>
      <c r="D17" s="337"/>
      <c r="E17" s="337"/>
      <c r="F17" s="337"/>
      <c r="G17" s="89">
        <f>G18+G19</f>
        <v>2500.000000000001</v>
      </c>
      <c r="I17" s="197"/>
    </row>
    <row r="18" spans="1:9" ht="18.75" customHeight="1">
      <c r="A18" s="336" t="s">
        <v>151</v>
      </c>
      <c r="B18" s="336"/>
      <c r="C18" s="336"/>
      <c r="D18" s="336"/>
      <c r="E18" s="336"/>
      <c r="F18" s="336"/>
      <c r="G18" s="81">
        <f>G12+G15</f>
        <v>6797.957850000001</v>
      </c>
      <c r="I18" s="195"/>
    </row>
    <row r="19" spans="1:10" ht="20.25" customHeight="1">
      <c r="A19" s="336" t="s">
        <v>148</v>
      </c>
      <c r="B19" s="336"/>
      <c r="C19" s="336"/>
      <c r="D19" s="336"/>
      <c r="E19" s="336"/>
      <c r="F19" s="336"/>
      <c r="G19" s="81">
        <f>G13+G16</f>
        <v>-4297.95785</v>
      </c>
      <c r="I19" s="195"/>
      <c r="J19" s="19"/>
    </row>
  </sheetData>
  <sheetProtection/>
  <mergeCells count="21">
    <mergeCell ref="I9:I10"/>
    <mergeCell ref="F1:I1"/>
    <mergeCell ref="E2:I2"/>
    <mergeCell ref="E3:I3"/>
    <mergeCell ref="F4:I4"/>
    <mergeCell ref="A6:I6"/>
    <mergeCell ref="B1:D1"/>
    <mergeCell ref="A2:D2"/>
    <mergeCell ref="A11:F11"/>
    <mergeCell ref="A12:F12"/>
    <mergeCell ref="A3:D3"/>
    <mergeCell ref="B4:D4"/>
    <mergeCell ref="G9:G10"/>
    <mergeCell ref="A9:F10"/>
    <mergeCell ref="A19:F19"/>
    <mergeCell ref="A13:F13"/>
    <mergeCell ref="A14:F14"/>
    <mergeCell ref="A15:F15"/>
    <mergeCell ref="A16:F16"/>
    <mergeCell ref="A17:F17"/>
    <mergeCell ref="A18:F1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fin540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wert</dc:creator>
  <cp:keywords/>
  <dc:description/>
  <cp:lastModifiedBy>Марина</cp:lastModifiedBy>
  <cp:lastPrinted>2021-06-25T03:46:59Z</cp:lastPrinted>
  <dcterms:created xsi:type="dcterms:W3CDTF">2008-10-27T01:25:53Z</dcterms:created>
  <dcterms:modified xsi:type="dcterms:W3CDTF">2021-06-25T04:52:13Z</dcterms:modified>
  <cp:category/>
  <cp:version/>
  <cp:contentType/>
  <cp:contentStatus/>
</cp:coreProperties>
</file>