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 yWindow="-12" windowWidth="20640" windowHeight="4812" tabRatio="807"/>
  </bookViews>
  <sheets>
    <sheet name="1 " sheetId="108" r:id="rId1"/>
    <sheet name="2  " sheetId="112" r:id="rId2"/>
    <sheet name="3" sheetId="119" r:id="rId3"/>
    <sheet name="4" sheetId="120" r:id="rId4"/>
    <sheet name="5" sheetId="113" r:id="rId5"/>
    <sheet name="7" sheetId="118" r:id="rId6"/>
    <sheet name="10" sheetId="117" r:id="rId7"/>
  </sheets>
  <definedNames>
    <definedName name="_xlnm.Print_Area" localSheetId="0">'1 '!$A$1:$E$21</definedName>
    <definedName name="_xlnm.Print_Area" localSheetId="1">'2  '!$A$1:$F$98</definedName>
    <definedName name="_xlnm.Print_Area" localSheetId="2">'3'!$A$1:$H$960</definedName>
    <definedName name="_xlnm.Print_Area" localSheetId="3">'4'!$A$1:$I$985</definedName>
    <definedName name="_xlnm.Print_Area" localSheetId="4">'5'!$A$1:$F$327</definedName>
  </definedNames>
  <calcPr calcId="145621"/>
</workbook>
</file>

<file path=xl/calcChain.xml><?xml version="1.0" encoding="utf-8"?>
<calcChain xmlns="http://schemas.openxmlformats.org/spreadsheetml/2006/main">
  <c r="D186" i="113" l="1"/>
  <c r="G625" i="120" l="1"/>
  <c r="F927" i="119"/>
  <c r="D15" i="113"/>
  <c r="D217" i="113"/>
  <c r="D220" i="113"/>
  <c r="B13" i="118"/>
  <c r="F31" i="117" l="1"/>
  <c r="G18" i="117"/>
  <c r="F42" i="119"/>
  <c r="F595" i="119"/>
  <c r="G906" i="120" l="1"/>
  <c r="H259" i="120"/>
  <c r="H258" i="120" s="1"/>
  <c r="I259" i="120"/>
  <c r="I258" i="120" s="1"/>
  <c r="H314" i="119"/>
  <c r="H313" i="119" s="1"/>
  <c r="G314" i="119"/>
  <c r="G313" i="119" s="1"/>
  <c r="D295" i="113"/>
  <c r="F166" i="119" s="1"/>
  <c r="F88" i="119"/>
  <c r="F90" i="119"/>
  <c r="D259" i="113"/>
  <c r="G259" i="120"/>
  <c r="G258" i="120" s="1"/>
  <c r="F315" i="119"/>
  <c r="F314" i="119" s="1"/>
  <c r="F313" i="119" s="1"/>
  <c r="F501" i="119"/>
  <c r="F507" i="119"/>
  <c r="G515" i="119"/>
  <c r="D93" i="113"/>
  <c r="F611" i="119"/>
  <c r="D289" i="113"/>
  <c r="D286" i="113"/>
  <c r="D291" i="113"/>
  <c r="D275" i="113" l="1"/>
  <c r="G502" i="120" s="1"/>
  <c r="D273" i="113"/>
  <c r="D261" i="113"/>
  <c r="D195" i="113"/>
  <c r="D184" i="113"/>
  <c r="D74" i="113"/>
  <c r="D82" i="113"/>
  <c r="D75" i="113"/>
  <c r="E47" i="113"/>
  <c r="D180" i="113"/>
  <c r="D175" i="113"/>
  <c r="D167" i="113"/>
  <c r="D148" i="113"/>
  <c r="D109" i="113"/>
  <c r="D108" i="113"/>
  <c r="D99" i="113"/>
  <c r="D88" i="113"/>
  <c r="G847" i="120" s="1"/>
  <c r="D71" i="113"/>
  <c r="D61" i="113"/>
  <c r="F47" i="113"/>
  <c r="D47" i="113"/>
  <c r="F242" i="113"/>
  <c r="E242" i="113"/>
  <c r="G905" i="120" l="1"/>
  <c r="F610" i="119"/>
  <c r="D252" i="113"/>
  <c r="C20" i="108"/>
  <c r="D85" i="112"/>
  <c r="D97" i="112"/>
  <c r="D101" i="112"/>
  <c r="D38" i="112"/>
  <c r="D35" i="112" l="1"/>
  <c r="D34" i="112" l="1"/>
  <c r="D203" i="113"/>
  <c r="D66" i="112"/>
  <c r="D208" i="113"/>
  <c r="D241" i="113" l="1"/>
  <c r="D242" i="113"/>
  <c r="D81" i="112" l="1"/>
  <c r="D233" i="113" l="1"/>
  <c r="F816" i="119"/>
  <c r="G538" i="120"/>
  <c r="D82" i="112"/>
  <c r="J903" i="120" l="1"/>
  <c r="N23" i="117" l="1"/>
  <c r="F484" i="119" l="1"/>
  <c r="H814" i="120"/>
  <c r="H813" i="120" s="1"/>
  <c r="H812" i="120" s="1"/>
  <c r="I814" i="120"/>
  <c r="I813" i="120" s="1"/>
  <c r="I812" i="120" s="1"/>
  <c r="G814" i="120"/>
  <c r="G813" i="120" s="1"/>
  <c r="G812" i="120" s="1"/>
  <c r="G811" i="120"/>
  <c r="G810" i="120" s="1"/>
  <c r="G809" i="120" s="1"/>
  <c r="G808" i="120"/>
  <c r="G807" i="120" s="1"/>
  <c r="G806" i="120" s="1"/>
  <c r="G414" i="119"/>
  <c r="H414" i="119"/>
  <c r="G429" i="119"/>
  <c r="H429" i="119"/>
  <c r="G454" i="119"/>
  <c r="H454" i="119"/>
  <c r="G490" i="119"/>
  <c r="F490" i="119"/>
  <c r="F489" i="119" s="1"/>
  <c r="F488" i="119" s="1"/>
  <c r="G489" i="119"/>
  <c r="G488" i="119" s="1"/>
  <c r="H489" i="119"/>
  <c r="H488" i="119" s="1"/>
  <c r="F483" i="119"/>
  <c r="F482" i="119" s="1"/>
  <c r="F487" i="119"/>
  <c r="F486" i="119" s="1"/>
  <c r="F485" i="119" s="1"/>
  <c r="F481" i="119" l="1"/>
  <c r="F480" i="119" s="1"/>
  <c r="G805" i="120"/>
  <c r="G804" i="120" s="1"/>
  <c r="F52" i="113"/>
  <c r="D100" i="113"/>
  <c r="F102" i="113"/>
  <c r="E102" i="113"/>
  <c r="F101" i="113"/>
  <c r="E101" i="113"/>
  <c r="F50" i="113"/>
  <c r="E50" i="113"/>
  <c r="E52" i="113"/>
  <c r="D50" i="113"/>
  <c r="D52" i="113"/>
  <c r="F470" i="119" s="1"/>
  <c r="F100" i="113" l="1"/>
  <c r="H791" i="120"/>
  <c r="G467" i="119"/>
  <c r="H811" i="120"/>
  <c r="H810" i="120" s="1"/>
  <c r="H809" i="120" s="1"/>
  <c r="G487" i="119"/>
  <c r="G486" i="119" s="1"/>
  <c r="G485" i="119" s="1"/>
  <c r="G470" i="119"/>
  <c r="H794" i="120"/>
  <c r="I791" i="120"/>
  <c r="H467" i="119"/>
  <c r="I811" i="120"/>
  <c r="I810" i="120" s="1"/>
  <c r="I809" i="120" s="1"/>
  <c r="H487" i="119"/>
  <c r="H486" i="119" s="1"/>
  <c r="H485" i="119" s="1"/>
  <c r="H470" i="119"/>
  <c r="I794" i="120"/>
  <c r="H484" i="119"/>
  <c r="H483" i="119" s="1"/>
  <c r="H482" i="119" s="1"/>
  <c r="I808" i="120"/>
  <c r="I807" i="120" s="1"/>
  <c r="I806" i="120" s="1"/>
  <c r="I805" i="120" s="1"/>
  <c r="I804" i="120" s="1"/>
  <c r="F467" i="119"/>
  <c r="G791" i="120"/>
  <c r="E100" i="113"/>
  <c r="G484" i="119"/>
  <c r="G483" i="119" s="1"/>
  <c r="G482" i="119" s="1"/>
  <c r="H808" i="120"/>
  <c r="H807" i="120" s="1"/>
  <c r="H806" i="120" s="1"/>
  <c r="H805" i="120" s="1"/>
  <c r="H804" i="120" s="1"/>
  <c r="D249" i="113"/>
  <c r="G481" i="119" l="1"/>
  <c r="G480" i="119" s="1"/>
  <c r="H481" i="119"/>
  <c r="H480" i="119" s="1"/>
  <c r="D96" i="112"/>
  <c r="D61" i="112" l="1"/>
  <c r="D55" i="112"/>
  <c r="G182" i="120"/>
  <c r="F593" i="119"/>
  <c r="F235" i="119"/>
  <c r="F32" i="119"/>
  <c r="F387" i="119"/>
  <c r="F417" i="119"/>
  <c r="G720" i="120" l="1"/>
  <c r="D60" i="113"/>
  <c r="G744" i="120"/>
  <c r="D67" i="113"/>
  <c r="D27" i="113"/>
  <c r="G242" i="113"/>
  <c r="D264" i="113"/>
  <c r="D22" i="112" l="1"/>
  <c r="D31" i="112"/>
  <c r="D24" i="112"/>
  <c r="D26" i="112"/>
  <c r="H96" i="112"/>
  <c r="H55" i="112"/>
  <c r="D21" i="112" l="1"/>
  <c r="D174" i="113"/>
  <c r="D166" i="113"/>
  <c r="H117" i="120" l="1"/>
  <c r="I117" i="120"/>
  <c r="G117" i="120"/>
  <c r="G442" i="119"/>
  <c r="G441" i="119" s="1"/>
  <c r="H442" i="119"/>
  <c r="H441" i="119" s="1"/>
  <c r="F30" i="119"/>
  <c r="D282" i="113"/>
  <c r="D170" i="113"/>
  <c r="G98" i="120"/>
  <c r="B14" i="118"/>
  <c r="B16" i="118" s="1"/>
  <c r="D222" i="113"/>
  <c r="F145" i="119" l="1"/>
  <c r="D248" i="113"/>
  <c r="H249" i="113" s="1"/>
  <c r="I249" i="113" s="1"/>
  <c r="D48" i="112"/>
  <c r="D54" i="112"/>
  <c r="E43" i="113"/>
  <c r="F43" i="113"/>
  <c r="D44" i="113"/>
  <c r="D43" i="113" s="1"/>
  <c r="D41" i="113"/>
  <c r="D40" i="113" s="1"/>
  <c r="E40" i="113"/>
  <c r="F40" i="113"/>
  <c r="D38" i="113"/>
  <c r="D39" i="113"/>
  <c r="E34" i="113"/>
  <c r="F34" i="113"/>
  <c r="D34" i="113"/>
  <c r="E31" i="113"/>
  <c r="F31" i="113"/>
  <c r="D31" i="113"/>
  <c r="F433" i="119" s="1"/>
  <c r="D29" i="113"/>
  <c r="D30" i="113"/>
  <c r="G39" i="112"/>
  <c r="D37" i="113" l="1"/>
  <c r="G769" i="120"/>
  <c r="F440" i="119"/>
  <c r="F439" i="119" s="1"/>
  <c r="F438" i="119" s="1"/>
  <c r="G772" i="120"/>
  <c r="F443" i="119"/>
  <c r="F442" i="119" s="1"/>
  <c r="F441" i="119" s="1"/>
  <c r="G762" i="120"/>
  <c r="F436" i="119"/>
  <c r="G765" i="120"/>
  <c r="D28" i="113"/>
  <c r="H966" i="119"/>
  <c r="G966" i="119"/>
  <c r="H816" i="119"/>
  <c r="H815" i="119"/>
  <c r="H813" i="119"/>
  <c r="I535" i="120" s="1"/>
  <c r="I538" i="120"/>
  <c r="I537" i="120"/>
  <c r="H840" i="119"/>
  <c r="G840" i="119"/>
  <c r="F840" i="119"/>
  <c r="H838" i="119"/>
  <c r="G838" i="119"/>
  <c r="F838" i="119"/>
  <c r="F837" i="119"/>
  <c r="H835" i="119"/>
  <c r="H834" i="119" s="1"/>
  <c r="G835" i="119"/>
  <c r="G834" i="119" s="1"/>
  <c r="F835" i="119"/>
  <c r="F834" i="119" s="1"/>
  <c r="H832" i="119"/>
  <c r="H831" i="119" s="1"/>
  <c r="G832" i="119"/>
  <c r="G831" i="119" s="1"/>
  <c r="F832" i="119"/>
  <c r="F831" i="119" s="1"/>
  <c r="H559" i="120"/>
  <c r="I559" i="120"/>
  <c r="G559" i="120"/>
  <c r="H561" i="120"/>
  <c r="I561" i="120"/>
  <c r="G561" i="120"/>
  <c r="H556" i="120"/>
  <c r="H555" i="120" s="1"/>
  <c r="I556" i="120"/>
  <c r="I555" i="120" s="1"/>
  <c r="G556" i="120"/>
  <c r="G555" i="120" s="1"/>
  <c r="I990" i="120"/>
  <c r="H990" i="120"/>
  <c r="H991" i="120" s="1"/>
  <c r="H553" i="120"/>
  <c r="H552" i="120" s="1"/>
  <c r="I553" i="120"/>
  <c r="I552" i="120" s="1"/>
  <c r="G553" i="120"/>
  <c r="G552" i="120" s="1"/>
  <c r="A566" i="120"/>
  <c r="F230" i="113"/>
  <c r="F232" i="113"/>
  <c r="F314" i="113"/>
  <c r="F234" i="113"/>
  <c r="G837" i="119" l="1"/>
  <c r="G558" i="120"/>
  <c r="G551" i="120"/>
  <c r="G550" i="120" s="1"/>
  <c r="F437" i="119"/>
  <c r="H558" i="120"/>
  <c r="H551" i="120" s="1"/>
  <c r="H550" i="120" s="1"/>
  <c r="H837" i="119"/>
  <c r="H830" i="119" s="1"/>
  <c r="H829" i="119" s="1"/>
  <c r="G830" i="119"/>
  <c r="G829" i="119" s="1"/>
  <c r="F830" i="119"/>
  <c r="F829" i="119" s="1"/>
  <c r="I558" i="120"/>
  <c r="I551" i="120" s="1"/>
  <c r="I550" i="120" s="1"/>
  <c r="E20" i="108" l="1"/>
  <c r="D20" i="108"/>
  <c r="D13" i="108"/>
  <c r="D19" i="108" s="1"/>
  <c r="G800" i="119" l="1"/>
  <c r="H800" i="119"/>
  <c r="H522" i="120"/>
  <c r="I522" i="120"/>
  <c r="G522" i="120"/>
  <c r="H769" i="120"/>
  <c r="H768" i="120" s="1"/>
  <c r="H767" i="120" s="1"/>
  <c r="I769" i="120"/>
  <c r="I768" i="120" s="1"/>
  <c r="I767" i="120" s="1"/>
  <c r="G768" i="120"/>
  <c r="G767" i="120" s="1"/>
  <c r="H772" i="120"/>
  <c r="H771" i="120" s="1"/>
  <c r="H770" i="120" s="1"/>
  <c r="I772" i="120"/>
  <c r="I771" i="120" s="1"/>
  <c r="I770" i="120" s="1"/>
  <c r="H765" i="120"/>
  <c r="I765" i="120"/>
  <c r="H762" i="120"/>
  <c r="I762" i="120"/>
  <c r="J762" i="120"/>
  <c r="G439" i="119"/>
  <c r="G438" i="119" s="1"/>
  <c r="G437" i="119" s="1"/>
  <c r="H439" i="119"/>
  <c r="H438" i="119" s="1"/>
  <c r="H437" i="119" s="1"/>
  <c r="G436" i="119"/>
  <c r="H436" i="119"/>
  <c r="G433" i="119"/>
  <c r="H433" i="119"/>
  <c r="H766" i="120" l="1"/>
  <c r="I766" i="120"/>
  <c r="E54" i="112" l="1"/>
  <c r="F54" i="112"/>
  <c r="E314" i="113"/>
  <c r="D292" i="113"/>
  <c r="H802" i="119"/>
  <c r="I524" i="120" s="1"/>
  <c r="E232" i="113"/>
  <c r="G802" i="119" s="1"/>
  <c r="H524" i="120" s="1"/>
  <c r="I233" i="113" l="1"/>
  <c r="H233" i="113"/>
  <c r="I38" i="113" l="1"/>
  <c r="E37" i="113"/>
  <c r="F37" i="113"/>
  <c r="G771" i="120" l="1"/>
  <c r="G770" i="120" s="1"/>
  <c r="G766" i="120" s="1"/>
  <c r="A568" i="120"/>
  <c r="H132" i="119" l="1"/>
  <c r="G132" i="119"/>
  <c r="G779" i="119"/>
  <c r="H779" i="119"/>
  <c r="F779" i="119"/>
  <c r="H517" i="120"/>
  <c r="I517" i="120"/>
  <c r="G517" i="120"/>
  <c r="H87" i="120"/>
  <c r="I87" i="120"/>
  <c r="J565" i="120"/>
  <c r="H572" i="120"/>
  <c r="H571" i="120" s="1"/>
  <c r="I572" i="120"/>
  <c r="I571" i="120" s="1"/>
  <c r="J572" i="120"/>
  <c r="G572" i="120"/>
  <c r="G571" i="120" s="1"/>
  <c r="A567" i="120"/>
  <c r="H848" i="119"/>
  <c r="G848" i="119"/>
  <c r="F848" i="119"/>
  <c r="H847" i="119"/>
  <c r="H846" i="119" s="1"/>
  <c r="H845" i="119" s="1"/>
  <c r="H844" i="119" s="1"/>
  <c r="H843" i="119" s="1"/>
  <c r="G847" i="119"/>
  <c r="G846" i="119" s="1"/>
  <c r="G845" i="119" s="1"/>
  <c r="G844" i="119" s="1"/>
  <c r="G843" i="119" s="1"/>
  <c r="F847" i="119"/>
  <c r="G570" i="120" s="1"/>
  <c r="G569" i="120" s="1"/>
  <c r="F800" i="119"/>
  <c r="F154" i="119"/>
  <c r="D232" i="113"/>
  <c r="D262" i="113"/>
  <c r="G87" i="120" s="1"/>
  <c r="D314" i="113"/>
  <c r="I148" i="119" s="1"/>
  <c r="F802" i="119" l="1"/>
  <c r="G524" i="120" s="1"/>
  <c r="J234" i="113"/>
  <c r="I570" i="120"/>
  <c r="I569" i="120" s="1"/>
  <c r="I568" i="120" s="1"/>
  <c r="I567" i="120" s="1"/>
  <c r="I566" i="120" s="1"/>
  <c r="I565" i="120" s="1"/>
  <c r="H570" i="120"/>
  <c r="H569" i="120" s="1"/>
  <c r="H568" i="120" s="1"/>
  <c r="H567" i="120" s="1"/>
  <c r="H566" i="120" s="1"/>
  <c r="H565" i="120" s="1"/>
  <c r="F132" i="119"/>
  <c r="F846" i="119"/>
  <c r="F845" i="119" s="1"/>
  <c r="F844" i="119" s="1"/>
  <c r="F843" i="119" s="1"/>
  <c r="G568" i="120"/>
  <c r="G567" i="120" s="1"/>
  <c r="G566" i="120" s="1"/>
  <c r="G565" i="120" s="1"/>
  <c r="D91" i="112" l="1"/>
  <c r="D90" i="112"/>
  <c r="I707" i="120" l="1"/>
  <c r="H645" i="120" l="1"/>
  <c r="I645" i="120"/>
  <c r="I260" i="113"/>
  <c r="J260" i="113"/>
  <c r="J324" i="120"/>
  <c r="G544" i="119"/>
  <c r="H544" i="119"/>
  <c r="H146" i="113" l="1"/>
  <c r="I146" i="113"/>
  <c r="E85" i="113"/>
  <c r="H301" i="120" l="1"/>
  <c r="I301" i="120"/>
  <c r="H213" i="120"/>
  <c r="I213" i="120"/>
  <c r="H174" i="120"/>
  <c r="I174" i="120"/>
  <c r="H150" i="120"/>
  <c r="I150" i="120"/>
  <c r="H147" i="120"/>
  <c r="I147" i="120"/>
  <c r="H144" i="120"/>
  <c r="I144" i="120"/>
  <c r="H832" i="120"/>
  <c r="I832" i="120"/>
  <c r="G744" i="119"/>
  <c r="H744" i="119"/>
  <c r="G741" i="119"/>
  <c r="H741" i="119"/>
  <c r="G625" i="119"/>
  <c r="G614" i="119"/>
  <c r="H614" i="119"/>
  <c r="G496" i="119"/>
  <c r="H496" i="119"/>
  <c r="G451" i="119"/>
  <c r="H451" i="119"/>
  <c r="G423" i="119"/>
  <c r="H423" i="119"/>
  <c r="G390" i="119"/>
  <c r="H390" i="119"/>
  <c r="G384" i="119"/>
  <c r="H384" i="119"/>
  <c r="H877" i="120"/>
  <c r="H876" i="120" s="1"/>
  <c r="H875" i="120" s="1"/>
  <c r="I877" i="120"/>
  <c r="I876" i="120" s="1"/>
  <c r="I875" i="120" s="1"/>
  <c r="G877" i="120"/>
  <c r="G876" i="120" s="1"/>
  <c r="G875" i="120" s="1"/>
  <c r="H426" i="120"/>
  <c r="I426" i="120"/>
  <c r="G426" i="120"/>
  <c r="H423" i="120"/>
  <c r="I423" i="120"/>
  <c r="H419" i="120"/>
  <c r="I419" i="120"/>
  <c r="H416" i="120"/>
  <c r="I416" i="120"/>
  <c r="H257" i="120"/>
  <c r="H256" i="120" s="1"/>
  <c r="H255" i="120" s="1"/>
  <c r="I257" i="120"/>
  <c r="I256" i="120" s="1"/>
  <c r="I255" i="120" s="1"/>
  <c r="G257" i="120"/>
  <c r="G256" i="120" s="1"/>
  <c r="G255" i="120" s="1"/>
  <c r="H225" i="120"/>
  <c r="I225" i="120"/>
  <c r="G225" i="120"/>
  <c r="H93" i="120"/>
  <c r="I93" i="120"/>
  <c r="H90" i="120"/>
  <c r="I90" i="120"/>
  <c r="G708" i="119"/>
  <c r="H708" i="119"/>
  <c r="F708" i="119"/>
  <c r="G705" i="119"/>
  <c r="H705" i="119"/>
  <c r="G701" i="119"/>
  <c r="H701" i="119"/>
  <c r="G698" i="119"/>
  <c r="H698" i="119"/>
  <c r="G583" i="119"/>
  <c r="G582" i="119" s="1"/>
  <c r="G581" i="119" s="1"/>
  <c r="H583" i="119"/>
  <c r="H582" i="119" s="1"/>
  <c r="H581" i="119" s="1"/>
  <c r="F583" i="119"/>
  <c r="F582" i="119" s="1"/>
  <c r="F581" i="119" s="1"/>
  <c r="G593" i="119"/>
  <c r="H593" i="119"/>
  <c r="G312" i="119"/>
  <c r="G311" i="119" s="1"/>
  <c r="G310" i="119" s="1"/>
  <c r="H312" i="119"/>
  <c r="H311" i="119" s="1"/>
  <c r="H310" i="119" s="1"/>
  <c r="F312" i="119"/>
  <c r="F311" i="119" s="1"/>
  <c r="F310" i="119" s="1"/>
  <c r="G280" i="119"/>
  <c r="H280" i="119"/>
  <c r="F280" i="119"/>
  <c r="I62" i="119"/>
  <c r="E259" i="113"/>
  <c r="F259" i="113"/>
  <c r="H234" i="113"/>
  <c r="I234" i="113"/>
  <c r="G234" i="113"/>
  <c r="I240" i="113"/>
  <c r="I241" i="113" s="1"/>
  <c r="E207" i="113"/>
  <c r="H223" i="120" s="1"/>
  <c r="F207" i="113"/>
  <c r="I223" i="120" s="1"/>
  <c r="D207" i="113"/>
  <c r="E248" i="113"/>
  <c r="G309" i="119" s="1"/>
  <c r="F248" i="113"/>
  <c r="H309" i="119" s="1"/>
  <c r="F278" i="119" l="1"/>
  <c r="D201" i="113"/>
  <c r="G207" i="113"/>
  <c r="G208" i="113" s="1"/>
  <c r="F309" i="119"/>
  <c r="F308" i="119" s="1"/>
  <c r="F307" i="119" s="1"/>
  <c r="F306" i="119" s="1"/>
  <c r="H278" i="119"/>
  <c r="G223" i="120"/>
  <c r="H308" i="119"/>
  <c r="H307" i="119" s="1"/>
  <c r="H306" i="119" s="1"/>
  <c r="I254" i="120"/>
  <c r="I253" i="120" s="1"/>
  <c r="I252" i="120" s="1"/>
  <c r="I251" i="120" s="1"/>
  <c r="G308" i="119"/>
  <c r="G307" i="119" s="1"/>
  <c r="G306" i="119" s="1"/>
  <c r="H254" i="120"/>
  <c r="H253" i="120" s="1"/>
  <c r="H252" i="120" s="1"/>
  <c r="H251" i="120" s="1"/>
  <c r="G278" i="119"/>
  <c r="E74" i="113"/>
  <c r="F74" i="113"/>
  <c r="G254" i="120" l="1"/>
  <c r="G253" i="120" s="1"/>
  <c r="G252" i="120" s="1"/>
  <c r="G251" i="120" s="1"/>
  <c r="D164" i="113"/>
  <c r="D161" i="113"/>
  <c r="D162" i="113"/>
  <c r="G146" i="113" s="1"/>
  <c r="F85" i="113"/>
  <c r="D85" i="113"/>
  <c r="E75" i="113"/>
  <c r="F75" i="113"/>
  <c r="I164" i="113" l="1"/>
  <c r="G419" i="120"/>
  <c r="F701" i="119"/>
  <c r="F698" i="119"/>
  <c r="G416" i="120"/>
  <c r="E84" i="113"/>
  <c r="G580" i="119"/>
  <c r="G579" i="119" s="1"/>
  <c r="G578" i="119" s="1"/>
  <c r="G577" i="119" s="1"/>
  <c r="H874" i="120"/>
  <c r="H873" i="120" s="1"/>
  <c r="H872" i="120" s="1"/>
  <c r="H871" i="120" s="1"/>
  <c r="D84" i="113"/>
  <c r="G874" i="120"/>
  <c r="G873" i="120" s="1"/>
  <c r="G872" i="120" s="1"/>
  <c r="G871" i="120" s="1"/>
  <c r="F580" i="119"/>
  <c r="F579" i="119" s="1"/>
  <c r="F578" i="119" s="1"/>
  <c r="F577" i="119" s="1"/>
  <c r="F84" i="113"/>
  <c r="I874" i="120"/>
  <c r="I873" i="120" s="1"/>
  <c r="I872" i="120" s="1"/>
  <c r="I871" i="120" s="1"/>
  <c r="H580" i="119"/>
  <c r="H579" i="119" s="1"/>
  <c r="H578" i="119" s="1"/>
  <c r="H577" i="119" s="1"/>
  <c r="G423" i="120"/>
  <c r="F705" i="119"/>
  <c r="D44" i="112"/>
  <c r="C11" i="112"/>
  <c r="D11" i="112"/>
  <c r="E11" i="112"/>
  <c r="F11" i="112"/>
  <c r="C13" i="112"/>
  <c r="D13" i="112"/>
  <c r="E13" i="112"/>
  <c r="F13" i="112"/>
  <c r="C15" i="112"/>
  <c r="D15" i="112"/>
  <c r="E15" i="112"/>
  <c r="F15" i="112"/>
  <c r="C19" i="112"/>
  <c r="D19" i="112"/>
  <c r="E19" i="112"/>
  <c r="F19" i="112"/>
  <c r="C21" i="112"/>
  <c r="E21" i="112"/>
  <c r="F21" i="112"/>
  <c r="C28" i="112"/>
  <c r="D28" i="112"/>
  <c r="E28" i="112"/>
  <c r="F28" i="112"/>
  <c r="C30" i="112"/>
  <c r="D30" i="112"/>
  <c r="E30" i="112"/>
  <c r="F30" i="112"/>
  <c r="C33" i="112"/>
  <c r="D33" i="112"/>
  <c r="E33" i="112"/>
  <c r="F33" i="112"/>
  <c r="C37" i="112"/>
  <c r="D37" i="112"/>
  <c r="E37" i="112"/>
  <c r="F37" i="112"/>
  <c r="C41" i="112"/>
  <c r="D41" i="112"/>
  <c r="E41" i="112"/>
  <c r="F41" i="112"/>
  <c r="C54" i="112"/>
  <c r="C44" i="112" s="1"/>
  <c r="E44" i="112"/>
  <c r="F44" i="112"/>
  <c r="C70" i="112"/>
  <c r="C69" i="112" s="1"/>
  <c r="C77" i="112"/>
  <c r="C89" i="112"/>
  <c r="D89" i="112"/>
  <c r="D70" i="112" s="1"/>
  <c r="E89" i="112"/>
  <c r="E70" i="112" s="1"/>
  <c r="F89" i="112"/>
  <c r="F70" i="112" s="1"/>
  <c r="D92" i="112"/>
  <c r="E92" i="112"/>
  <c r="F92" i="112"/>
  <c r="D94" i="112"/>
  <c r="E94" i="112"/>
  <c r="F94" i="112"/>
  <c r="E17" i="108"/>
  <c r="D17" i="108"/>
  <c r="C17" i="108"/>
  <c r="E13" i="108"/>
  <c r="E19" i="108" s="1"/>
  <c r="C13" i="108" l="1"/>
  <c r="C19" i="108" s="1"/>
  <c r="E69" i="112"/>
  <c r="E18" i="108"/>
  <c r="F69" i="112"/>
  <c r="F40" i="112" s="1"/>
  <c r="F39" i="112" s="1"/>
  <c r="C15" i="108"/>
  <c r="E15" i="108"/>
  <c r="C10" i="112"/>
  <c r="C12" i="108"/>
  <c r="F10" i="112"/>
  <c r="E12" i="108"/>
  <c r="E10" i="112"/>
  <c r="D69" i="112"/>
  <c r="D40" i="112" s="1"/>
  <c r="J23" i="112"/>
  <c r="D10" i="112"/>
  <c r="E40" i="112"/>
  <c r="E39" i="112" s="1"/>
  <c r="C40" i="112"/>
  <c r="C39" i="112" s="1"/>
  <c r="C98" i="112" s="1"/>
  <c r="D18" i="108"/>
  <c r="D12" i="108"/>
  <c r="D15" i="108"/>
  <c r="C18" i="108" l="1"/>
  <c r="E21" i="108"/>
  <c r="F98" i="112"/>
  <c r="E98" i="112"/>
  <c r="D21" i="108"/>
  <c r="D39" i="112"/>
  <c r="D98" i="112" s="1"/>
  <c r="F19" i="108" l="1"/>
  <c r="C21" i="108"/>
  <c r="C22" i="108" s="1"/>
  <c r="D244" i="113"/>
  <c r="L25" i="120" l="1"/>
  <c r="H29" i="120"/>
  <c r="I29" i="120"/>
  <c r="G29" i="120"/>
  <c r="D212" i="113"/>
  <c r="D245" i="113"/>
  <c r="H824" i="120"/>
  <c r="I824" i="120"/>
  <c r="H828" i="120"/>
  <c r="I828" i="120"/>
  <c r="K826" i="120" l="1"/>
  <c r="G168" i="113"/>
  <c r="H839" i="120" l="1"/>
  <c r="H838" i="120" s="1"/>
  <c r="H837" i="120" s="1"/>
  <c r="I839" i="120"/>
  <c r="I838" i="120" s="1"/>
  <c r="I837" i="120" s="1"/>
  <c r="G839" i="120"/>
  <c r="G838" i="120" s="1"/>
  <c r="G837" i="120" s="1"/>
  <c r="H758" i="120"/>
  <c r="I758" i="120"/>
  <c r="H751" i="120"/>
  <c r="I751" i="120"/>
  <c r="I744" i="120"/>
  <c r="H741" i="120"/>
  <c r="I741" i="120"/>
  <c r="H549" i="120"/>
  <c r="I549" i="120"/>
  <c r="H506" i="120"/>
  <c r="I506" i="120"/>
  <c r="H490" i="120"/>
  <c r="H487" i="120"/>
  <c r="I487" i="120"/>
  <c r="H484" i="120"/>
  <c r="I484" i="120"/>
  <c r="H482" i="120"/>
  <c r="I482" i="120"/>
  <c r="H479" i="120"/>
  <c r="I479" i="120"/>
  <c r="H476" i="120"/>
  <c r="I476" i="120"/>
  <c r="G445" i="120"/>
  <c r="G448" i="120"/>
  <c r="G280" i="120"/>
  <c r="H250" i="120"/>
  <c r="I250" i="120"/>
  <c r="G250" i="120"/>
  <c r="L65" i="120"/>
  <c r="M65" i="120"/>
  <c r="K65" i="120"/>
  <c r="J786" i="119"/>
  <c r="K786" i="119"/>
  <c r="I786" i="119"/>
  <c r="G739" i="119"/>
  <c r="H739" i="119"/>
  <c r="F739" i="119"/>
  <c r="G358" i="119"/>
  <c r="H358" i="119"/>
  <c r="F358" i="119"/>
  <c r="G355" i="119"/>
  <c r="H355" i="119"/>
  <c r="H744" i="120"/>
  <c r="H821" i="120"/>
  <c r="I821" i="120"/>
  <c r="H497" i="119"/>
  <c r="G503" i="119"/>
  <c r="H825" i="120" s="1"/>
  <c r="H649" i="120"/>
  <c r="H648" i="120" s="1"/>
  <c r="I649" i="120"/>
  <c r="I648" i="120" s="1"/>
  <c r="G649" i="120"/>
  <c r="G648" i="120" s="1"/>
  <c r="J651" i="120"/>
  <c r="H681" i="120"/>
  <c r="H680" i="120" s="1"/>
  <c r="I681" i="120"/>
  <c r="I680" i="120" s="1"/>
  <c r="G681" i="120"/>
  <c r="G680" i="120" s="1"/>
  <c r="H365" i="120"/>
  <c r="H364" i="120" s="1"/>
  <c r="H363" i="120" s="1"/>
  <c r="I365" i="120"/>
  <c r="I364" i="120" s="1"/>
  <c r="I363" i="120" s="1"/>
  <c r="G365" i="120"/>
  <c r="G364" i="120" s="1"/>
  <c r="G363" i="120" s="1"/>
  <c r="J198" i="120"/>
  <c r="H203" i="120"/>
  <c r="I203" i="120"/>
  <c r="G203" i="120"/>
  <c r="I867" i="120"/>
  <c r="I866" i="120" s="1"/>
  <c r="H867" i="120"/>
  <c r="H866" i="120" s="1"/>
  <c r="G867" i="120"/>
  <c r="G866" i="120" s="1"/>
  <c r="H42" i="120"/>
  <c r="I42" i="120"/>
  <c r="G42" i="120"/>
  <c r="H27" i="120"/>
  <c r="I27" i="120"/>
  <c r="G27" i="120"/>
  <c r="H19" i="120"/>
  <c r="I19" i="120"/>
  <c r="G19" i="120"/>
  <c r="G255" i="119"/>
  <c r="H255" i="119"/>
  <c r="F255" i="119"/>
  <c r="J643" i="119"/>
  <c r="K643" i="119"/>
  <c r="I643" i="119"/>
  <c r="I594" i="119"/>
  <c r="G514" i="119"/>
  <c r="G513" i="119" s="1"/>
  <c r="H514" i="119"/>
  <c r="H513" i="119" s="1"/>
  <c r="F514" i="119"/>
  <c r="F513" i="119" s="1"/>
  <c r="H503" i="119"/>
  <c r="I825" i="120" s="1"/>
  <c r="G825" i="120"/>
  <c r="G821" i="120"/>
  <c r="E82" i="113"/>
  <c r="F82" i="113"/>
  <c r="F305" i="119"/>
  <c r="G129" i="119"/>
  <c r="H84" i="120" s="1"/>
  <c r="H129" i="119"/>
  <c r="I84" i="120" s="1"/>
  <c r="F129" i="119"/>
  <c r="G127" i="119"/>
  <c r="H82" i="120" s="1"/>
  <c r="H127" i="119"/>
  <c r="I82" i="120" s="1"/>
  <c r="F127" i="119"/>
  <c r="H109" i="119"/>
  <c r="G109" i="119"/>
  <c r="F109" i="119"/>
  <c r="F497" i="119" l="1"/>
  <c r="I497" i="119" s="1"/>
  <c r="F503" i="119"/>
  <c r="G497" i="119"/>
  <c r="I498" i="119"/>
  <c r="H90" i="119"/>
  <c r="G90" i="119"/>
  <c r="G83" i="119"/>
  <c r="H83" i="119"/>
  <c r="F83" i="119"/>
  <c r="G53" i="119"/>
  <c r="H656" i="120" s="1"/>
  <c r="H53" i="119"/>
  <c r="I656" i="120" s="1"/>
  <c r="F53" i="119"/>
  <c r="G40" i="119"/>
  <c r="H25" i="120" s="1"/>
  <c r="H40" i="119"/>
  <c r="I25" i="120" s="1"/>
  <c r="F40" i="119"/>
  <c r="G30" i="119"/>
  <c r="H30" i="119"/>
  <c r="J28" i="119"/>
  <c r="J29" i="119" s="1"/>
  <c r="D260" i="113"/>
  <c r="F547" i="119" s="1"/>
  <c r="F546" i="119" s="1"/>
  <c r="F545" i="119" s="1"/>
  <c r="D296" i="113"/>
  <c r="E260" i="113"/>
  <c r="G547" i="119" s="1"/>
  <c r="G546" i="119" s="1"/>
  <c r="G545" i="119" s="1"/>
  <c r="F260" i="113"/>
  <c r="H547" i="119" s="1"/>
  <c r="H546" i="119" s="1"/>
  <c r="H545" i="119" s="1"/>
  <c r="H155" i="113"/>
  <c r="G25" i="120" l="1"/>
  <c r="I42" i="119"/>
  <c r="I499" i="119"/>
  <c r="E79" i="113"/>
  <c r="E78" i="113" s="1"/>
  <c r="F79" i="113"/>
  <c r="D79" i="113"/>
  <c r="D73" i="113"/>
  <c r="D250" i="113"/>
  <c r="D247" i="113" s="1"/>
  <c r="F250" i="113"/>
  <c r="E250" i="113"/>
  <c r="D210" i="113"/>
  <c r="G80" i="113" l="1"/>
  <c r="G836" i="120"/>
  <c r="G835" i="120" s="1"/>
  <c r="G834" i="120" s="1"/>
  <c r="G833" i="120" s="1"/>
  <c r="F512" i="119"/>
  <c r="F511" i="119" s="1"/>
  <c r="F510" i="119" s="1"/>
  <c r="F509" i="119" s="1"/>
  <c r="F247" i="113"/>
  <c r="I247" i="120"/>
  <c r="H302" i="119"/>
  <c r="H301" i="119"/>
  <c r="F302" i="119"/>
  <c r="F301" i="119" s="1"/>
  <c r="F300" i="119" s="1"/>
  <c r="G247" i="120"/>
  <c r="F78" i="113"/>
  <c r="I836" i="120"/>
  <c r="I835" i="120" s="1"/>
  <c r="I834" i="120" s="1"/>
  <c r="I833" i="120" s="1"/>
  <c r="H512" i="119"/>
  <c r="H511" i="119" s="1"/>
  <c r="H510" i="119" s="1"/>
  <c r="H509" i="119" s="1"/>
  <c r="E247" i="113"/>
  <c r="H247" i="120"/>
  <c r="G301" i="119"/>
  <c r="G302" i="119"/>
  <c r="G512" i="119"/>
  <c r="G511" i="119" s="1"/>
  <c r="G510" i="119" s="1"/>
  <c r="G509" i="119" s="1"/>
  <c r="H836" i="120"/>
  <c r="H835" i="120" s="1"/>
  <c r="H834" i="120" s="1"/>
  <c r="H833" i="120" s="1"/>
  <c r="D78" i="113"/>
  <c r="E246" i="113"/>
  <c r="F246" i="113"/>
  <c r="D246" i="113"/>
  <c r="H258" i="119" l="1"/>
  <c r="I208" i="120"/>
  <c r="G208" i="120"/>
  <c r="F258" i="119"/>
  <c r="G258" i="119"/>
  <c r="H208" i="120"/>
  <c r="G245" i="113"/>
  <c r="H245" i="113" s="1"/>
  <c r="F331" i="113" l="1"/>
  <c r="E331" i="113"/>
  <c r="E325" i="113" s="1"/>
  <c r="E244" i="113" l="1"/>
  <c r="F244" i="113"/>
  <c r="E304" i="113"/>
  <c r="J96" i="119" s="1"/>
  <c r="F304" i="113"/>
  <c r="K96" i="119" s="1"/>
  <c r="D304" i="113"/>
  <c r="I96" i="119" s="1"/>
  <c r="E303" i="113"/>
  <c r="J91" i="119" s="1"/>
  <c r="F303" i="113"/>
  <c r="K91" i="119" s="1"/>
  <c r="D303" i="113"/>
  <c r="I91" i="119" s="1"/>
  <c r="D302" i="113"/>
  <c r="F243" i="113" l="1"/>
  <c r="I200" i="120"/>
  <c r="H252" i="119"/>
  <c r="E243" i="113"/>
  <c r="H200" i="120"/>
  <c r="G252" i="119"/>
  <c r="F252" i="119"/>
  <c r="G200" i="120"/>
  <c r="D243" i="113"/>
  <c r="H243" i="113" s="1"/>
  <c r="H244" i="113" s="1"/>
  <c r="G301" i="120" l="1"/>
  <c r="G87" i="113"/>
  <c r="F108" i="113"/>
  <c r="I591" i="119"/>
  <c r="I592" i="119" s="1"/>
  <c r="G528" i="119"/>
  <c r="H528" i="119"/>
  <c r="F528" i="119"/>
  <c r="I504" i="119"/>
  <c r="J148" i="119"/>
  <c r="K148" i="119"/>
  <c r="H610" i="119" l="1"/>
  <c r="I905" i="120"/>
  <c r="G218" i="120"/>
  <c r="G217" i="120" s="1"/>
  <c r="H237" i="120"/>
  <c r="H236" i="120" s="1"/>
  <c r="I237" i="120"/>
  <c r="I236" i="120" s="1"/>
  <c r="G237" i="120"/>
  <c r="G236" i="120" s="1"/>
  <c r="H242" i="120"/>
  <c r="H241" i="120" s="1"/>
  <c r="I242" i="120"/>
  <c r="I241" i="120" s="1"/>
  <c r="G242" i="120"/>
  <c r="G241" i="120" s="1"/>
  <c r="H285" i="120"/>
  <c r="H284" i="120" s="1"/>
  <c r="H283" i="120" s="1"/>
  <c r="H282" i="120" s="1"/>
  <c r="H281" i="120" s="1"/>
  <c r="I285" i="120"/>
  <c r="I284" i="120" s="1"/>
  <c r="I283" i="120" s="1"/>
  <c r="I282" i="120" s="1"/>
  <c r="I281" i="120" s="1"/>
  <c r="G285" i="120"/>
  <c r="G284" i="120" s="1"/>
  <c r="G283" i="120" s="1"/>
  <c r="G282" i="120" s="1"/>
  <c r="G281" i="120" s="1"/>
  <c r="H357" i="120"/>
  <c r="H356" i="120" s="1"/>
  <c r="I357" i="120"/>
  <c r="I356" i="120" s="1"/>
  <c r="G357" i="120"/>
  <c r="G356" i="120" s="1"/>
  <c r="H371" i="120"/>
  <c r="H370" i="120" s="1"/>
  <c r="H369" i="120" s="1"/>
  <c r="H368" i="120" s="1"/>
  <c r="I371" i="120"/>
  <c r="I370" i="120" s="1"/>
  <c r="I369" i="120" s="1"/>
  <c r="I368" i="120" s="1"/>
  <c r="H377" i="120"/>
  <c r="H376" i="120" s="1"/>
  <c r="H375" i="120" s="1"/>
  <c r="I377" i="120"/>
  <c r="I376" i="120" s="1"/>
  <c r="I375" i="120" s="1"/>
  <c r="H30" i="117"/>
  <c r="F30" i="117" s="1"/>
  <c r="K23" i="117"/>
  <c r="I23" i="117" s="1"/>
  <c r="H23" i="117"/>
  <c r="F23" i="117" s="1"/>
  <c r="G25" i="119"/>
  <c r="G24" i="119" s="1"/>
  <c r="H25" i="119"/>
  <c r="I638" i="120" s="1"/>
  <c r="I637" i="120" s="1"/>
  <c r="G67" i="119"/>
  <c r="G66" i="119" s="1"/>
  <c r="H67" i="119"/>
  <c r="H65" i="119" s="1"/>
  <c r="H983" i="120"/>
  <c r="H982" i="120" s="1"/>
  <c r="H981" i="120" s="1"/>
  <c r="I983" i="120"/>
  <c r="I982" i="120" s="1"/>
  <c r="I981" i="120" s="1"/>
  <c r="M520" i="120"/>
  <c r="K802" i="119"/>
  <c r="J802" i="119"/>
  <c r="H505" i="120"/>
  <c r="H504" i="120" s="1"/>
  <c r="I505" i="120"/>
  <c r="I504" i="120" s="1"/>
  <c r="G506" i="120"/>
  <c r="G505" i="120" s="1"/>
  <c r="G504" i="120" s="1"/>
  <c r="H757" i="120"/>
  <c r="H756" i="120" s="1"/>
  <c r="I757" i="120"/>
  <c r="I756" i="120" s="1"/>
  <c r="J758" i="120"/>
  <c r="G758" i="120"/>
  <c r="G757" i="120" s="1"/>
  <c r="G756" i="120" s="1"/>
  <c r="H950" i="120"/>
  <c r="H949" i="120" s="1"/>
  <c r="H948" i="120" s="1"/>
  <c r="H947" i="120" s="1"/>
  <c r="H946" i="120" s="1"/>
  <c r="I950" i="120"/>
  <c r="I949" i="120" s="1"/>
  <c r="I948" i="120" s="1"/>
  <c r="I947" i="120" s="1"/>
  <c r="I946" i="120" s="1"/>
  <c r="G950" i="120"/>
  <c r="G949" i="120" s="1"/>
  <c r="G948" i="120" s="1"/>
  <c r="G947" i="120" s="1"/>
  <c r="G946" i="120" s="1"/>
  <c r="I803" i="119"/>
  <c r="I802" i="119"/>
  <c r="J191" i="120"/>
  <c r="H819" i="120"/>
  <c r="I819" i="120"/>
  <c r="K821" i="120"/>
  <c r="I503" i="119"/>
  <c r="I505" i="119" s="1"/>
  <c r="G505" i="119"/>
  <c r="G504" i="119" s="1"/>
  <c r="H505" i="119"/>
  <c r="G499" i="119"/>
  <c r="G498" i="119" s="1"/>
  <c r="H499" i="119"/>
  <c r="H498" i="119" s="1"/>
  <c r="F499" i="119"/>
  <c r="I904" i="120"/>
  <c r="I903" i="120" s="1"/>
  <c r="J905" i="120"/>
  <c r="G947" i="119"/>
  <c r="G946" i="119" s="1"/>
  <c r="G945" i="119" s="1"/>
  <c r="G944" i="119" s="1"/>
  <c r="H947" i="119"/>
  <c r="H946" i="119" s="1"/>
  <c r="H945" i="119" s="1"/>
  <c r="H944" i="119" s="1"/>
  <c r="F814" i="119"/>
  <c r="H609" i="119"/>
  <c r="H608" i="119" s="1"/>
  <c r="F609" i="119"/>
  <c r="F608" i="119" s="1"/>
  <c r="F505" i="119"/>
  <c r="F504" i="119" s="1"/>
  <c r="G417" i="119"/>
  <c r="G416" i="119" s="1"/>
  <c r="G415" i="119" s="1"/>
  <c r="H417" i="119"/>
  <c r="H416" i="119" s="1"/>
  <c r="H415" i="119" s="1"/>
  <c r="G251" i="119"/>
  <c r="G250" i="119" s="1"/>
  <c r="H251" i="119"/>
  <c r="H250" i="119" s="1"/>
  <c r="F25" i="119"/>
  <c r="F196" i="119"/>
  <c r="F195" i="119" s="1"/>
  <c r="F194" i="119" s="1"/>
  <c r="G272" i="120"/>
  <c r="G271" i="120" s="1"/>
  <c r="G270" i="120" s="1"/>
  <c r="H899" i="120"/>
  <c r="H898" i="120" s="1"/>
  <c r="I899" i="120"/>
  <c r="I898" i="120" s="1"/>
  <c r="G899" i="120"/>
  <c r="G898" i="120" s="1"/>
  <c r="H323" i="120"/>
  <c r="H322" i="120" s="1"/>
  <c r="H321" i="120" s="1"/>
  <c r="H320" i="120" s="1"/>
  <c r="H319" i="120" s="1"/>
  <c r="H318" i="120" s="1"/>
  <c r="H317" i="120" s="1"/>
  <c r="I323" i="120"/>
  <c r="I322" i="120" s="1"/>
  <c r="I321" i="120" s="1"/>
  <c r="I320" i="120" s="1"/>
  <c r="I319" i="120" s="1"/>
  <c r="I318" i="120" s="1"/>
  <c r="I317" i="120" s="1"/>
  <c r="G323" i="120"/>
  <c r="G322" i="120" s="1"/>
  <c r="G321" i="120" s="1"/>
  <c r="G320" i="120" s="1"/>
  <c r="G319" i="120" s="1"/>
  <c r="G318" i="120" s="1"/>
  <c r="G317" i="120" s="1"/>
  <c r="H149" i="120"/>
  <c r="H148" i="120" s="1"/>
  <c r="I149" i="120"/>
  <c r="I148" i="120" s="1"/>
  <c r="G150" i="120"/>
  <c r="G149" i="120" s="1"/>
  <c r="G148" i="120" s="1"/>
  <c r="G594" i="119"/>
  <c r="H594" i="119"/>
  <c r="F594" i="119"/>
  <c r="H298" i="120"/>
  <c r="G357" i="119" s="1"/>
  <c r="G356" i="119" s="1"/>
  <c r="I298" i="120"/>
  <c r="H357" i="119" s="1"/>
  <c r="H356" i="119" s="1"/>
  <c r="G298" i="120"/>
  <c r="G297" i="120" s="1"/>
  <c r="G296" i="120" s="1"/>
  <c r="H295" i="120"/>
  <c r="H294" i="120" s="1"/>
  <c r="H293" i="120" s="1"/>
  <c r="I295" i="120"/>
  <c r="I294" i="120" s="1"/>
  <c r="I293" i="120" s="1"/>
  <c r="J295" i="120"/>
  <c r="J294" i="120" s="1"/>
  <c r="J293" i="120" s="1"/>
  <c r="J123" i="120"/>
  <c r="H980" i="120"/>
  <c r="H979" i="120" s="1"/>
  <c r="I980" i="120"/>
  <c r="I979" i="120" s="1"/>
  <c r="G980" i="120"/>
  <c r="G979" i="120" s="1"/>
  <c r="H978" i="120"/>
  <c r="H977" i="120" s="1"/>
  <c r="I978" i="120"/>
  <c r="I977" i="120" s="1"/>
  <c r="G978" i="120"/>
  <c r="G977" i="120" s="1"/>
  <c r="H944" i="120"/>
  <c r="I944" i="120"/>
  <c r="G944" i="120"/>
  <c r="H941" i="120"/>
  <c r="H940" i="120" s="1"/>
  <c r="H939" i="120" s="1"/>
  <c r="I941" i="120"/>
  <c r="I940" i="120" s="1"/>
  <c r="I939" i="120" s="1"/>
  <c r="G941" i="120"/>
  <c r="G940" i="120" s="1"/>
  <c r="G939" i="120" s="1"/>
  <c r="H922" i="120"/>
  <c r="H921" i="120" s="1"/>
  <c r="J922" i="120"/>
  <c r="G922" i="120"/>
  <c r="G921" i="120" s="1"/>
  <c r="H920" i="120"/>
  <c r="H919" i="120" s="1"/>
  <c r="I920" i="120"/>
  <c r="I919" i="120" s="1"/>
  <c r="G920" i="120"/>
  <c r="G919" i="120" s="1"/>
  <c r="H917" i="120"/>
  <c r="H916" i="120" s="1"/>
  <c r="I917" i="120"/>
  <c r="I916" i="120" s="1"/>
  <c r="G917" i="120"/>
  <c r="G916" i="120" s="1"/>
  <c r="H912" i="120"/>
  <c r="H911" i="120" s="1"/>
  <c r="I912" i="120"/>
  <c r="I911" i="120" s="1"/>
  <c r="G912" i="120"/>
  <c r="H908" i="120"/>
  <c r="H907" i="120" s="1"/>
  <c r="I908" i="120"/>
  <c r="I907" i="120" s="1"/>
  <c r="G908" i="120"/>
  <c r="G907" i="120" s="1"/>
  <c r="H896" i="120"/>
  <c r="H894" i="120" s="1"/>
  <c r="I896" i="120"/>
  <c r="I894" i="120" s="1"/>
  <c r="G896" i="120"/>
  <c r="G894" i="120" s="1"/>
  <c r="H893" i="120"/>
  <c r="H892" i="120" s="1"/>
  <c r="I893" i="120"/>
  <c r="I892" i="120" s="1"/>
  <c r="G893" i="120"/>
  <c r="G892" i="120" s="1"/>
  <c r="H831" i="120"/>
  <c r="H830" i="120" s="1"/>
  <c r="I831" i="120"/>
  <c r="I830" i="120" s="1"/>
  <c r="G832" i="120"/>
  <c r="G831" i="120" s="1"/>
  <c r="G830" i="120" s="1"/>
  <c r="H827" i="120"/>
  <c r="H826" i="120" s="1"/>
  <c r="I827" i="120"/>
  <c r="I826" i="120" s="1"/>
  <c r="H823" i="120"/>
  <c r="H822" i="120" s="1"/>
  <c r="I823" i="120"/>
  <c r="I822" i="120" s="1"/>
  <c r="G828" i="120"/>
  <c r="G827" i="120" s="1"/>
  <c r="G826" i="120" s="1"/>
  <c r="G824" i="120"/>
  <c r="G819" i="120"/>
  <c r="J797" i="120"/>
  <c r="H779" i="120"/>
  <c r="H778" i="120" s="1"/>
  <c r="H777" i="120" s="1"/>
  <c r="I779" i="120"/>
  <c r="I778" i="120" s="1"/>
  <c r="I777" i="120" s="1"/>
  <c r="H776" i="120"/>
  <c r="H775" i="120" s="1"/>
  <c r="H774" i="120" s="1"/>
  <c r="I776" i="120"/>
  <c r="I775" i="120" s="1"/>
  <c r="I774" i="120" s="1"/>
  <c r="G776" i="120"/>
  <c r="G775" i="120" s="1"/>
  <c r="G774" i="120" s="1"/>
  <c r="H750" i="120"/>
  <c r="I750" i="120"/>
  <c r="G751" i="120"/>
  <c r="H743" i="120"/>
  <c r="H742" i="120" s="1"/>
  <c r="I743" i="120"/>
  <c r="I742" i="120" s="1"/>
  <c r="J744" i="120"/>
  <c r="I740" i="120"/>
  <c r="I739" i="120" s="1"/>
  <c r="G741" i="120"/>
  <c r="G740" i="120" s="1"/>
  <c r="G739" i="120" s="1"/>
  <c r="J723" i="120"/>
  <c r="H720" i="120"/>
  <c r="H719" i="120" s="1"/>
  <c r="H718" i="120" s="1"/>
  <c r="I720" i="120"/>
  <c r="I719" i="120" s="1"/>
  <c r="I718" i="120" s="1"/>
  <c r="G719" i="120"/>
  <c r="G718" i="120" s="1"/>
  <c r="H717" i="120"/>
  <c r="H716" i="120" s="1"/>
  <c r="H715" i="120" s="1"/>
  <c r="I717" i="120"/>
  <c r="I716" i="120" s="1"/>
  <c r="I715" i="120" s="1"/>
  <c r="G717" i="120"/>
  <c r="G716" i="120" s="1"/>
  <c r="G715" i="120" s="1"/>
  <c r="H714" i="120"/>
  <c r="H713" i="120" s="1"/>
  <c r="I714" i="120"/>
  <c r="I713" i="120" s="1"/>
  <c r="G714" i="120"/>
  <c r="G713" i="120" s="1"/>
  <c r="H707" i="120"/>
  <c r="H706" i="120" s="1"/>
  <c r="I706" i="120"/>
  <c r="G707" i="120"/>
  <c r="G706" i="120" s="1"/>
  <c r="H705" i="120"/>
  <c r="H704" i="120" s="1"/>
  <c r="I705" i="120"/>
  <c r="I704" i="120" s="1"/>
  <c r="G705" i="120"/>
  <c r="G704" i="120" s="1"/>
  <c r="G703" i="120"/>
  <c r="G702" i="120" s="1"/>
  <c r="G701" i="120" s="1"/>
  <c r="H696" i="120"/>
  <c r="H695" i="120" s="1"/>
  <c r="H694" i="120" s="1"/>
  <c r="H693" i="120" s="1"/>
  <c r="I696" i="120"/>
  <c r="I695" i="120" s="1"/>
  <c r="I694" i="120" s="1"/>
  <c r="I693" i="120" s="1"/>
  <c r="G696" i="120"/>
  <c r="G695" i="120" s="1"/>
  <c r="G694" i="120" s="1"/>
  <c r="G693" i="120" s="1"/>
  <c r="H690" i="120"/>
  <c r="H689" i="120" s="1"/>
  <c r="H684" i="120" s="1"/>
  <c r="I690" i="120"/>
  <c r="I689" i="120" s="1"/>
  <c r="I684" i="120" s="1"/>
  <c r="H688" i="120"/>
  <c r="H687" i="120" s="1"/>
  <c r="H686" i="120" s="1"/>
  <c r="H685" i="120" s="1"/>
  <c r="I688" i="120"/>
  <c r="I687" i="120" s="1"/>
  <c r="I686" i="120" s="1"/>
  <c r="I685" i="120" s="1"/>
  <c r="H662" i="120"/>
  <c r="H661" i="120" s="1"/>
  <c r="I662" i="120"/>
  <c r="I661" i="120" s="1"/>
  <c r="G662" i="120"/>
  <c r="G661" i="120" s="1"/>
  <c r="H644" i="120"/>
  <c r="I644" i="120"/>
  <c r="G645" i="120"/>
  <c r="G644" i="120" s="1"/>
  <c r="H612" i="120"/>
  <c r="H611" i="120" s="1"/>
  <c r="H610" i="120" s="1"/>
  <c r="I612" i="120"/>
  <c r="I611" i="120" s="1"/>
  <c r="I610" i="120" s="1"/>
  <c r="G612" i="120"/>
  <c r="G611" i="120" s="1"/>
  <c r="G610" i="120" s="1"/>
  <c r="H609" i="120"/>
  <c r="H608" i="120" s="1"/>
  <c r="H607" i="120" s="1"/>
  <c r="I609" i="120"/>
  <c r="I608" i="120" s="1"/>
  <c r="I607" i="120" s="1"/>
  <c r="G609" i="120"/>
  <c r="G608" i="120" s="1"/>
  <c r="G607" i="120" s="1"/>
  <c r="H578" i="120"/>
  <c r="H577" i="120" s="1"/>
  <c r="H576" i="120" s="1"/>
  <c r="I578" i="120"/>
  <c r="I577" i="120" s="1"/>
  <c r="I576" i="120" s="1"/>
  <c r="G578" i="120"/>
  <c r="G577" i="120" s="1"/>
  <c r="G576" i="120" s="1"/>
  <c r="J546" i="120"/>
  <c r="J545" i="120" s="1"/>
  <c r="I548" i="120"/>
  <c r="G549" i="120"/>
  <c r="G548" i="120" s="1"/>
  <c r="H538" i="120"/>
  <c r="H537" i="120"/>
  <c r="G537" i="120"/>
  <c r="H535" i="120"/>
  <c r="H534" i="120" s="1"/>
  <c r="G535" i="120"/>
  <c r="G534" i="120" s="1"/>
  <c r="H521" i="120"/>
  <c r="I521" i="120"/>
  <c r="G521" i="120"/>
  <c r="H489" i="120"/>
  <c r="H488" i="120" s="1"/>
  <c r="G490" i="120"/>
  <c r="G489" i="120" s="1"/>
  <c r="G488" i="120" s="1"/>
  <c r="H486" i="120"/>
  <c r="H485" i="120" s="1"/>
  <c r="I486" i="120"/>
  <c r="I485" i="120" s="1"/>
  <c r="G487" i="120"/>
  <c r="G486" i="120" s="1"/>
  <c r="G485" i="120" s="1"/>
  <c r="I483" i="120"/>
  <c r="H483" i="120"/>
  <c r="G484" i="120"/>
  <c r="G483" i="120" s="1"/>
  <c r="H481" i="120"/>
  <c r="H480" i="120" s="1"/>
  <c r="I481" i="120"/>
  <c r="I480" i="120" s="1"/>
  <c r="G482" i="120"/>
  <c r="G481" i="120" s="1"/>
  <c r="G480" i="120" s="1"/>
  <c r="H478" i="120"/>
  <c r="H477" i="120" s="1"/>
  <c r="I478" i="120"/>
  <c r="I477" i="120" s="1"/>
  <c r="G479" i="120"/>
  <c r="G478" i="120" s="1"/>
  <c r="G477" i="120" s="1"/>
  <c r="H475" i="120"/>
  <c r="H474" i="120" s="1"/>
  <c r="I475" i="120"/>
  <c r="I474" i="120" s="1"/>
  <c r="J476" i="120"/>
  <c r="G476" i="120"/>
  <c r="G475" i="120" s="1"/>
  <c r="G474" i="120" s="1"/>
  <c r="H459" i="120"/>
  <c r="H458" i="120" s="1"/>
  <c r="H457" i="120" s="1"/>
  <c r="I459" i="120"/>
  <c r="I458" i="120" s="1"/>
  <c r="I457" i="120" s="1"/>
  <c r="G459" i="120"/>
  <c r="G458" i="120" s="1"/>
  <c r="G457" i="120" s="1"/>
  <c r="H451" i="120"/>
  <c r="H450" i="120" s="1"/>
  <c r="H449" i="120" s="1"/>
  <c r="I451" i="120"/>
  <c r="I450" i="120" s="1"/>
  <c r="I449" i="120" s="1"/>
  <c r="G451" i="120"/>
  <c r="G450" i="120" s="1"/>
  <c r="G449" i="120" s="1"/>
  <c r="H441" i="120"/>
  <c r="I441" i="120"/>
  <c r="G441" i="120"/>
  <c r="H440" i="120"/>
  <c r="I440" i="120"/>
  <c r="H431" i="120"/>
  <c r="H430" i="120" s="1"/>
  <c r="I431" i="120"/>
  <c r="I430" i="120" s="1"/>
  <c r="G431" i="120"/>
  <c r="G430" i="120" s="1"/>
  <c r="H398" i="120"/>
  <c r="H397" i="120" s="1"/>
  <c r="I398" i="120"/>
  <c r="I397" i="120" s="1"/>
  <c r="G398" i="120"/>
  <c r="G397" i="120" s="1"/>
  <c r="H396" i="120"/>
  <c r="H395" i="120" s="1"/>
  <c r="I396" i="120"/>
  <c r="I395" i="120" s="1"/>
  <c r="G396" i="120"/>
  <c r="G395" i="120" s="1"/>
  <c r="G377" i="120"/>
  <c r="G376" i="120" s="1"/>
  <c r="G375" i="120" s="1"/>
  <c r="G371" i="120"/>
  <c r="G370" i="120" s="1"/>
  <c r="G369" i="120" s="1"/>
  <c r="G368" i="120" s="1"/>
  <c r="H347" i="120"/>
  <c r="H346" i="120" s="1"/>
  <c r="H345" i="120" s="1"/>
  <c r="I347" i="120"/>
  <c r="I346" i="120" s="1"/>
  <c r="I345" i="120" s="1"/>
  <c r="G347" i="120"/>
  <c r="G346" i="120" s="1"/>
  <c r="G345" i="120" s="1"/>
  <c r="H344" i="120"/>
  <c r="H343" i="120" s="1"/>
  <c r="H342" i="120" s="1"/>
  <c r="I344" i="120"/>
  <c r="I343" i="120" s="1"/>
  <c r="I342" i="120" s="1"/>
  <c r="G344" i="120"/>
  <c r="G343" i="120" s="1"/>
  <c r="G342" i="120" s="1"/>
  <c r="H292" i="120"/>
  <c r="H291" i="120" s="1"/>
  <c r="H290" i="120" s="1"/>
  <c r="I292" i="120"/>
  <c r="I291" i="120" s="1"/>
  <c r="I290" i="120" s="1"/>
  <c r="H288" i="120"/>
  <c r="H287" i="120" s="1"/>
  <c r="H286" i="120" s="1"/>
  <c r="G288" i="120"/>
  <c r="G287" i="120" s="1"/>
  <c r="G286" i="120" s="1"/>
  <c r="H280" i="120"/>
  <c r="H272" i="120"/>
  <c r="H271" i="120" s="1"/>
  <c r="H270" i="120" s="1"/>
  <c r="I272" i="120"/>
  <c r="I271" i="120" s="1"/>
  <c r="I270" i="120" s="1"/>
  <c r="G305" i="119"/>
  <c r="G304" i="119" s="1"/>
  <c r="G303" i="119" s="1"/>
  <c r="F304" i="119"/>
  <c r="F303" i="119" s="1"/>
  <c r="F299" i="119" s="1"/>
  <c r="F298" i="119" s="1"/>
  <c r="H232" i="120"/>
  <c r="H231" i="120" s="1"/>
  <c r="I232" i="120"/>
  <c r="I231" i="120" s="1"/>
  <c r="G232" i="120"/>
  <c r="G231" i="120" s="1"/>
  <c r="H218" i="120"/>
  <c r="H217" i="120" s="1"/>
  <c r="I218" i="120"/>
  <c r="I217" i="120" s="1"/>
  <c r="H212" i="120"/>
  <c r="H211" i="120" s="1"/>
  <c r="I212" i="120"/>
  <c r="I211" i="120" s="1"/>
  <c r="G213" i="120"/>
  <c r="G212" i="120" s="1"/>
  <c r="G211" i="120" s="1"/>
  <c r="I202" i="120"/>
  <c r="I201" i="120" s="1"/>
  <c r="F254" i="119"/>
  <c r="F253" i="119" s="1"/>
  <c r="H199" i="120"/>
  <c r="H198" i="120" s="1"/>
  <c r="I199" i="120"/>
  <c r="I198" i="120" s="1"/>
  <c r="H173" i="120"/>
  <c r="H172" i="120" s="1"/>
  <c r="G174" i="120"/>
  <c r="G173" i="120" s="1"/>
  <c r="G172" i="120" s="1"/>
  <c r="H146" i="120"/>
  <c r="H145" i="120" s="1"/>
  <c r="I146" i="120"/>
  <c r="I145" i="120" s="1"/>
  <c r="G147" i="120"/>
  <c r="G146" i="120" s="1"/>
  <c r="G145" i="120" s="1"/>
  <c r="H143" i="120"/>
  <c r="H142" i="120" s="1"/>
  <c r="I143" i="120"/>
  <c r="I142" i="120" s="1"/>
  <c r="G144" i="120"/>
  <c r="G143" i="120" s="1"/>
  <c r="G142" i="120" s="1"/>
  <c r="H107" i="120"/>
  <c r="H106" i="120" s="1"/>
  <c r="I107" i="120"/>
  <c r="I106" i="120" s="1"/>
  <c r="G107" i="120"/>
  <c r="G106" i="120" s="1"/>
  <c r="H92" i="120"/>
  <c r="I92" i="120"/>
  <c r="G93" i="120"/>
  <c r="G92" i="120" s="1"/>
  <c r="H89" i="120"/>
  <c r="H88" i="120" s="1"/>
  <c r="I89" i="120"/>
  <c r="I88" i="120" s="1"/>
  <c r="G90" i="120"/>
  <c r="G89" i="120" s="1"/>
  <c r="G88" i="120" s="1"/>
  <c r="H83" i="120"/>
  <c r="I83" i="120"/>
  <c r="G84" i="120"/>
  <c r="G83" i="120" s="1"/>
  <c r="H69" i="120"/>
  <c r="H68" i="120" s="1"/>
  <c r="I69" i="120"/>
  <c r="I68" i="120" s="1"/>
  <c r="G69" i="120"/>
  <c r="G68" i="120" s="1"/>
  <c r="J66" i="120"/>
  <c r="H49" i="120"/>
  <c r="H48" i="120" s="1"/>
  <c r="I49" i="120"/>
  <c r="I48" i="120" s="1"/>
  <c r="G49" i="120"/>
  <c r="G48" i="120" s="1"/>
  <c r="I969" i="120"/>
  <c r="I968" i="120" s="1"/>
  <c r="H969" i="120"/>
  <c r="H968" i="120" s="1"/>
  <c r="G969" i="120"/>
  <c r="G968" i="120" s="1"/>
  <c r="I966" i="120"/>
  <c r="I965" i="120" s="1"/>
  <c r="I964" i="120" s="1"/>
  <c r="H966" i="120"/>
  <c r="H965" i="120" s="1"/>
  <c r="H964" i="120" s="1"/>
  <c r="G966" i="120"/>
  <c r="G965" i="120" s="1"/>
  <c r="G964" i="120" s="1"/>
  <c r="I962" i="120"/>
  <c r="I961" i="120" s="1"/>
  <c r="H962" i="120"/>
  <c r="H961" i="120" s="1"/>
  <c r="G962" i="120"/>
  <c r="G961" i="120" s="1"/>
  <c r="I959" i="120"/>
  <c r="I958" i="120" s="1"/>
  <c r="H959" i="120"/>
  <c r="H958" i="120" s="1"/>
  <c r="G959" i="120"/>
  <c r="G958" i="120" s="1"/>
  <c r="I955" i="120"/>
  <c r="I954" i="120" s="1"/>
  <c r="H955" i="120"/>
  <c r="H954" i="120" s="1"/>
  <c r="G955" i="120"/>
  <c r="G954" i="120" s="1"/>
  <c r="J945" i="120"/>
  <c r="J944" i="120"/>
  <c r="I926" i="120"/>
  <c r="I925" i="120" s="1"/>
  <c r="I924" i="120" s="1"/>
  <c r="I923" i="120" s="1"/>
  <c r="H926" i="120"/>
  <c r="H925" i="120" s="1"/>
  <c r="H924" i="120" s="1"/>
  <c r="H923" i="120" s="1"/>
  <c r="G926" i="120"/>
  <c r="G925" i="120" s="1"/>
  <c r="G924" i="120" s="1"/>
  <c r="G923" i="120" s="1"/>
  <c r="G911" i="120"/>
  <c r="G904" i="120"/>
  <c r="G903" i="120" s="1"/>
  <c r="I900" i="120"/>
  <c r="H900" i="120"/>
  <c r="G900" i="120"/>
  <c r="I885" i="120"/>
  <c r="I884" i="120" s="1"/>
  <c r="H885" i="120"/>
  <c r="H884" i="120" s="1"/>
  <c r="G885" i="120"/>
  <c r="G884" i="120" s="1"/>
  <c r="I882" i="120"/>
  <c r="H882" i="120"/>
  <c r="G882" i="120"/>
  <c r="I864" i="120"/>
  <c r="I863" i="120" s="1"/>
  <c r="H864" i="120"/>
  <c r="H863" i="120" s="1"/>
  <c r="G864" i="120"/>
  <c r="G863" i="120" s="1"/>
  <c r="I861" i="120"/>
  <c r="H861" i="120"/>
  <c r="G861" i="120"/>
  <c r="I859" i="120"/>
  <c r="H859" i="120"/>
  <c r="G859" i="120"/>
  <c r="I855" i="120"/>
  <c r="I854" i="120" s="1"/>
  <c r="H855" i="120"/>
  <c r="H854" i="120" s="1"/>
  <c r="G855" i="120"/>
  <c r="G854" i="120" s="1"/>
  <c r="I852" i="120"/>
  <c r="I851" i="120" s="1"/>
  <c r="I850" i="120" s="1"/>
  <c r="I849" i="120" s="1"/>
  <c r="H852" i="120"/>
  <c r="G852" i="120"/>
  <c r="G846" i="120"/>
  <c r="G845" i="120" s="1"/>
  <c r="G844" i="120" s="1"/>
  <c r="G843" i="120" s="1"/>
  <c r="I846" i="120"/>
  <c r="I845" i="120" s="1"/>
  <c r="I844" i="120" s="1"/>
  <c r="I843" i="120" s="1"/>
  <c r="H846" i="120"/>
  <c r="H845" i="120" s="1"/>
  <c r="H844" i="120" s="1"/>
  <c r="H843" i="120" s="1"/>
  <c r="I841" i="120"/>
  <c r="I840" i="120" s="1"/>
  <c r="H841" i="120"/>
  <c r="H840" i="120" s="1"/>
  <c r="G841" i="120"/>
  <c r="G840" i="120" s="1"/>
  <c r="I787" i="120"/>
  <c r="H787" i="120"/>
  <c r="G787" i="120"/>
  <c r="I781" i="120"/>
  <c r="I780" i="120" s="1"/>
  <c r="H781" i="120"/>
  <c r="H780" i="120" s="1"/>
  <c r="G781" i="120"/>
  <c r="G780" i="120" s="1"/>
  <c r="I764" i="120"/>
  <c r="I763" i="120" s="1"/>
  <c r="H764" i="120"/>
  <c r="H763" i="120" s="1"/>
  <c r="G764" i="120"/>
  <c r="G763" i="120" s="1"/>
  <c r="I761" i="120"/>
  <c r="I760" i="120" s="1"/>
  <c r="H761" i="120"/>
  <c r="H760" i="120" s="1"/>
  <c r="G761" i="120"/>
  <c r="G760" i="120" s="1"/>
  <c r="I754" i="120"/>
  <c r="I753" i="120" s="1"/>
  <c r="H754" i="120"/>
  <c r="H753" i="120" s="1"/>
  <c r="G754" i="120"/>
  <c r="G753" i="120" s="1"/>
  <c r="H749" i="120"/>
  <c r="I747" i="120"/>
  <c r="I746" i="120" s="1"/>
  <c r="H747" i="120"/>
  <c r="H746" i="120" s="1"/>
  <c r="G747" i="120"/>
  <c r="G746" i="120" s="1"/>
  <c r="H740" i="120"/>
  <c r="H739" i="120" s="1"/>
  <c r="I734" i="120"/>
  <c r="I733" i="120" s="1"/>
  <c r="I732" i="120" s="1"/>
  <c r="I731" i="120" s="1"/>
  <c r="H734" i="120"/>
  <c r="H733" i="120" s="1"/>
  <c r="H732" i="120" s="1"/>
  <c r="H731" i="120" s="1"/>
  <c r="G734" i="120"/>
  <c r="G733" i="120" s="1"/>
  <c r="G732" i="120" s="1"/>
  <c r="G731" i="120" s="1"/>
  <c r="I729" i="120"/>
  <c r="I728" i="120" s="1"/>
  <c r="H729" i="120"/>
  <c r="H728" i="120" s="1"/>
  <c r="G729" i="120"/>
  <c r="G728" i="120" s="1"/>
  <c r="I726" i="120"/>
  <c r="I725" i="120" s="1"/>
  <c r="H726" i="120"/>
  <c r="H725" i="120" s="1"/>
  <c r="G726" i="120"/>
  <c r="G725" i="120" s="1"/>
  <c r="J711" i="120"/>
  <c r="J708" i="120"/>
  <c r="I697" i="120"/>
  <c r="H697" i="120"/>
  <c r="G697" i="120"/>
  <c r="I691" i="120"/>
  <c r="H691" i="120"/>
  <c r="G691" i="120"/>
  <c r="I678" i="120"/>
  <c r="H678" i="120"/>
  <c r="G678" i="120"/>
  <c r="I676" i="120"/>
  <c r="I675" i="120" s="1"/>
  <c r="H676" i="120"/>
  <c r="H675" i="120" s="1"/>
  <c r="G676" i="120"/>
  <c r="G675" i="120" s="1"/>
  <c r="I673" i="120"/>
  <c r="I672" i="120" s="1"/>
  <c r="H673" i="120"/>
  <c r="H672" i="120" s="1"/>
  <c r="G673" i="120"/>
  <c r="G672" i="120" s="1"/>
  <c r="I670" i="120"/>
  <c r="I669" i="120" s="1"/>
  <c r="I668" i="120" s="1"/>
  <c r="I667" i="120" s="1"/>
  <c r="I666" i="120" s="1"/>
  <c r="H670" i="120"/>
  <c r="H669" i="120" s="1"/>
  <c r="H668" i="120" s="1"/>
  <c r="H667" i="120" s="1"/>
  <c r="H666" i="120" s="1"/>
  <c r="G670" i="120"/>
  <c r="G669" i="120" s="1"/>
  <c r="G668" i="120" s="1"/>
  <c r="G667" i="120" s="1"/>
  <c r="G666" i="120" s="1"/>
  <c r="I664" i="120"/>
  <c r="I663" i="120" s="1"/>
  <c r="H664" i="120"/>
  <c r="H663" i="120" s="1"/>
  <c r="G664" i="120"/>
  <c r="G663" i="120" s="1"/>
  <c r="I659" i="120"/>
  <c r="H659" i="120"/>
  <c r="G659" i="120"/>
  <c r="I646" i="120"/>
  <c r="H646" i="120"/>
  <c r="G646" i="120"/>
  <c r="I639" i="120"/>
  <c r="H639" i="120"/>
  <c r="G639" i="120"/>
  <c r="I629" i="120"/>
  <c r="I628" i="120" s="1"/>
  <c r="I627" i="120" s="1"/>
  <c r="I626" i="120" s="1"/>
  <c r="H629" i="120"/>
  <c r="H628" i="120" s="1"/>
  <c r="H627" i="120" s="1"/>
  <c r="H626" i="120" s="1"/>
  <c r="G629" i="120"/>
  <c r="G628" i="120" s="1"/>
  <c r="G627" i="120" s="1"/>
  <c r="G626" i="120" s="1"/>
  <c r="I624" i="120"/>
  <c r="I623" i="120" s="1"/>
  <c r="I622" i="120" s="1"/>
  <c r="I621" i="120" s="1"/>
  <c r="H624" i="120"/>
  <c r="H623" i="120" s="1"/>
  <c r="H622" i="120" s="1"/>
  <c r="H621" i="120" s="1"/>
  <c r="G624" i="120"/>
  <c r="G623" i="120" s="1"/>
  <c r="G622" i="120" s="1"/>
  <c r="G621" i="120" s="1"/>
  <c r="I618" i="120"/>
  <c r="I617" i="120" s="1"/>
  <c r="H618" i="120"/>
  <c r="H617" i="120" s="1"/>
  <c r="G618" i="120"/>
  <c r="G617" i="120" s="1"/>
  <c r="I615" i="120"/>
  <c r="I614" i="120" s="1"/>
  <c r="H615" i="120"/>
  <c r="H614" i="120" s="1"/>
  <c r="G615" i="120"/>
  <c r="G614" i="120" s="1"/>
  <c r="I604" i="120"/>
  <c r="I603" i="120" s="1"/>
  <c r="H604" i="120"/>
  <c r="H603" i="120" s="1"/>
  <c r="G604" i="120"/>
  <c r="G603" i="120" s="1"/>
  <c r="I601" i="120"/>
  <c r="I600" i="120" s="1"/>
  <c r="H601" i="120"/>
  <c r="H600" i="120" s="1"/>
  <c r="G601" i="120"/>
  <c r="G600" i="120" s="1"/>
  <c r="G597" i="120"/>
  <c r="G596" i="120" s="1"/>
  <c r="G595" i="120" s="1"/>
  <c r="I597" i="120"/>
  <c r="I596" i="120" s="1"/>
  <c r="I595" i="120" s="1"/>
  <c r="H597" i="120"/>
  <c r="H596" i="120" s="1"/>
  <c r="H595" i="120" s="1"/>
  <c r="G593" i="120"/>
  <c r="I593" i="120"/>
  <c r="H593" i="120"/>
  <c r="G592" i="120"/>
  <c r="G591" i="120" s="1"/>
  <c r="I591" i="120"/>
  <c r="H591" i="120"/>
  <c r="I588" i="120"/>
  <c r="H588" i="120"/>
  <c r="H585" i="120" s="1"/>
  <c r="G588" i="120"/>
  <c r="I586" i="120"/>
  <c r="I585" i="120" s="1"/>
  <c r="H586" i="120"/>
  <c r="G586" i="120"/>
  <c r="I583" i="120"/>
  <c r="H583" i="120"/>
  <c r="G583" i="120"/>
  <c r="I581" i="120"/>
  <c r="H581" i="120"/>
  <c r="G581" i="120"/>
  <c r="G580" i="120" s="1"/>
  <c r="H548" i="120"/>
  <c r="I542" i="120"/>
  <c r="H542" i="120"/>
  <c r="G542" i="120"/>
  <c r="I540" i="120"/>
  <c r="H540" i="120"/>
  <c r="G540" i="120"/>
  <c r="J523" i="120"/>
  <c r="G516" i="120"/>
  <c r="G515" i="120" s="1"/>
  <c r="I516" i="120"/>
  <c r="I515" i="120" s="1"/>
  <c r="H516" i="120"/>
  <c r="H515" i="120" s="1"/>
  <c r="I513" i="120"/>
  <c r="I512" i="120" s="1"/>
  <c r="H513" i="120"/>
  <c r="H512" i="120" s="1"/>
  <c r="G513" i="120"/>
  <c r="G512" i="120" s="1"/>
  <c r="I508" i="120"/>
  <c r="I507" i="120" s="1"/>
  <c r="H508" i="120"/>
  <c r="H507" i="120" s="1"/>
  <c r="G508" i="120"/>
  <c r="G507" i="120" s="1"/>
  <c r="I501" i="120"/>
  <c r="I500" i="120" s="1"/>
  <c r="I499" i="120" s="1"/>
  <c r="I498" i="120" s="1"/>
  <c r="H501" i="120"/>
  <c r="H500" i="120" s="1"/>
  <c r="H499" i="120" s="1"/>
  <c r="H498" i="120" s="1"/>
  <c r="G501" i="120"/>
  <c r="G500" i="120" s="1"/>
  <c r="G499" i="120" s="1"/>
  <c r="G498" i="120" s="1"/>
  <c r="I494" i="120"/>
  <c r="I493" i="120" s="1"/>
  <c r="H494" i="120"/>
  <c r="H493" i="120" s="1"/>
  <c r="H491" i="120" s="1"/>
  <c r="G494" i="120"/>
  <c r="G493" i="120" s="1"/>
  <c r="I471" i="120"/>
  <c r="I470" i="120" s="1"/>
  <c r="H471" i="120"/>
  <c r="H470" i="120" s="1"/>
  <c r="G471" i="120"/>
  <c r="G470" i="120" s="1"/>
  <c r="I468" i="120"/>
  <c r="I467" i="120" s="1"/>
  <c r="H468" i="120"/>
  <c r="H467" i="120" s="1"/>
  <c r="G468" i="120"/>
  <c r="G467" i="120" s="1"/>
  <c r="I465" i="120"/>
  <c r="I464" i="120" s="1"/>
  <c r="H465" i="120"/>
  <c r="H464" i="120" s="1"/>
  <c r="G465" i="120"/>
  <c r="G464" i="120" s="1"/>
  <c r="I462" i="120"/>
  <c r="I461" i="120" s="1"/>
  <c r="H462" i="120"/>
  <c r="H461" i="120" s="1"/>
  <c r="G462" i="120"/>
  <c r="G461" i="120" s="1"/>
  <c r="I453" i="120"/>
  <c r="I452" i="120" s="1"/>
  <c r="H453" i="120"/>
  <c r="H452" i="120" s="1"/>
  <c r="G453" i="120"/>
  <c r="G452" i="120" s="1"/>
  <c r="I447" i="120"/>
  <c r="I446" i="120" s="1"/>
  <c r="H447" i="120"/>
  <c r="H446" i="120" s="1"/>
  <c r="G447" i="120"/>
  <c r="G446" i="120" s="1"/>
  <c r="I444" i="120"/>
  <c r="I443" i="120" s="1"/>
  <c r="H444" i="120"/>
  <c r="H443" i="120" s="1"/>
  <c r="G444" i="120"/>
  <c r="G443" i="120" s="1"/>
  <c r="I433" i="120"/>
  <c r="H433" i="120"/>
  <c r="G433" i="120"/>
  <c r="G425" i="120"/>
  <c r="G424" i="120" s="1"/>
  <c r="I425" i="120"/>
  <c r="I424" i="120" s="1"/>
  <c r="H425" i="120"/>
  <c r="H424" i="120" s="1"/>
  <c r="I422" i="120"/>
  <c r="I421" i="120" s="1"/>
  <c r="H422" i="120"/>
  <c r="H421" i="120" s="1"/>
  <c r="G422" i="120"/>
  <c r="G421" i="120" s="1"/>
  <c r="G418" i="120"/>
  <c r="G417" i="120" s="1"/>
  <c r="I418" i="120"/>
  <c r="I417" i="120" s="1"/>
  <c r="H418" i="120"/>
  <c r="H417" i="120" s="1"/>
  <c r="I415" i="120"/>
  <c r="I414" i="120" s="1"/>
  <c r="H415" i="120"/>
  <c r="H414" i="120" s="1"/>
  <c r="G415" i="120"/>
  <c r="G414" i="120" s="1"/>
  <c r="I411" i="120"/>
  <c r="I410" i="120" s="1"/>
  <c r="H411" i="120"/>
  <c r="H410" i="120" s="1"/>
  <c r="G411" i="120"/>
  <c r="G410" i="120" s="1"/>
  <c r="I408" i="120"/>
  <c r="I407" i="120" s="1"/>
  <c r="H408" i="120"/>
  <c r="H407" i="120" s="1"/>
  <c r="G408" i="120"/>
  <c r="G407" i="120" s="1"/>
  <c r="I404" i="120"/>
  <c r="I403" i="120" s="1"/>
  <c r="H404" i="120"/>
  <c r="H403" i="120" s="1"/>
  <c r="G404" i="120"/>
  <c r="G403" i="120" s="1"/>
  <c r="I401" i="120"/>
  <c r="I400" i="120" s="1"/>
  <c r="H401" i="120"/>
  <c r="H400" i="120" s="1"/>
  <c r="G401" i="120"/>
  <c r="G400" i="120" s="1"/>
  <c r="I384" i="120"/>
  <c r="I381" i="120" s="1"/>
  <c r="H384" i="120"/>
  <c r="G384" i="120"/>
  <c r="I382" i="120"/>
  <c r="H382" i="120"/>
  <c r="G382" i="120"/>
  <c r="I373" i="120"/>
  <c r="I372" i="120" s="1"/>
  <c r="H373" i="120"/>
  <c r="H372" i="120" s="1"/>
  <c r="G373" i="120"/>
  <c r="G372" i="120" s="1"/>
  <c r="I361" i="120"/>
  <c r="I360" i="120" s="1"/>
  <c r="H361" i="120"/>
  <c r="H360" i="120" s="1"/>
  <c r="G361" i="120"/>
  <c r="G360" i="120" s="1"/>
  <c r="I358" i="120"/>
  <c r="H358" i="120"/>
  <c r="G358" i="120"/>
  <c r="I354" i="120"/>
  <c r="H354" i="120"/>
  <c r="G354" i="120"/>
  <c r="I350" i="120"/>
  <c r="I349" i="120" s="1"/>
  <c r="I348" i="120" s="1"/>
  <c r="H350" i="120"/>
  <c r="H349" i="120" s="1"/>
  <c r="H348" i="120" s="1"/>
  <c r="G350" i="120"/>
  <c r="G349" i="120" s="1"/>
  <c r="G348" i="120" s="1"/>
  <c r="I340" i="120"/>
  <c r="I339" i="120" s="1"/>
  <c r="H340" i="120"/>
  <c r="H339" i="120" s="1"/>
  <c r="G340" i="120"/>
  <c r="G339" i="120" s="1"/>
  <c r="I334" i="120"/>
  <c r="I333" i="120" s="1"/>
  <c r="H334" i="120"/>
  <c r="H333" i="120" s="1"/>
  <c r="G334" i="120"/>
  <c r="G333" i="120" s="1"/>
  <c r="I331" i="120"/>
  <c r="I330" i="120" s="1"/>
  <c r="H331" i="120"/>
  <c r="H330" i="120" s="1"/>
  <c r="G331" i="120"/>
  <c r="G330" i="120" s="1"/>
  <c r="I328" i="120"/>
  <c r="I327" i="120" s="1"/>
  <c r="H328" i="120"/>
  <c r="H327" i="120" s="1"/>
  <c r="G328" i="120"/>
  <c r="G327" i="120" s="1"/>
  <c r="I315" i="120"/>
  <c r="H315" i="120"/>
  <c r="G315" i="120"/>
  <c r="I310" i="120"/>
  <c r="H310" i="120"/>
  <c r="G310" i="120"/>
  <c r="I308" i="120"/>
  <c r="H308" i="120"/>
  <c r="G308" i="120"/>
  <c r="I302" i="120"/>
  <c r="H302" i="120"/>
  <c r="G302" i="120"/>
  <c r="I300" i="120"/>
  <c r="H300" i="120"/>
  <c r="G300" i="120"/>
  <c r="I274" i="120"/>
  <c r="I273" i="120" s="1"/>
  <c r="H274" i="120"/>
  <c r="H273" i="120" s="1"/>
  <c r="G274" i="120"/>
  <c r="G273" i="120" s="1"/>
  <c r="I268" i="120"/>
  <c r="I267" i="120" s="1"/>
  <c r="H268" i="120"/>
  <c r="H267" i="120" s="1"/>
  <c r="G268" i="120"/>
  <c r="G267" i="120" s="1"/>
  <c r="I265" i="120"/>
  <c r="I264" i="120" s="1"/>
  <c r="I263" i="120" s="1"/>
  <c r="H265" i="120"/>
  <c r="H264" i="120" s="1"/>
  <c r="H263" i="120" s="1"/>
  <c r="G265" i="120"/>
  <c r="G264" i="120" s="1"/>
  <c r="G263" i="120" s="1"/>
  <c r="I229" i="120"/>
  <c r="H229" i="120"/>
  <c r="G229" i="120"/>
  <c r="I224" i="120"/>
  <c r="H224" i="120"/>
  <c r="G224" i="120"/>
  <c r="I222" i="120"/>
  <c r="H222" i="120"/>
  <c r="G222" i="120"/>
  <c r="I221" i="120"/>
  <c r="H221" i="120"/>
  <c r="G221" i="120"/>
  <c r="I207" i="120"/>
  <c r="I206" i="120" s="1"/>
  <c r="H207" i="120"/>
  <c r="H206" i="120" s="1"/>
  <c r="G207" i="120"/>
  <c r="G206" i="120" s="1"/>
  <c r="I204" i="120"/>
  <c r="H204" i="120"/>
  <c r="G204" i="120"/>
  <c r="I194" i="120"/>
  <c r="I193" i="120" s="1"/>
  <c r="I192" i="120" s="1"/>
  <c r="H194" i="120"/>
  <c r="H193" i="120" s="1"/>
  <c r="H192" i="120" s="1"/>
  <c r="G194" i="120"/>
  <c r="G193" i="120" s="1"/>
  <c r="G192" i="120" s="1"/>
  <c r="I189" i="120"/>
  <c r="I188" i="120" s="1"/>
  <c r="H189" i="120"/>
  <c r="H188" i="120" s="1"/>
  <c r="G189" i="120"/>
  <c r="G188" i="120" s="1"/>
  <c r="I181" i="120"/>
  <c r="I180" i="120" s="1"/>
  <c r="H181" i="120"/>
  <c r="H180" i="120" s="1"/>
  <c r="G181" i="120"/>
  <c r="G180" i="120" s="1"/>
  <c r="I178" i="120"/>
  <c r="I177" i="120" s="1"/>
  <c r="I176" i="120" s="1"/>
  <c r="H178" i="120"/>
  <c r="H177" i="120" s="1"/>
  <c r="H176" i="120" s="1"/>
  <c r="G178" i="120"/>
  <c r="G177" i="120" s="1"/>
  <c r="G176" i="120" s="1"/>
  <c r="I173" i="120"/>
  <c r="I172" i="120" s="1"/>
  <c r="I170" i="120"/>
  <c r="I169" i="120" s="1"/>
  <c r="H170" i="120"/>
  <c r="H169" i="120" s="1"/>
  <c r="G170" i="120"/>
  <c r="G169" i="120" s="1"/>
  <c r="I167" i="120"/>
  <c r="H167" i="120"/>
  <c r="G167" i="120"/>
  <c r="I165" i="120"/>
  <c r="H165" i="120"/>
  <c r="G165" i="120"/>
  <c r="I162" i="120"/>
  <c r="I161" i="120" s="1"/>
  <c r="H162" i="120"/>
  <c r="H161" i="120" s="1"/>
  <c r="G162" i="120"/>
  <c r="G161" i="120" s="1"/>
  <c r="I159" i="120"/>
  <c r="I158" i="120" s="1"/>
  <c r="I157" i="120" s="1"/>
  <c r="I156" i="120" s="1"/>
  <c r="H159" i="120"/>
  <c r="H158" i="120" s="1"/>
  <c r="H157" i="120" s="1"/>
  <c r="H156" i="120" s="1"/>
  <c r="G159" i="120"/>
  <c r="G158" i="120" s="1"/>
  <c r="G157" i="120" s="1"/>
  <c r="G156" i="120" s="1"/>
  <c r="I154" i="120"/>
  <c r="I153" i="120" s="1"/>
  <c r="I152" i="120" s="1"/>
  <c r="I151" i="120" s="1"/>
  <c r="H154" i="120"/>
  <c r="H153" i="120" s="1"/>
  <c r="H152" i="120" s="1"/>
  <c r="H151" i="120" s="1"/>
  <c r="G154" i="120"/>
  <c r="G153" i="120" s="1"/>
  <c r="G152" i="120" s="1"/>
  <c r="G151" i="120" s="1"/>
  <c r="I140" i="120"/>
  <c r="I139" i="120" s="1"/>
  <c r="H140" i="120"/>
  <c r="H139" i="120" s="1"/>
  <c r="G140" i="120"/>
  <c r="G139" i="120" s="1"/>
  <c r="G137" i="120"/>
  <c r="G136" i="120" s="1"/>
  <c r="I137" i="120"/>
  <c r="I136" i="120" s="1"/>
  <c r="H137" i="120"/>
  <c r="H136" i="120" s="1"/>
  <c r="I134" i="120"/>
  <c r="I133" i="120" s="1"/>
  <c r="H134" i="120"/>
  <c r="H133" i="120" s="1"/>
  <c r="G134" i="120"/>
  <c r="G133" i="120" s="1"/>
  <c r="I129" i="120"/>
  <c r="I128" i="120" s="1"/>
  <c r="H129" i="120"/>
  <c r="H128" i="120" s="1"/>
  <c r="G129" i="120"/>
  <c r="G128" i="120" s="1"/>
  <c r="I125" i="120"/>
  <c r="I124" i="120" s="1"/>
  <c r="H125" i="120"/>
  <c r="H124" i="120" s="1"/>
  <c r="G125" i="120"/>
  <c r="G124" i="120" s="1"/>
  <c r="I119" i="120"/>
  <c r="I118" i="120" s="1"/>
  <c r="H119" i="120"/>
  <c r="H118" i="120" s="1"/>
  <c r="G119" i="120"/>
  <c r="G118" i="120" s="1"/>
  <c r="I116" i="120"/>
  <c r="I115" i="120" s="1"/>
  <c r="H116" i="120"/>
  <c r="H115" i="120" s="1"/>
  <c r="G116" i="120"/>
  <c r="G115" i="120" s="1"/>
  <c r="I113" i="120"/>
  <c r="I112" i="120" s="1"/>
  <c r="H113" i="120"/>
  <c r="H112" i="120" s="1"/>
  <c r="G113" i="120"/>
  <c r="G112" i="120" s="1"/>
  <c r="I110" i="120"/>
  <c r="I109" i="120" s="1"/>
  <c r="I108" i="120" s="1"/>
  <c r="H110" i="120"/>
  <c r="H109" i="120" s="1"/>
  <c r="H108" i="120" s="1"/>
  <c r="G110" i="120"/>
  <c r="G109" i="120" s="1"/>
  <c r="G108" i="120" s="1"/>
  <c r="F108" i="120"/>
  <c r="I99" i="120"/>
  <c r="H99" i="120"/>
  <c r="G99" i="120"/>
  <c r="I97" i="120"/>
  <c r="H97" i="120"/>
  <c r="G97" i="120"/>
  <c r="I94" i="120"/>
  <c r="H94" i="120"/>
  <c r="G94" i="120"/>
  <c r="I86" i="120"/>
  <c r="I85" i="120" s="1"/>
  <c r="H86" i="120"/>
  <c r="H85" i="120" s="1"/>
  <c r="G86" i="120"/>
  <c r="G85" i="120" s="1"/>
  <c r="I76" i="120"/>
  <c r="I75" i="120" s="1"/>
  <c r="H76" i="120"/>
  <c r="H75" i="120" s="1"/>
  <c r="G76" i="120"/>
  <c r="G75" i="120" s="1"/>
  <c r="I72" i="120"/>
  <c r="H72" i="120"/>
  <c r="G72" i="120"/>
  <c r="I70" i="120"/>
  <c r="H70" i="120"/>
  <c r="G70" i="120"/>
  <c r="I63" i="120"/>
  <c r="H63" i="120"/>
  <c r="G63" i="120"/>
  <c r="I58" i="120"/>
  <c r="H58" i="120"/>
  <c r="G58" i="120"/>
  <c r="G53" i="120"/>
  <c r="L53" i="120"/>
  <c r="K53" i="120"/>
  <c r="J53" i="120"/>
  <c r="I53" i="120"/>
  <c r="H53" i="120"/>
  <c r="I41" i="120"/>
  <c r="I40" i="120" s="1"/>
  <c r="I39" i="120" s="1"/>
  <c r="I38" i="120" s="1"/>
  <c r="I37" i="120" s="1"/>
  <c r="H41" i="120"/>
  <c r="H40" i="120" s="1"/>
  <c r="H39" i="120" s="1"/>
  <c r="H38" i="120" s="1"/>
  <c r="H37" i="120" s="1"/>
  <c r="G41" i="120"/>
  <c r="G40" i="120" s="1"/>
  <c r="G39" i="120" s="1"/>
  <c r="G38" i="120" s="1"/>
  <c r="G37" i="120" s="1"/>
  <c r="I32" i="120"/>
  <c r="I31" i="120" s="1"/>
  <c r="I30" i="120" s="1"/>
  <c r="H32" i="120"/>
  <c r="H31" i="120" s="1"/>
  <c r="H30" i="120" s="1"/>
  <c r="G32" i="120"/>
  <c r="G31" i="120" s="1"/>
  <c r="G30" i="120" s="1"/>
  <c r="I28" i="120"/>
  <c r="H28" i="120"/>
  <c r="G28" i="120"/>
  <c r="H26" i="120"/>
  <c r="G26" i="120"/>
  <c r="I26" i="120"/>
  <c r="I24" i="120"/>
  <c r="H24" i="120"/>
  <c r="G24" i="120"/>
  <c r="H18" i="120"/>
  <c r="H17" i="120" s="1"/>
  <c r="H16" i="120" s="1"/>
  <c r="H15" i="120" s="1"/>
  <c r="H14" i="120" s="1"/>
  <c r="G18" i="120"/>
  <c r="G17" i="120" s="1"/>
  <c r="G16" i="120" s="1"/>
  <c r="G15" i="120" s="1"/>
  <c r="G14" i="120" s="1"/>
  <c r="I18" i="120"/>
  <c r="I17" i="120" s="1"/>
  <c r="I16" i="120" s="1"/>
  <c r="I15" i="120" s="1"/>
  <c r="I14" i="120" s="1"/>
  <c r="G899" i="119"/>
  <c r="G898" i="119" s="1"/>
  <c r="G897" i="119" s="1"/>
  <c r="H899" i="119"/>
  <c r="H898" i="119" s="1"/>
  <c r="H897" i="119" s="1"/>
  <c r="F899" i="119"/>
  <c r="F898" i="119" s="1"/>
  <c r="F897" i="119" s="1"/>
  <c r="G896" i="119"/>
  <c r="G895" i="119" s="1"/>
  <c r="G894" i="119" s="1"/>
  <c r="H896" i="119"/>
  <c r="H895" i="119" s="1"/>
  <c r="H894" i="119" s="1"/>
  <c r="F896" i="119"/>
  <c r="F895" i="119" s="1"/>
  <c r="F894" i="119" s="1"/>
  <c r="G855" i="119"/>
  <c r="G854" i="119" s="1"/>
  <c r="H855" i="119"/>
  <c r="H854" i="119" s="1"/>
  <c r="F855" i="119"/>
  <c r="F854" i="119" s="1"/>
  <c r="G828" i="119"/>
  <c r="G827" i="119" s="1"/>
  <c r="H828" i="119"/>
  <c r="H827" i="119" s="1"/>
  <c r="H826" i="119" s="1"/>
  <c r="F828" i="119"/>
  <c r="F827" i="119" s="1"/>
  <c r="H788" i="119"/>
  <c r="I945" i="120" s="1"/>
  <c r="N28" i="117" s="1"/>
  <c r="G788" i="119"/>
  <c r="H945" i="120" s="1"/>
  <c r="K28" i="117" s="1"/>
  <c r="F788" i="119"/>
  <c r="G945" i="120" s="1"/>
  <c r="H28" i="117" s="1"/>
  <c r="G502" i="119"/>
  <c r="H502" i="119"/>
  <c r="F502" i="119"/>
  <c r="F947" i="119"/>
  <c r="F946" i="119" s="1"/>
  <c r="F945" i="119" s="1"/>
  <c r="F944" i="119" s="1"/>
  <c r="G941" i="119"/>
  <c r="G940" i="119" s="1"/>
  <c r="H941" i="119"/>
  <c r="H940" i="119" s="1"/>
  <c r="G939" i="119"/>
  <c r="G938" i="119" s="1"/>
  <c r="G937" i="119" s="1"/>
  <c r="G936" i="119" s="1"/>
  <c r="G935" i="119" s="1"/>
  <c r="H939" i="119"/>
  <c r="H938" i="119" s="1"/>
  <c r="H937" i="119" s="1"/>
  <c r="H936" i="119" s="1"/>
  <c r="H935" i="119" s="1"/>
  <c r="H958" i="119"/>
  <c r="H957" i="119" s="1"/>
  <c r="G958" i="119"/>
  <c r="G957" i="119" s="1"/>
  <c r="H956" i="119"/>
  <c r="H955" i="119" s="1"/>
  <c r="G956" i="119"/>
  <c r="G955" i="119" s="1"/>
  <c r="F775" i="119"/>
  <c r="F774" i="119" s="1"/>
  <c r="G775" i="119"/>
  <c r="G774" i="119" s="1"/>
  <c r="H775" i="119"/>
  <c r="H774" i="119" s="1"/>
  <c r="G771" i="119"/>
  <c r="G770" i="119" s="1"/>
  <c r="G769" i="119" s="1"/>
  <c r="H771" i="119"/>
  <c r="H770" i="119" s="1"/>
  <c r="H769" i="119" s="1"/>
  <c r="F771" i="119"/>
  <c r="F770" i="119" s="1"/>
  <c r="F769" i="119" s="1"/>
  <c r="G764" i="119"/>
  <c r="G763" i="119" s="1"/>
  <c r="G762" i="119" s="1"/>
  <c r="G761" i="119" s="1"/>
  <c r="G760" i="119" s="1"/>
  <c r="H764" i="119"/>
  <c r="H763" i="119" s="1"/>
  <c r="H762" i="119" s="1"/>
  <c r="H761" i="119" s="1"/>
  <c r="H760" i="119" s="1"/>
  <c r="F764" i="119"/>
  <c r="F763" i="119" s="1"/>
  <c r="F762" i="119" s="1"/>
  <c r="F761" i="119" s="1"/>
  <c r="F760" i="119" s="1"/>
  <c r="G747" i="119"/>
  <c r="G746" i="119" s="1"/>
  <c r="G745" i="119" s="1"/>
  <c r="F747" i="119"/>
  <c r="F746" i="119" s="1"/>
  <c r="F745" i="119" s="1"/>
  <c r="G743" i="119"/>
  <c r="G742" i="119" s="1"/>
  <c r="H743" i="119"/>
  <c r="H742" i="119" s="1"/>
  <c r="F744" i="119"/>
  <c r="F743" i="119" s="1"/>
  <c r="F742" i="119" s="1"/>
  <c r="G740" i="119"/>
  <c r="H740" i="119"/>
  <c r="F741" i="119"/>
  <c r="F740" i="119" s="1"/>
  <c r="G730" i="119"/>
  <c r="G729" i="119" s="1"/>
  <c r="G728" i="119" s="1"/>
  <c r="H730" i="119"/>
  <c r="H729" i="119" s="1"/>
  <c r="H728" i="119" s="1"/>
  <c r="F730" i="119"/>
  <c r="F729" i="119" s="1"/>
  <c r="F728" i="119" s="1"/>
  <c r="G727" i="119"/>
  <c r="G726" i="119" s="1"/>
  <c r="G725" i="119" s="1"/>
  <c r="H727" i="119"/>
  <c r="H726" i="119" s="1"/>
  <c r="H725" i="119" s="1"/>
  <c r="F727" i="119"/>
  <c r="F726" i="119" s="1"/>
  <c r="F725" i="119" s="1"/>
  <c r="G716" i="119"/>
  <c r="G715" i="119" s="1"/>
  <c r="G714" i="119" s="1"/>
  <c r="H716" i="119"/>
  <c r="H715" i="119" s="1"/>
  <c r="H714" i="119" s="1"/>
  <c r="F716" i="119"/>
  <c r="F715" i="119" s="1"/>
  <c r="F714" i="119" s="1"/>
  <c r="G711" i="119"/>
  <c r="G710" i="119" s="1"/>
  <c r="G709" i="119" s="1"/>
  <c r="H711" i="119"/>
  <c r="H710" i="119" s="1"/>
  <c r="H709" i="119" s="1"/>
  <c r="F711" i="119"/>
  <c r="F710" i="119" s="1"/>
  <c r="F709" i="119" s="1"/>
  <c r="G687" i="119"/>
  <c r="G686" i="119" s="1"/>
  <c r="H687" i="119"/>
  <c r="H686" i="119" s="1"/>
  <c r="F687" i="119"/>
  <c r="F686" i="119" s="1"/>
  <c r="G675" i="119"/>
  <c r="H675" i="119"/>
  <c r="G674" i="119"/>
  <c r="H674" i="119"/>
  <c r="F675" i="119"/>
  <c r="G660" i="119"/>
  <c r="G659" i="119" s="1"/>
  <c r="H660" i="119"/>
  <c r="H659" i="119" s="1"/>
  <c r="F660" i="119"/>
  <c r="F659" i="119" s="1"/>
  <c r="G658" i="119"/>
  <c r="G657" i="119" s="1"/>
  <c r="H658" i="119"/>
  <c r="H657" i="119" s="1"/>
  <c r="F658" i="119"/>
  <c r="F657" i="119" s="1"/>
  <c r="G428" i="119"/>
  <c r="G427" i="119" s="1"/>
  <c r="H428" i="119"/>
  <c r="H427" i="119" s="1"/>
  <c r="F429" i="119"/>
  <c r="F428" i="119" s="1"/>
  <c r="F427" i="119" s="1"/>
  <c r="G632" i="119"/>
  <c r="G631" i="119" s="1"/>
  <c r="G630" i="119" s="1"/>
  <c r="H632" i="119"/>
  <c r="H631" i="119" s="1"/>
  <c r="H630" i="119" s="1"/>
  <c r="F632" i="119"/>
  <c r="F631" i="119" s="1"/>
  <c r="F630" i="119" s="1"/>
  <c r="G623" i="119"/>
  <c r="G622" i="119" s="1"/>
  <c r="H623" i="119"/>
  <c r="H622" i="119" s="1"/>
  <c r="F623" i="119"/>
  <c r="F622" i="119" s="1"/>
  <c r="G624" i="119"/>
  <c r="F625" i="119"/>
  <c r="F624" i="119" s="1"/>
  <c r="G620" i="119"/>
  <c r="G619" i="119" s="1"/>
  <c r="H620" i="119"/>
  <c r="H619" i="119" s="1"/>
  <c r="F620" i="119"/>
  <c r="F619" i="119" s="1"/>
  <c r="G618" i="119"/>
  <c r="G617" i="119" s="1"/>
  <c r="H618" i="119"/>
  <c r="H617" i="119" s="1"/>
  <c r="F618" i="119"/>
  <c r="F617" i="119" s="1"/>
  <c r="G613" i="119"/>
  <c r="G612" i="119" s="1"/>
  <c r="H613" i="119"/>
  <c r="H612" i="119" s="1"/>
  <c r="F614" i="119"/>
  <c r="F613" i="119" s="1"/>
  <c r="F612" i="119" s="1"/>
  <c r="G606" i="119"/>
  <c r="G605" i="119" s="1"/>
  <c r="G604" i="119" s="1"/>
  <c r="H606" i="119"/>
  <c r="H605" i="119" s="1"/>
  <c r="H604" i="119" s="1"/>
  <c r="F606" i="119"/>
  <c r="F605" i="119" s="1"/>
  <c r="F604" i="119" s="1"/>
  <c r="G601" i="119"/>
  <c r="G600" i="119" s="1"/>
  <c r="H601" i="119"/>
  <c r="H600" i="119" s="1"/>
  <c r="F601" i="119"/>
  <c r="F600" i="119" s="1"/>
  <c r="G543" i="119"/>
  <c r="G542" i="119" s="1"/>
  <c r="G541" i="119" s="1"/>
  <c r="G540" i="119" s="1"/>
  <c r="H543" i="119"/>
  <c r="H542" i="119" s="1"/>
  <c r="H541" i="119" s="1"/>
  <c r="H540" i="119" s="1"/>
  <c r="F544" i="119"/>
  <c r="F543" i="119" s="1"/>
  <c r="F542" i="119" s="1"/>
  <c r="F541" i="119" s="1"/>
  <c r="F540" i="119" s="1"/>
  <c r="G520" i="119"/>
  <c r="H520" i="119"/>
  <c r="F520" i="119"/>
  <c r="G519" i="119"/>
  <c r="H519" i="119"/>
  <c r="F519" i="119"/>
  <c r="G508" i="119"/>
  <c r="H829" i="120" s="1"/>
  <c r="H508" i="119"/>
  <c r="I829" i="120" s="1"/>
  <c r="F508" i="119"/>
  <c r="G829" i="120" s="1"/>
  <c r="F496" i="119"/>
  <c r="G453" i="119"/>
  <c r="G452" i="119" s="1"/>
  <c r="H453" i="119"/>
  <c r="H452" i="119" s="1"/>
  <c r="G450" i="119"/>
  <c r="G449" i="119" s="1"/>
  <c r="H450" i="119"/>
  <c r="H449" i="119" s="1"/>
  <c r="F451" i="119"/>
  <c r="F450" i="119" s="1"/>
  <c r="F449" i="119" s="1"/>
  <c r="G422" i="119"/>
  <c r="G421" i="119" s="1"/>
  <c r="H422" i="119"/>
  <c r="H421" i="119" s="1"/>
  <c r="F423" i="119"/>
  <c r="F422" i="119" s="1"/>
  <c r="F421" i="119" s="1"/>
  <c r="G413" i="119"/>
  <c r="G412" i="119" s="1"/>
  <c r="H413" i="119"/>
  <c r="H412" i="119" s="1"/>
  <c r="F414" i="119"/>
  <c r="F413" i="119" s="1"/>
  <c r="F412" i="119" s="1"/>
  <c r="G389" i="119"/>
  <c r="G388" i="119" s="1"/>
  <c r="H389" i="119"/>
  <c r="H388" i="119" s="1"/>
  <c r="F390" i="119"/>
  <c r="F389" i="119" s="1"/>
  <c r="F388" i="119" s="1"/>
  <c r="G387" i="119"/>
  <c r="G386" i="119" s="1"/>
  <c r="G385" i="119" s="1"/>
  <c r="H387" i="119"/>
  <c r="H386" i="119" s="1"/>
  <c r="H385" i="119" s="1"/>
  <c r="F386" i="119"/>
  <c r="F385" i="119" s="1"/>
  <c r="G383" i="119"/>
  <c r="H383" i="119"/>
  <c r="F384" i="119"/>
  <c r="F383" i="119" s="1"/>
  <c r="F350" i="119"/>
  <c r="F349" i="119" s="1"/>
  <c r="G347" i="119"/>
  <c r="G346" i="119" s="1"/>
  <c r="G345" i="119" s="1"/>
  <c r="H347" i="119"/>
  <c r="H346" i="119" s="1"/>
  <c r="H345" i="119" s="1"/>
  <c r="G269" i="119"/>
  <c r="G268" i="119" s="1"/>
  <c r="G267" i="119" s="1"/>
  <c r="H269" i="119"/>
  <c r="H268" i="119" s="1"/>
  <c r="H267" i="119" s="1"/>
  <c r="F269" i="119"/>
  <c r="F268" i="119" s="1"/>
  <c r="G287" i="119"/>
  <c r="G286" i="119" s="1"/>
  <c r="H287" i="119"/>
  <c r="H286" i="119" s="1"/>
  <c r="F287" i="119"/>
  <c r="F286" i="119" s="1"/>
  <c r="G273" i="119"/>
  <c r="G272" i="119" s="1"/>
  <c r="H273" i="119"/>
  <c r="H272" i="119" s="1"/>
  <c r="F273" i="119"/>
  <c r="F272" i="119" s="1"/>
  <c r="G263" i="119"/>
  <c r="G262" i="119" s="1"/>
  <c r="G261" i="119" s="1"/>
  <c r="G260" i="119" s="1"/>
  <c r="G259" i="119" s="1"/>
  <c r="H263" i="119"/>
  <c r="H262" i="119" s="1"/>
  <c r="H261" i="119" s="1"/>
  <c r="H260" i="119" s="1"/>
  <c r="H259" i="119" s="1"/>
  <c r="F263" i="119"/>
  <c r="F262" i="119" s="1"/>
  <c r="F261" i="119" s="1"/>
  <c r="F260" i="119" s="1"/>
  <c r="F259" i="119" s="1"/>
  <c r="G232" i="119"/>
  <c r="G231" i="119" s="1"/>
  <c r="H232" i="119"/>
  <c r="H231" i="119" s="1"/>
  <c r="F232" i="119"/>
  <c r="F230" i="119" s="1"/>
  <c r="F229" i="119" s="1"/>
  <c r="G88" i="119"/>
  <c r="H47" i="120" s="1"/>
  <c r="H46" i="120" s="1"/>
  <c r="H88" i="119"/>
  <c r="I47" i="120" s="1"/>
  <c r="I46" i="120" s="1"/>
  <c r="G47" i="120"/>
  <c r="G46" i="120" s="1"/>
  <c r="H103" i="119"/>
  <c r="I62" i="120" s="1"/>
  <c r="I61" i="120" s="1"/>
  <c r="G103" i="119"/>
  <c r="H62" i="120" s="1"/>
  <c r="H61" i="120" s="1"/>
  <c r="G62" i="120"/>
  <c r="G61" i="120" s="1"/>
  <c r="G60" i="120" s="1"/>
  <c r="G107" i="119"/>
  <c r="H67" i="120" s="1"/>
  <c r="H66" i="120" s="1"/>
  <c r="H107" i="119"/>
  <c r="I67" i="120" s="1"/>
  <c r="I66" i="120" s="1"/>
  <c r="F107" i="119"/>
  <c r="G67" i="120" s="1"/>
  <c r="G66" i="120" s="1"/>
  <c r="G193" i="119"/>
  <c r="G192" i="119" s="1"/>
  <c r="G191" i="119" s="1"/>
  <c r="H193" i="119"/>
  <c r="H192" i="119" s="1"/>
  <c r="H191" i="119" s="1"/>
  <c r="F193" i="119"/>
  <c r="F192" i="119" s="1"/>
  <c r="F191" i="119" s="1"/>
  <c r="G196" i="119"/>
  <c r="G195" i="119" s="1"/>
  <c r="G194" i="119" s="1"/>
  <c r="H196" i="119"/>
  <c r="H195" i="119" s="1"/>
  <c r="H194" i="119" s="1"/>
  <c r="G202" i="119"/>
  <c r="G201" i="119" s="1"/>
  <c r="G200" i="119" s="1"/>
  <c r="H202" i="119"/>
  <c r="H201" i="119" s="1"/>
  <c r="H200" i="119" s="1"/>
  <c r="F202" i="119"/>
  <c r="F201" i="119" s="1"/>
  <c r="F200" i="119" s="1"/>
  <c r="G227" i="119"/>
  <c r="G226" i="119" s="1"/>
  <c r="G225" i="119" s="1"/>
  <c r="H227" i="119"/>
  <c r="H226" i="119" s="1"/>
  <c r="H225" i="119" s="1"/>
  <c r="F227" i="119"/>
  <c r="F226" i="119" s="1"/>
  <c r="F225" i="119" s="1"/>
  <c r="G390" i="120"/>
  <c r="G389" i="120" s="1"/>
  <c r="H390" i="120"/>
  <c r="H389" i="120" s="1"/>
  <c r="H388" i="120"/>
  <c r="H387" i="120" s="1"/>
  <c r="I388" i="120"/>
  <c r="I387" i="120" s="1"/>
  <c r="G388" i="120"/>
  <c r="G387" i="120" s="1"/>
  <c r="G93" i="119"/>
  <c r="H52" i="120" s="1"/>
  <c r="K51" i="120" s="1"/>
  <c r="H93" i="119"/>
  <c r="I52" i="120" s="1"/>
  <c r="F93" i="119"/>
  <c r="G52" i="120" s="1"/>
  <c r="G98" i="119"/>
  <c r="H57" i="120" s="1"/>
  <c r="H98" i="119"/>
  <c r="I57" i="120" s="1"/>
  <c r="I56" i="120" s="1"/>
  <c r="F98" i="119"/>
  <c r="G57" i="120" s="1"/>
  <c r="G56" i="120" s="1"/>
  <c r="G137" i="119"/>
  <c r="G136" i="119" s="1"/>
  <c r="G135" i="119" s="1"/>
  <c r="H137" i="119"/>
  <c r="H136" i="119" s="1"/>
  <c r="H135" i="119" s="1"/>
  <c r="F137" i="119"/>
  <c r="F136" i="119" s="1"/>
  <c r="F135" i="119" s="1"/>
  <c r="G140" i="119"/>
  <c r="G139" i="119" s="1"/>
  <c r="H140" i="119"/>
  <c r="H139" i="119" s="1"/>
  <c r="F140" i="119"/>
  <c r="F139" i="119" s="1"/>
  <c r="G378" i="119"/>
  <c r="G377" i="119" s="1"/>
  <c r="G376" i="119" s="1"/>
  <c r="G375" i="119" s="1"/>
  <c r="G374" i="119" s="1"/>
  <c r="G373" i="119" s="1"/>
  <c r="G372" i="119" s="1"/>
  <c r="H378" i="119"/>
  <c r="H377" i="119" s="1"/>
  <c r="H376" i="119" s="1"/>
  <c r="H375" i="119" s="1"/>
  <c r="H374" i="119" s="1"/>
  <c r="H373" i="119" s="1"/>
  <c r="H372" i="119" s="1"/>
  <c r="F378" i="119"/>
  <c r="F377" i="119" s="1"/>
  <c r="F376" i="119" s="1"/>
  <c r="F375" i="119" s="1"/>
  <c r="F374" i="119" s="1"/>
  <c r="F373" i="119" s="1"/>
  <c r="F372" i="119" s="1"/>
  <c r="G350" i="119"/>
  <c r="G349" i="119" s="1"/>
  <c r="H350" i="119"/>
  <c r="H349" i="119" s="1"/>
  <c r="G343" i="119"/>
  <c r="G342" i="119" s="1"/>
  <c r="G341" i="119" s="1"/>
  <c r="F343" i="119"/>
  <c r="F342" i="119" s="1"/>
  <c r="F341" i="119" s="1"/>
  <c r="G340" i="119"/>
  <c r="G339" i="119" s="1"/>
  <c r="G338" i="119" s="1"/>
  <c r="G337" i="119" s="1"/>
  <c r="G336" i="119" s="1"/>
  <c r="H340" i="119"/>
  <c r="H339" i="119" s="1"/>
  <c r="H338" i="119" s="1"/>
  <c r="H337" i="119" s="1"/>
  <c r="H336" i="119" s="1"/>
  <c r="F340" i="119"/>
  <c r="F339" i="119" s="1"/>
  <c r="F338" i="119" s="1"/>
  <c r="F337" i="119" s="1"/>
  <c r="F336" i="119" s="1"/>
  <c r="G324" i="119"/>
  <c r="G323" i="119" s="1"/>
  <c r="G322" i="119" s="1"/>
  <c r="H324" i="119"/>
  <c r="H323" i="119" s="1"/>
  <c r="H322" i="119" s="1"/>
  <c r="F324" i="119"/>
  <c r="F323" i="119" s="1"/>
  <c r="F322" i="119" s="1"/>
  <c r="G335" i="119"/>
  <c r="F335" i="119"/>
  <c r="H81" i="120"/>
  <c r="I81" i="120"/>
  <c r="G82" i="120"/>
  <c r="G81" i="120" s="1"/>
  <c r="H152" i="119"/>
  <c r="I105" i="120" s="1"/>
  <c r="I104" i="120" s="1"/>
  <c r="G152" i="119"/>
  <c r="H105" i="120" s="1"/>
  <c r="H104" i="120" s="1"/>
  <c r="F152" i="119"/>
  <c r="G105" i="120" s="1"/>
  <c r="G104" i="120" s="1"/>
  <c r="L520" i="120"/>
  <c r="H976" i="120"/>
  <c r="H975" i="120" s="1"/>
  <c r="I976" i="120"/>
  <c r="I975" i="120" s="1"/>
  <c r="G976" i="120"/>
  <c r="G975" i="120" s="1"/>
  <c r="H658" i="120"/>
  <c r="H657" i="120" s="1"/>
  <c r="I658" i="120"/>
  <c r="I657" i="120" s="1"/>
  <c r="G658" i="120"/>
  <c r="G657" i="120" s="1"/>
  <c r="H655" i="120"/>
  <c r="I655" i="120"/>
  <c r="G656" i="120"/>
  <c r="G655" i="120" s="1"/>
  <c r="H643" i="120"/>
  <c r="H642" i="120" s="1"/>
  <c r="I643" i="120"/>
  <c r="I642" i="120" s="1"/>
  <c r="G643" i="120"/>
  <c r="G642" i="120" s="1"/>
  <c r="G19" i="119"/>
  <c r="G18" i="119" s="1"/>
  <c r="G17" i="119" s="1"/>
  <c r="G16" i="119" s="1"/>
  <c r="G15" i="119" s="1"/>
  <c r="G14" i="119" s="1"/>
  <c r="H19" i="119"/>
  <c r="H18" i="119" s="1"/>
  <c r="H17" i="119" s="1"/>
  <c r="H16" i="119" s="1"/>
  <c r="H15" i="119" s="1"/>
  <c r="H14" i="119" s="1"/>
  <c r="F19" i="119"/>
  <c r="F18" i="119" s="1"/>
  <c r="F17" i="119" s="1"/>
  <c r="F16" i="119" s="1"/>
  <c r="F15" i="119" s="1"/>
  <c r="F14" i="119" s="1"/>
  <c r="F957" i="119"/>
  <c r="F955" i="119"/>
  <c r="F953" i="119"/>
  <c r="H948" i="119"/>
  <c r="G948" i="119"/>
  <c r="F948" i="119"/>
  <c r="H942" i="119"/>
  <c r="G942" i="119"/>
  <c r="F942" i="119"/>
  <c r="H931" i="119"/>
  <c r="H930" i="119" s="1"/>
  <c r="H929" i="119" s="1"/>
  <c r="H928" i="119" s="1"/>
  <c r="G931" i="119"/>
  <c r="G930" i="119" s="1"/>
  <c r="G929" i="119" s="1"/>
  <c r="G928" i="119" s="1"/>
  <c r="F931" i="119"/>
  <c r="F930" i="119" s="1"/>
  <c r="F929" i="119" s="1"/>
  <c r="F928" i="119" s="1"/>
  <c r="F926" i="119"/>
  <c r="F925" i="119" s="1"/>
  <c r="F924" i="119" s="1"/>
  <c r="F923" i="119" s="1"/>
  <c r="H926" i="119"/>
  <c r="H925" i="119" s="1"/>
  <c r="H924" i="119" s="1"/>
  <c r="H923" i="119" s="1"/>
  <c r="G926" i="119"/>
  <c r="G925" i="119" s="1"/>
  <c r="G924" i="119" s="1"/>
  <c r="G923" i="119" s="1"/>
  <c r="H919" i="119"/>
  <c r="H918" i="119" s="1"/>
  <c r="G919" i="119"/>
  <c r="G918" i="119" s="1"/>
  <c r="F919" i="119"/>
  <c r="F918" i="119" s="1"/>
  <c r="H916" i="119"/>
  <c r="H915" i="119" s="1"/>
  <c r="G916" i="119"/>
  <c r="G915" i="119" s="1"/>
  <c r="F916" i="119"/>
  <c r="F915" i="119" s="1"/>
  <c r="H912" i="119"/>
  <c r="H911" i="119" s="1"/>
  <c r="G912" i="119"/>
  <c r="G911" i="119" s="1"/>
  <c r="F912" i="119"/>
  <c r="F911" i="119" s="1"/>
  <c r="H909" i="119"/>
  <c r="H908" i="119" s="1"/>
  <c r="G909" i="119"/>
  <c r="G908" i="119" s="1"/>
  <c r="F909" i="119"/>
  <c r="F908" i="119" s="1"/>
  <c r="H905" i="119"/>
  <c r="H904" i="119" s="1"/>
  <c r="H900" i="119" s="1"/>
  <c r="G905" i="119"/>
  <c r="G904" i="119" s="1"/>
  <c r="G900" i="119" s="1"/>
  <c r="F905" i="119"/>
  <c r="F904" i="119" s="1"/>
  <c r="F900" i="119" s="1"/>
  <c r="H891" i="119"/>
  <c r="H890" i="119" s="1"/>
  <c r="G891" i="119"/>
  <c r="G890" i="119" s="1"/>
  <c r="F891" i="119"/>
  <c r="F890" i="119" s="1"/>
  <c r="H888" i="119"/>
  <c r="H887" i="119" s="1"/>
  <c r="G888" i="119"/>
  <c r="G887" i="119" s="1"/>
  <c r="F888" i="119"/>
  <c r="F887" i="119" s="1"/>
  <c r="H884" i="119"/>
  <c r="H883" i="119" s="1"/>
  <c r="H882" i="119" s="1"/>
  <c r="G884" i="119"/>
  <c r="G883" i="119" s="1"/>
  <c r="G882" i="119" s="1"/>
  <c r="F884" i="119"/>
  <c r="F883" i="119" s="1"/>
  <c r="F882" i="119" s="1"/>
  <c r="H876" i="119"/>
  <c r="G876" i="119"/>
  <c r="F876" i="119"/>
  <c r="F874" i="119"/>
  <c r="H874" i="119"/>
  <c r="G874" i="119"/>
  <c r="G873" i="119" s="1"/>
  <c r="H871" i="119"/>
  <c r="H870" i="119" s="1"/>
  <c r="H869" i="119" s="1"/>
  <c r="G871" i="119"/>
  <c r="G870" i="119" s="1"/>
  <c r="G869" i="119" s="1"/>
  <c r="F871" i="119"/>
  <c r="F870" i="119" s="1"/>
  <c r="F869" i="119" s="1"/>
  <c r="H814" i="119"/>
  <c r="G814" i="119"/>
  <c r="H812" i="119"/>
  <c r="G812" i="119"/>
  <c r="F812" i="119"/>
  <c r="H799" i="119"/>
  <c r="G799" i="119"/>
  <c r="F799" i="119"/>
  <c r="F792" i="119"/>
  <c r="F791" i="119" s="1"/>
  <c r="F790" i="119" s="1"/>
  <c r="F789" i="119" s="1"/>
  <c r="H792" i="119"/>
  <c r="H791" i="119" s="1"/>
  <c r="H790" i="119" s="1"/>
  <c r="H789" i="119" s="1"/>
  <c r="G792" i="119"/>
  <c r="G791" i="119" s="1"/>
  <c r="G790" i="119" s="1"/>
  <c r="G789" i="119" s="1"/>
  <c r="H783" i="119"/>
  <c r="H782" i="119" s="1"/>
  <c r="G783" i="119"/>
  <c r="G782" i="119" s="1"/>
  <c r="F783" i="119"/>
  <c r="F782" i="119" s="1"/>
  <c r="F778" i="119"/>
  <c r="F777" i="119" s="1"/>
  <c r="H778" i="119"/>
  <c r="H777" i="119" s="1"/>
  <c r="G778" i="119"/>
  <c r="G777" i="119" s="1"/>
  <c r="H757" i="119"/>
  <c r="H756" i="119" s="1"/>
  <c r="H755" i="119" s="1"/>
  <c r="H754" i="119" s="1"/>
  <c r="G757" i="119"/>
  <c r="G756" i="119" s="1"/>
  <c r="G755" i="119" s="1"/>
  <c r="G754" i="119" s="1"/>
  <c r="F757" i="119"/>
  <c r="F756" i="119" s="1"/>
  <c r="F755" i="119" s="1"/>
  <c r="F754" i="119" s="1"/>
  <c r="H752" i="119"/>
  <c r="G752" i="119"/>
  <c r="F752" i="119"/>
  <c r="H750" i="119"/>
  <c r="G750" i="119"/>
  <c r="F750" i="119"/>
  <c r="H738" i="119"/>
  <c r="H737" i="119" s="1"/>
  <c r="G738" i="119"/>
  <c r="G737" i="119" s="1"/>
  <c r="F738" i="119"/>
  <c r="F737" i="119" s="1"/>
  <c r="H735" i="119"/>
  <c r="H734" i="119" s="1"/>
  <c r="G735" i="119"/>
  <c r="G734" i="119" s="1"/>
  <c r="F735" i="119"/>
  <c r="F734" i="119" s="1"/>
  <c r="H732" i="119"/>
  <c r="H731" i="119" s="1"/>
  <c r="G732" i="119"/>
  <c r="G731" i="119" s="1"/>
  <c r="F732" i="119"/>
  <c r="F731" i="119" s="1"/>
  <c r="H722" i="119"/>
  <c r="H721" i="119" s="1"/>
  <c r="G722" i="119"/>
  <c r="G721" i="119" s="1"/>
  <c r="F722" i="119"/>
  <c r="F721" i="119" s="1"/>
  <c r="H719" i="119"/>
  <c r="H718" i="119" s="1"/>
  <c r="H717" i="119" s="1"/>
  <c r="G719" i="119"/>
  <c r="G718" i="119" s="1"/>
  <c r="G717" i="119" s="1"/>
  <c r="F719" i="119"/>
  <c r="F718" i="119" s="1"/>
  <c r="F717" i="119" s="1"/>
  <c r="F707" i="119"/>
  <c r="F706" i="119" s="1"/>
  <c r="H707" i="119"/>
  <c r="H706" i="119" s="1"/>
  <c r="G707" i="119"/>
  <c r="G706" i="119" s="1"/>
  <c r="H704" i="119"/>
  <c r="H703" i="119" s="1"/>
  <c r="G704" i="119"/>
  <c r="G703" i="119" s="1"/>
  <c r="F704" i="119"/>
  <c r="F703" i="119" s="1"/>
  <c r="H700" i="119"/>
  <c r="H699" i="119" s="1"/>
  <c r="G700" i="119"/>
  <c r="G699" i="119" s="1"/>
  <c r="F700" i="119"/>
  <c r="F699" i="119" s="1"/>
  <c r="H697" i="119"/>
  <c r="H696" i="119" s="1"/>
  <c r="G697" i="119"/>
  <c r="G696" i="119" s="1"/>
  <c r="F697" i="119"/>
  <c r="F696" i="119" s="1"/>
  <c r="H693" i="119"/>
  <c r="H692" i="119" s="1"/>
  <c r="G693" i="119"/>
  <c r="G692" i="119" s="1"/>
  <c r="F693" i="119"/>
  <c r="F692" i="119" s="1"/>
  <c r="H690" i="119"/>
  <c r="H689" i="119" s="1"/>
  <c r="G690" i="119"/>
  <c r="G689" i="119" s="1"/>
  <c r="F690" i="119"/>
  <c r="F689" i="119" s="1"/>
  <c r="H681" i="119"/>
  <c r="H680" i="119" s="1"/>
  <c r="G681" i="119"/>
  <c r="G680" i="119" s="1"/>
  <c r="F681" i="119"/>
  <c r="F680" i="119" s="1"/>
  <c r="H678" i="119"/>
  <c r="H677" i="119" s="1"/>
  <c r="G678" i="119"/>
  <c r="G677" i="119" s="1"/>
  <c r="F678" i="119"/>
  <c r="F677" i="119" s="1"/>
  <c r="H668" i="119"/>
  <c r="H667" i="119" s="1"/>
  <c r="G668" i="119"/>
  <c r="G667" i="119" s="1"/>
  <c r="F668" i="119"/>
  <c r="F667" i="119" s="1"/>
  <c r="H665" i="119"/>
  <c r="H664" i="119" s="1"/>
  <c r="G665" i="119"/>
  <c r="G664" i="119" s="1"/>
  <c r="F665" i="119"/>
  <c r="F664" i="119" s="1"/>
  <c r="H661" i="119"/>
  <c r="G661" i="119"/>
  <c r="F661" i="119"/>
  <c r="G646" i="119"/>
  <c r="H644" i="119"/>
  <c r="F641" i="119"/>
  <c r="F640" i="119" s="1"/>
  <c r="H641" i="119"/>
  <c r="H640" i="119" s="1"/>
  <c r="G641" i="119"/>
  <c r="G640" i="119" s="1"/>
  <c r="H638" i="119"/>
  <c r="G638" i="119"/>
  <c r="F638" i="119"/>
  <c r="H636" i="119"/>
  <c r="G636" i="119"/>
  <c r="F636" i="119"/>
  <c r="H627" i="119"/>
  <c r="H626" i="119" s="1"/>
  <c r="G627" i="119"/>
  <c r="G626" i="119" s="1"/>
  <c r="F627" i="119"/>
  <c r="F626" i="119" s="1"/>
  <c r="H602" i="119"/>
  <c r="G602" i="119"/>
  <c r="F602" i="119"/>
  <c r="F596" i="119"/>
  <c r="H596" i="119"/>
  <c r="G596" i="119"/>
  <c r="H592" i="119"/>
  <c r="G592" i="119"/>
  <c r="F592" i="119"/>
  <c r="H586" i="119"/>
  <c r="G586" i="119"/>
  <c r="F586" i="119"/>
  <c r="H573" i="119"/>
  <c r="H572" i="119" s="1"/>
  <c r="G573" i="119"/>
  <c r="G572" i="119" s="1"/>
  <c r="F573" i="119"/>
  <c r="F572" i="119" s="1"/>
  <c r="H570" i="119"/>
  <c r="H569" i="119" s="1"/>
  <c r="G570" i="119"/>
  <c r="G569" i="119" s="1"/>
  <c r="F570" i="119"/>
  <c r="F569" i="119" s="1"/>
  <c r="H567" i="119"/>
  <c r="H566" i="119" s="1"/>
  <c r="H565" i="119" s="1"/>
  <c r="G567" i="119"/>
  <c r="G566" i="119" s="1"/>
  <c r="G565" i="119" s="1"/>
  <c r="F567" i="119"/>
  <c r="F566" i="119" s="1"/>
  <c r="F565" i="119" s="1"/>
  <c r="H563" i="119"/>
  <c r="G563" i="119"/>
  <c r="F563" i="119"/>
  <c r="H561" i="119"/>
  <c r="H560" i="119" s="1"/>
  <c r="H559" i="119" s="1"/>
  <c r="H558" i="119" s="1"/>
  <c r="H557" i="119" s="1"/>
  <c r="G561" i="119"/>
  <c r="G560" i="119" s="1"/>
  <c r="G559" i="119" s="1"/>
  <c r="G558" i="119" s="1"/>
  <c r="G557" i="119" s="1"/>
  <c r="F561" i="119"/>
  <c r="F560" i="119" s="1"/>
  <c r="F559" i="119" s="1"/>
  <c r="F558" i="119" s="1"/>
  <c r="F557" i="119" s="1"/>
  <c r="H538" i="119"/>
  <c r="H537" i="119" s="1"/>
  <c r="G538" i="119"/>
  <c r="G537" i="119" s="1"/>
  <c r="F538" i="119"/>
  <c r="F537" i="119" s="1"/>
  <c r="H534" i="119"/>
  <c r="H533" i="119" s="1"/>
  <c r="H532" i="119" s="1"/>
  <c r="G534" i="119"/>
  <c r="G533" i="119" s="1"/>
  <c r="G532" i="119" s="1"/>
  <c r="F534" i="119"/>
  <c r="F533" i="119" s="1"/>
  <c r="F532" i="119" s="1"/>
  <c r="H530" i="119"/>
  <c r="H529" i="119" s="1"/>
  <c r="G530" i="119"/>
  <c r="G529" i="119" s="1"/>
  <c r="F530" i="119"/>
  <c r="F529" i="119" s="1"/>
  <c r="H527" i="119"/>
  <c r="G527" i="119"/>
  <c r="F527" i="119"/>
  <c r="H525" i="119"/>
  <c r="G525" i="119"/>
  <c r="F525" i="119"/>
  <c r="F521" i="119"/>
  <c r="H521" i="119"/>
  <c r="G521" i="119"/>
  <c r="H504" i="119"/>
  <c r="F498" i="119"/>
  <c r="H457" i="119"/>
  <c r="H456" i="119" s="1"/>
  <c r="H455" i="119" s="1"/>
  <c r="G457" i="119"/>
  <c r="G456" i="119" s="1"/>
  <c r="G455" i="119" s="1"/>
  <c r="F457" i="119"/>
  <c r="F456" i="119" s="1"/>
  <c r="F455" i="119" s="1"/>
  <c r="H435" i="119"/>
  <c r="H434" i="119" s="1"/>
  <c r="G435" i="119"/>
  <c r="G434" i="119" s="1"/>
  <c r="F435" i="119"/>
  <c r="F434" i="119" s="1"/>
  <c r="F432" i="119"/>
  <c r="F431" i="119" s="1"/>
  <c r="H432" i="119"/>
  <c r="H431" i="119" s="1"/>
  <c r="H430" i="119" s="1"/>
  <c r="G432" i="119"/>
  <c r="G431" i="119" s="1"/>
  <c r="H425" i="119"/>
  <c r="H424" i="119" s="1"/>
  <c r="G425" i="119"/>
  <c r="G424" i="119" s="1"/>
  <c r="F425" i="119"/>
  <c r="F424" i="119" s="1"/>
  <c r="H419" i="119"/>
  <c r="H418" i="119" s="1"/>
  <c r="G419" i="119"/>
  <c r="G418" i="119" s="1"/>
  <c r="F419" i="119"/>
  <c r="F418" i="119" s="1"/>
  <c r="H407" i="119"/>
  <c r="H406" i="119" s="1"/>
  <c r="H405" i="119" s="1"/>
  <c r="H404" i="119" s="1"/>
  <c r="H403" i="119" s="1"/>
  <c r="H401" i="119" s="1"/>
  <c r="H400" i="119" s="1"/>
  <c r="G407" i="119"/>
  <c r="G406" i="119" s="1"/>
  <c r="G405" i="119" s="1"/>
  <c r="G404" i="119" s="1"/>
  <c r="G403" i="119" s="1"/>
  <c r="G401" i="119" s="1"/>
  <c r="G400" i="119" s="1"/>
  <c r="F407" i="119"/>
  <c r="F406" i="119" s="1"/>
  <c r="F405" i="119" s="1"/>
  <c r="F404" i="119" s="1"/>
  <c r="F403" i="119" s="1"/>
  <c r="F401" i="119" s="1"/>
  <c r="F400" i="119" s="1"/>
  <c r="H393" i="119"/>
  <c r="H392" i="119" s="1"/>
  <c r="H391" i="119" s="1"/>
  <c r="G393" i="119"/>
  <c r="G392" i="119" s="1"/>
  <c r="G391" i="119" s="1"/>
  <c r="F393" i="119"/>
  <c r="F392" i="119" s="1"/>
  <c r="F391" i="119" s="1"/>
  <c r="H370" i="119"/>
  <c r="G370" i="119"/>
  <c r="F370" i="119"/>
  <c r="H365" i="119"/>
  <c r="G365" i="119"/>
  <c r="F365" i="119"/>
  <c r="H363" i="119"/>
  <c r="G363" i="119"/>
  <c r="F363" i="119"/>
  <c r="H351" i="119"/>
  <c r="G351" i="119"/>
  <c r="F351" i="119"/>
  <c r="H329" i="119"/>
  <c r="H328" i="119" s="1"/>
  <c r="G329" i="119"/>
  <c r="G328" i="119" s="1"/>
  <c r="F329" i="119"/>
  <c r="F328" i="119" s="1"/>
  <c r="F327" i="119"/>
  <c r="F326" i="119" s="1"/>
  <c r="F325" i="119" s="1"/>
  <c r="H326" i="119"/>
  <c r="H325" i="119" s="1"/>
  <c r="G326" i="119"/>
  <c r="G325" i="119" s="1"/>
  <c r="H320" i="119"/>
  <c r="H319" i="119" s="1"/>
  <c r="G320" i="119"/>
  <c r="G319" i="119" s="1"/>
  <c r="F320" i="119"/>
  <c r="F319" i="119" s="1"/>
  <c r="H296" i="119"/>
  <c r="G296" i="119"/>
  <c r="F296" i="119"/>
  <c r="H291" i="119"/>
  <c r="G291" i="119"/>
  <c r="F291" i="119"/>
  <c r="H284" i="119"/>
  <c r="G284" i="119"/>
  <c r="F284" i="119"/>
  <c r="H279" i="119"/>
  <c r="G279" i="119"/>
  <c r="F279" i="119"/>
  <c r="H277" i="119"/>
  <c r="G277" i="119"/>
  <c r="F277" i="119"/>
  <c r="H276" i="119"/>
  <c r="G276" i="119"/>
  <c r="F276" i="119"/>
  <c r="H270" i="119"/>
  <c r="G270" i="119"/>
  <c r="F270" i="119"/>
  <c r="H257" i="119"/>
  <c r="H256" i="119" s="1"/>
  <c r="G257" i="119"/>
  <c r="G256" i="119" s="1"/>
  <c r="F257" i="119"/>
  <c r="F256" i="119" s="1"/>
  <c r="H248" i="119"/>
  <c r="H247" i="119" s="1"/>
  <c r="G248" i="119"/>
  <c r="G247" i="119" s="1"/>
  <c r="F248" i="119"/>
  <c r="F247" i="119" s="1"/>
  <c r="H242" i="119"/>
  <c r="H241" i="119" s="1"/>
  <c r="G242" i="119"/>
  <c r="G241" i="119" s="1"/>
  <c r="F242" i="119"/>
  <c r="F241" i="119" s="1"/>
  <c r="H234" i="119"/>
  <c r="H233" i="119" s="1"/>
  <c r="G234" i="119"/>
  <c r="G233" i="119" s="1"/>
  <c r="F234" i="119"/>
  <c r="F233" i="119" s="1"/>
  <c r="H223" i="119"/>
  <c r="H222" i="119" s="1"/>
  <c r="G223" i="119"/>
  <c r="G222" i="119" s="1"/>
  <c r="F223" i="119"/>
  <c r="F222" i="119" s="1"/>
  <c r="H220" i="119"/>
  <c r="G220" i="119"/>
  <c r="F220" i="119"/>
  <c r="H218" i="119"/>
  <c r="G218" i="119"/>
  <c r="F218" i="119"/>
  <c r="H215" i="119"/>
  <c r="H214" i="119" s="1"/>
  <c r="G215" i="119"/>
  <c r="G214" i="119" s="1"/>
  <c r="F215" i="119"/>
  <c r="F214" i="119" s="1"/>
  <c r="H212" i="119"/>
  <c r="G212" i="119"/>
  <c r="F212" i="119"/>
  <c r="H211" i="119"/>
  <c r="H210" i="119" s="1"/>
  <c r="H209" i="119" s="1"/>
  <c r="G211" i="119"/>
  <c r="G210" i="119" s="1"/>
  <c r="G209" i="119" s="1"/>
  <c r="F211" i="119"/>
  <c r="F210" i="119" s="1"/>
  <c r="F209" i="119" s="1"/>
  <c r="H207" i="119"/>
  <c r="H205" i="119" s="1"/>
  <c r="G207" i="119"/>
  <c r="G205" i="119" s="1"/>
  <c r="F207" i="119"/>
  <c r="F205" i="119" s="1"/>
  <c r="H206" i="119"/>
  <c r="H204" i="119" s="1"/>
  <c r="H203" i="119" s="1"/>
  <c r="G206" i="119"/>
  <c r="G204" i="119" s="1"/>
  <c r="G203" i="119" s="1"/>
  <c r="F206" i="119"/>
  <c r="F204" i="119" s="1"/>
  <c r="F203" i="119" s="1"/>
  <c r="H198" i="119"/>
  <c r="H197" i="119" s="1"/>
  <c r="G198" i="119"/>
  <c r="G197" i="119" s="1"/>
  <c r="F198" i="119"/>
  <c r="F197" i="119" s="1"/>
  <c r="H189" i="119"/>
  <c r="H188" i="119" s="1"/>
  <c r="G189" i="119"/>
  <c r="G188" i="119" s="1"/>
  <c r="F189" i="119"/>
  <c r="F188" i="119" s="1"/>
  <c r="H186" i="119"/>
  <c r="H185" i="119" s="1"/>
  <c r="G186" i="119"/>
  <c r="G185" i="119" s="1"/>
  <c r="F186" i="119"/>
  <c r="F185" i="119" s="1"/>
  <c r="H183" i="119"/>
  <c r="H182" i="119" s="1"/>
  <c r="G183" i="119"/>
  <c r="G182" i="119" s="1"/>
  <c r="F183" i="119"/>
  <c r="F182" i="119" s="1"/>
  <c r="H178" i="119"/>
  <c r="H177" i="119" s="1"/>
  <c r="G178" i="119"/>
  <c r="G177" i="119" s="1"/>
  <c r="F178" i="119"/>
  <c r="F177" i="119" s="1"/>
  <c r="H174" i="119"/>
  <c r="H173" i="119" s="1"/>
  <c r="G174" i="119"/>
  <c r="G173" i="119" s="1"/>
  <c r="F174" i="119"/>
  <c r="F173" i="119" s="1"/>
  <c r="H168" i="119"/>
  <c r="H167" i="119" s="1"/>
  <c r="G168" i="119"/>
  <c r="G167" i="119" s="1"/>
  <c r="F168" i="119"/>
  <c r="F167" i="119" s="1"/>
  <c r="F165" i="119"/>
  <c r="F164" i="119" s="1"/>
  <c r="H165" i="119"/>
  <c r="H164" i="119" s="1"/>
  <c r="G165" i="119"/>
  <c r="G164" i="119" s="1"/>
  <c r="H162" i="119"/>
  <c r="H161" i="119" s="1"/>
  <c r="G162" i="119"/>
  <c r="G161" i="119" s="1"/>
  <c r="F162" i="119"/>
  <c r="F161" i="119" s="1"/>
  <c r="H159" i="119"/>
  <c r="G159" i="119"/>
  <c r="F159" i="119"/>
  <c r="H157" i="119"/>
  <c r="G157" i="119"/>
  <c r="F157" i="119"/>
  <c r="H153" i="119"/>
  <c r="G153" i="119"/>
  <c r="F153" i="119"/>
  <c r="H146" i="119"/>
  <c r="H143" i="119" s="1"/>
  <c r="G146" i="119"/>
  <c r="G143" i="119" s="1"/>
  <c r="F146" i="119"/>
  <c r="F143" i="119" s="1"/>
  <c r="H144" i="119"/>
  <c r="G144" i="119"/>
  <c r="F144" i="119"/>
  <c r="H141" i="119"/>
  <c r="G141" i="119"/>
  <c r="F141" i="119"/>
  <c r="H133" i="119"/>
  <c r="G133" i="119"/>
  <c r="F133" i="119"/>
  <c r="H131" i="119"/>
  <c r="H130" i="119" s="1"/>
  <c r="G131" i="119"/>
  <c r="G130" i="119" s="1"/>
  <c r="F131" i="119"/>
  <c r="F130" i="119" s="1"/>
  <c r="H128" i="119"/>
  <c r="G128" i="119"/>
  <c r="F128" i="119"/>
  <c r="F126" i="119"/>
  <c r="H126" i="119"/>
  <c r="H125" i="119" s="1"/>
  <c r="H121" i="119"/>
  <c r="H120" i="119" s="1"/>
  <c r="G121" i="119"/>
  <c r="G120" i="119" s="1"/>
  <c r="F121" i="119"/>
  <c r="F120" i="119" s="1"/>
  <c r="H118" i="119"/>
  <c r="H117" i="119" s="1"/>
  <c r="G118" i="119"/>
  <c r="G117" i="119" s="1"/>
  <c r="F118" i="119"/>
  <c r="F117" i="119" s="1"/>
  <c r="H115" i="119"/>
  <c r="H114" i="119" s="1"/>
  <c r="G115" i="119"/>
  <c r="G114" i="119" s="1"/>
  <c r="G113" i="119" s="1"/>
  <c r="F115" i="119"/>
  <c r="F114" i="119" s="1"/>
  <c r="F113" i="119" s="1"/>
  <c r="H110" i="119"/>
  <c r="G110" i="119"/>
  <c r="F110" i="119"/>
  <c r="H108" i="119"/>
  <c r="G108" i="119"/>
  <c r="F108" i="119"/>
  <c r="H104" i="119"/>
  <c r="G104" i="119"/>
  <c r="F104" i="119"/>
  <c r="F102" i="119"/>
  <c r="H99" i="119"/>
  <c r="G99" i="119"/>
  <c r="F99" i="119"/>
  <c r="H94" i="119"/>
  <c r="G94" i="119"/>
  <c r="F94" i="119"/>
  <c r="H89" i="119"/>
  <c r="G89" i="119"/>
  <c r="F89" i="119"/>
  <c r="H87" i="119"/>
  <c r="F82" i="119"/>
  <c r="F81" i="119" s="1"/>
  <c r="F80" i="119" s="1"/>
  <c r="F79" i="119" s="1"/>
  <c r="F78" i="119" s="1"/>
  <c r="H82" i="119"/>
  <c r="H81" i="119" s="1"/>
  <c r="H80" i="119" s="1"/>
  <c r="H79" i="119" s="1"/>
  <c r="H78" i="119" s="1"/>
  <c r="G82" i="119"/>
  <c r="G81" i="119" s="1"/>
  <c r="G80" i="119" s="1"/>
  <c r="G79" i="119" s="1"/>
  <c r="G78" i="119" s="1"/>
  <c r="H76" i="119"/>
  <c r="H75" i="119" s="1"/>
  <c r="H74" i="119" s="1"/>
  <c r="H73" i="119" s="1"/>
  <c r="H72" i="119" s="1"/>
  <c r="G76" i="119"/>
  <c r="G75" i="119" s="1"/>
  <c r="G74" i="119" s="1"/>
  <c r="G73" i="119" s="1"/>
  <c r="G72" i="119" s="1"/>
  <c r="F76" i="119"/>
  <c r="F75" i="119" s="1"/>
  <c r="F74" i="119" s="1"/>
  <c r="F73" i="119" s="1"/>
  <c r="F72" i="119" s="1"/>
  <c r="H70" i="119"/>
  <c r="G70" i="119"/>
  <c r="F70" i="119"/>
  <c r="H69" i="119"/>
  <c r="H68" i="119" s="1"/>
  <c r="G69" i="119"/>
  <c r="G68" i="119" s="1"/>
  <c r="F69" i="119"/>
  <c r="F68" i="119" s="1"/>
  <c r="H63" i="119"/>
  <c r="G63" i="119"/>
  <c r="F63" i="119"/>
  <c r="H61" i="119"/>
  <c r="G61" i="119"/>
  <c r="F61" i="119"/>
  <c r="H59" i="119"/>
  <c r="F59" i="119"/>
  <c r="H56" i="119"/>
  <c r="G56" i="119"/>
  <c r="F56" i="119"/>
  <c r="I55" i="119" s="1"/>
  <c r="G54" i="119"/>
  <c r="F54" i="119"/>
  <c r="G52" i="119"/>
  <c r="H43" i="119"/>
  <c r="G43" i="119"/>
  <c r="F43" i="119"/>
  <c r="I43" i="119" s="1"/>
  <c r="H41" i="119"/>
  <c r="F41" i="119"/>
  <c r="G41" i="119"/>
  <c r="H39" i="119"/>
  <c r="F39" i="119"/>
  <c r="G39" i="119"/>
  <c r="H33" i="119"/>
  <c r="G33" i="119"/>
  <c r="F33" i="119"/>
  <c r="H31" i="119"/>
  <c r="G31" i="119"/>
  <c r="F31" i="119"/>
  <c r="H29" i="119"/>
  <c r="G29" i="119"/>
  <c r="F29" i="119"/>
  <c r="H26" i="119"/>
  <c r="G26" i="119"/>
  <c r="F26" i="119"/>
  <c r="D272" i="113"/>
  <c r="D301" i="113"/>
  <c r="I106" i="119" s="1"/>
  <c r="E51" i="113"/>
  <c r="H936" i="120" s="1"/>
  <c r="H935" i="120" s="1"/>
  <c r="H934" i="120" s="1"/>
  <c r="H933" i="120" s="1"/>
  <c r="F51" i="113"/>
  <c r="D51" i="113"/>
  <c r="G936" i="120" s="1"/>
  <c r="G935" i="120" s="1"/>
  <c r="G934" i="120" s="1"/>
  <c r="G933" i="120" s="1"/>
  <c r="E63" i="113"/>
  <c r="F63" i="113"/>
  <c r="I723" i="120" s="1"/>
  <c r="I722" i="120" s="1"/>
  <c r="I721" i="120" s="1"/>
  <c r="D63" i="113"/>
  <c r="G723" i="120" s="1"/>
  <c r="G722" i="120" s="1"/>
  <c r="G721" i="120" s="1"/>
  <c r="D169" i="113"/>
  <c r="H195" i="113"/>
  <c r="I28" i="117"/>
  <c r="F28" i="117"/>
  <c r="D16" i="118"/>
  <c r="C16" i="118"/>
  <c r="G199" i="120"/>
  <c r="G198" i="120" s="1"/>
  <c r="I246" i="120"/>
  <c r="I245" i="120" s="1"/>
  <c r="G246" i="120"/>
  <c r="G245" i="120" s="1"/>
  <c r="E155" i="113"/>
  <c r="F155" i="113"/>
  <c r="F154" i="113" s="1"/>
  <c r="D155" i="113"/>
  <c r="D154" i="113" s="1"/>
  <c r="E240" i="113"/>
  <c r="E302" i="113"/>
  <c r="F302" i="113"/>
  <c r="I305" i="113" s="1"/>
  <c r="D218" i="113"/>
  <c r="G779" i="120"/>
  <c r="G778" i="120" s="1"/>
  <c r="G777" i="120" s="1"/>
  <c r="F322" i="113"/>
  <c r="H218" i="113" s="1"/>
  <c r="E322" i="113"/>
  <c r="G218" i="113" s="1"/>
  <c r="E234" i="113"/>
  <c r="G805" i="119" s="1"/>
  <c r="H805" i="119"/>
  <c r="D234" i="113"/>
  <c r="F805" i="119" s="1"/>
  <c r="G527" i="120" s="1"/>
  <c r="E230" i="113"/>
  <c r="J811" i="119" s="1"/>
  <c r="K811" i="119"/>
  <c r="D230" i="113"/>
  <c r="I811" i="119" s="1"/>
  <c r="E227" i="113"/>
  <c r="H279" i="120" s="1"/>
  <c r="F227" i="113"/>
  <c r="I279" i="120" s="1"/>
  <c r="D227" i="113"/>
  <c r="E90" i="113"/>
  <c r="G589" i="119" s="1"/>
  <c r="H881" i="120" s="1"/>
  <c r="F90" i="113"/>
  <c r="H589" i="119" s="1"/>
  <c r="I881" i="120" s="1"/>
  <c r="D90" i="113"/>
  <c r="E108" i="113"/>
  <c r="E64" i="113"/>
  <c r="F64" i="113"/>
  <c r="D64" i="113"/>
  <c r="E310" i="113"/>
  <c r="H314" i="120" s="1"/>
  <c r="H313" i="120" s="1"/>
  <c r="H312" i="120" s="1"/>
  <c r="F310" i="113"/>
  <c r="I314" i="120" s="1"/>
  <c r="I313" i="120" s="1"/>
  <c r="I312" i="120" s="1"/>
  <c r="D310" i="113"/>
  <c r="G314" i="120" s="1"/>
  <c r="G313" i="120" s="1"/>
  <c r="G312" i="120" s="1"/>
  <c r="E306" i="113"/>
  <c r="J86" i="119" s="1"/>
  <c r="F306" i="113"/>
  <c r="K86" i="119" s="1"/>
  <c r="D306" i="113"/>
  <c r="I86" i="119" s="1"/>
  <c r="E54" i="113"/>
  <c r="G479" i="119" s="1"/>
  <c r="F54" i="113"/>
  <c r="H479" i="119" s="1"/>
  <c r="D54" i="113"/>
  <c r="E53" i="113"/>
  <c r="H800" i="120" s="1"/>
  <c r="H799" i="120" s="1"/>
  <c r="H798" i="120" s="1"/>
  <c r="F53" i="113"/>
  <c r="I800" i="120" s="1"/>
  <c r="I799" i="120" s="1"/>
  <c r="I798" i="120" s="1"/>
  <c r="D53" i="113"/>
  <c r="H793" i="120"/>
  <c r="H792" i="120" s="1"/>
  <c r="I793" i="120"/>
  <c r="I792" i="120" s="1"/>
  <c r="G794" i="120"/>
  <c r="G793" i="120" s="1"/>
  <c r="G792" i="120" s="1"/>
  <c r="E305" i="113"/>
  <c r="F305" i="113"/>
  <c r="D305" i="113"/>
  <c r="G187" i="120" s="1"/>
  <c r="G186" i="120" s="1"/>
  <c r="G185" i="120" s="1"/>
  <c r="E311" i="113"/>
  <c r="H36" i="120" s="1"/>
  <c r="H35" i="120" s="1"/>
  <c r="H34" i="120" s="1"/>
  <c r="F311" i="113"/>
  <c r="I36" i="120" s="1"/>
  <c r="I35" i="120" s="1"/>
  <c r="I34" i="120" s="1"/>
  <c r="D311" i="113"/>
  <c r="E301" i="113"/>
  <c r="J106" i="119" s="1"/>
  <c r="F301" i="113"/>
  <c r="K106" i="119" s="1"/>
  <c r="E299" i="113"/>
  <c r="F299" i="113"/>
  <c r="K101" i="119" s="1"/>
  <c r="D299" i="113"/>
  <c r="I101" i="119" s="1"/>
  <c r="E296" i="113"/>
  <c r="H123" i="120" s="1"/>
  <c r="H122" i="120" s="1"/>
  <c r="H121" i="120" s="1"/>
  <c r="F296" i="113"/>
  <c r="I123" i="120" s="1"/>
  <c r="I122" i="120" s="1"/>
  <c r="I121" i="120" s="1"/>
  <c r="H790" i="120"/>
  <c r="H789" i="120" s="1"/>
  <c r="I790" i="120"/>
  <c r="I789" i="120" s="1"/>
  <c r="G790" i="120"/>
  <c r="G789" i="120" s="1"/>
  <c r="E49" i="113"/>
  <c r="F49" i="113"/>
  <c r="D49" i="113"/>
  <c r="F473" i="119" s="1"/>
  <c r="E307" i="113"/>
  <c r="F307" i="113"/>
  <c r="D307" i="113"/>
  <c r="D271" i="113"/>
  <c r="M31" i="117"/>
  <c r="J31" i="117"/>
  <c r="G31" i="117"/>
  <c r="L30" i="117"/>
  <c r="I30" i="117"/>
  <c r="L25" i="117"/>
  <c r="I25" i="117"/>
  <c r="F25" i="117"/>
  <c r="L20" i="117"/>
  <c r="I20" i="117"/>
  <c r="L18" i="117"/>
  <c r="I18" i="117"/>
  <c r="F18" i="117"/>
  <c r="L15" i="117"/>
  <c r="I15" i="117"/>
  <c r="F15" i="117"/>
  <c r="F941" i="119"/>
  <c r="F940" i="119" s="1"/>
  <c r="F321" i="113"/>
  <c r="G123" i="120"/>
  <c r="G122" i="120" s="1"/>
  <c r="G121" i="120" s="1"/>
  <c r="F238" i="113"/>
  <c r="E238" i="113"/>
  <c r="D238" i="113"/>
  <c r="F235" i="113"/>
  <c r="E235" i="113"/>
  <c r="D235" i="113"/>
  <c r="I280" i="120"/>
  <c r="F224" i="113"/>
  <c r="F223" i="113" s="1"/>
  <c r="E224" i="113"/>
  <c r="E223" i="113" s="1"/>
  <c r="D224" i="113"/>
  <c r="D223" i="113" s="1"/>
  <c r="F215" i="113"/>
  <c r="E215" i="113"/>
  <c r="F212" i="113"/>
  <c r="F211" i="113"/>
  <c r="I288" i="120" s="1"/>
  <c r="I287" i="120" s="1"/>
  <c r="I286" i="120" s="1"/>
  <c r="F210" i="113"/>
  <c r="E209" i="113"/>
  <c r="D209" i="113"/>
  <c r="F201" i="113"/>
  <c r="E201" i="113"/>
  <c r="F193" i="113"/>
  <c r="E193" i="113"/>
  <c r="D193" i="113"/>
  <c r="F190" i="113"/>
  <c r="E190" i="113"/>
  <c r="D190" i="113"/>
  <c r="F187" i="113"/>
  <c r="E187" i="113"/>
  <c r="D187" i="113"/>
  <c r="F185" i="113"/>
  <c r="E185" i="113"/>
  <c r="D185" i="113"/>
  <c r="F183" i="113"/>
  <c r="E183" i="113"/>
  <c r="D183" i="113"/>
  <c r="F179" i="113"/>
  <c r="E179" i="113"/>
  <c r="D179" i="113"/>
  <c r="F176" i="113"/>
  <c r="E176" i="113"/>
  <c r="D176" i="113"/>
  <c r="F174" i="113"/>
  <c r="E174" i="113"/>
  <c r="F171" i="113"/>
  <c r="E171" i="113"/>
  <c r="D171" i="113"/>
  <c r="E168" i="113"/>
  <c r="F168" i="113"/>
  <c r="F166" i="113"/>
  <c r="E166" i="113"/>
  <c r="F163" i="113"/>
  <c r="E163" i="113"/>
  <c r="F160" i="113"/>
  <c r="E160" i="113"/>
  <c r="D160" i="113"/>
  <c r="F157" i="113"/>
  <c r="E157" i="113"/>
  <c r="D157" i="113"/>
  <c r="F153" i="113"/>
  <c r="E153" i="113"/>
  <c r="D153" i="113"/>
  <c r="F150" i="113"/>
  <c r="E150" i="113"/>
  <c r="D150" i="113"/>
  <c r="F146" i="113"/>
  <c r="E146" i="113"/>
  <c r="F143" i="113"/>
  <c r="E143" i="113"/>
  <c r="D143" i="113"/>
  <c r="F140" i="113"/>
  <c r="E140" i="113"/>
  <c r="D140" i="113"/>
  <c r="D137" i="113"/>
  <c r="F137" i="113"/>
  <c r="E137" i="113"/>
  <c r="F134" i="113"/>
  <c r="E134" i="113"/>
  <c r="D134" i="113"/>
  <c r="F127" i="113"/>
  <c r="E127" i="113"/>
  <c r="D127" i="113"/>
  <c r="F114" i="113"/>
  <c r="E114" i="113"/>
  <c r="D114" i="113"/>
  <c r="F111" i="113"/>
  <c r="E111" i="113"/>
  <c r="D111" i="113"/>
  <c r="F107" i="113"/>
  <c r="D107" i="113"/>
  <c r="F105" i="113"/>
  <c r="E105" i="113"/>
  <c r="D105" i="113"/>
  <c r="F98" i="113"/>
  <c r="E98" i="113"/>
  <c r="D98" i="113"/>
  <c r="F95" i="113"/>
  <c r="E95" i="113"/>
  <c r="D95" i="113"/>
  <c r="D92" i="113"/>
  <c r="F92" i="113"/>
  <c r="E92" i="113"/>
  <c r="D87" i="113"/>
  <c r="F87" i="113"/>
  <c r="E87" i="113"/>
  <c r="D69" i="113"/>
  <c r="D68" i="113" s="1"/>
  <c r="F69" i="113"/>
  <c r="F68" i="113" s="1"/>
  <c r="E69" i="113"/>
  <c r="E68" i="113" s="1"/>
  <c r="F65" i="113"/>
  <c r="E65" i="113"/>
  <c r="F60" i="113"/>
  <c r="E60" i="113"/>
  <c r="F56" i="113"/>
  <c r="E56" i="113"/>
  <c r="D56" i="113"/>
  <c r="D46" i="113"/>
  <c r="F46" i="113"/>
  <c r="E46" i="113"/>
  <c r="F28" i="113"/>
  <c r="E28" i="113"/>
  <c r="F25" i="113"/>
  <c r="E25" i="113"/>
  <c r="D25" i="113"/>
  <c r="F21" i="113"/>
  <c r="E21" i="113"/>
  <c r="D21" i="113"/>
  <c r="D17" i="113"/>
  <c r="F14" i="113"/>
  <c r="E14" i="113"/>
  <c r="D14" i="113"/>
  <c r="D163" i="113"/>
  <c r="F362" i="119"/>
  <c r="F361" i="119" s="1"/>
  <c r="G303" i="113"/>
  <c r="G304" i="113"/>
  <c r="G491" i="120"/>
  <c r="G492" i="120"/>
  <c r="I164" i="120"/>
  <c r="E107" i="113" l="1"/>
  <c r="H905" i="120"/>
  <c r="G610" i="119"/>
  <c r="G609" i="119" s="1"/>
  <c r="G460" i="120"/>
  <c r="G430" i="119"/>
  <c r="F13" i="113"/>
  <c r="E13" i="113"/>
  <c r="G800" i="120"/>
  <c r="G799" i="120" s="1"/>
  <c r="G798" i="120" s="1"/>
  <c r="D13" i="113"/>
  <c r="F811" i="119"/>
  <c r="G96" i="120"/>
  <c r="I326" i="120"/>
  <c r="I325" i="120" s="1"/>
  <c r="H818" i="120"/>
  <c r="H816" i="120" s="1"/>
  <c r="H815" i="120" s="1"/>
  <c r="G613" i="120"/>
  <c r="H132" i="120"/>
  <c r="H131" i="120" s="1"/>
  <c r="H127" i="120" s="1"/>
  <c r="H613" i="120"/>
  <c r="N31" i="117"/>
  <c r="L23" i="117"/>
  <c r="F430" i="119"/>
  <c r="H66" i="119"/>
  <c r="G169" i="113"/>
  <c r="D168" i="113"/>
  <c r="D146" i="113"/>
  <c r="D65" i="113"/>
  <c r="H420" i="120"/>
  <c r="G818" i="120"/>
  <c r="G817" i="120" s="1"/>
  <c r="H24" i="119"/>
  <c r="H23" i="119" s="1"/>
  <c r="G132" i="120"/>
  <c r="G131" i="120" s="1"/>
  <c r="G127" i="120" s="1"/>
  <c r="H102" i="119"/>
  <c r="H411" i="119"/>
  <c r="H151" i="119"/>
  <c r="H150" i="119" s="1"/>
  <c r="H149" i="119" s="1"/>
  <c r="G411" i="119"/>
  <c r="G539" i="120"/>
  <c r="H413" i="120"/>
  <c r="H460" i="120"/>
  <c r="G599" i="120"/>
  <c r="I353" i="120"/>
  <c r="I352" i="120" s="1"/>
  <c r="D326" i="113"/>
  <c r="G265" i="113" s="1"/>
  <c r="H492" i="120"/>
  <c r="I460" i="120"/>
  <c r="H539" i="120"/>
  <c r="G590" i="120"/>
  <c r="I724" i="120"/>
  <c r="H6" i="113"/>
  <c r="G6" i="113"/>
  <c r="G64" i="113"/>
  <c r="H381" i="120"/>
  <c r="G14" i="113"/>
  <c r="I399" i="120"/>
  <c r="I442" i="120"/>
  <c r="I922" i="120"/>
  <c r="I921" i="120" s="1"/>
  <c r="I918" i="120" s="1"/>
  <c r="H625" i="119"/>
  <c r="H624" i="119" s="1"/>
  <c r="H621" i="119" s="1"/>
  <c r="I187" i="120"/>
  <c r="I186" i="120" s="1"/>
  <c r="I185" i="120" s="1"/>
  <c r="I184" i="120" s="1"/>
  <c r="G957" i="120"/>
  <c r="G953" i="120" s="1"/>
  <c r="G952" i="120" s="1"/>
  <c r="G951" i="120" s="1"/>
  <c r="H187" i="120"/>
  <c r="H186" i="120" s="1"/>
  <c r="H185" i="120" s="1"/>
  <c r="H184" i="120" s="1"/>
  <c r="I307" i="120"/>
  <c r="I306" i="120" s="1"/>
  <c r="I305" i="120" s="1"/>
  <c r="I304" i="120" s="1"/>
  <c r="I210" i="120"/>
  <c r="H210" i="120"/>
  <c r="G891" i="120"/>
  <c r="K892" i="120" s="1"/>
  <c r="K893" i="120" s="1"/>
  <c r="H891" i="120"/>
  <c r="H890" i="120" s="1"/>
  <c r="H889" i="120" s="1"/>
  <c r="F87" i="119"/>
  <c r="F86" i="119" s="1"/>
  <c r="I87" i="119" s="1"/>
  <c r="F106" i="119"/>
  <c r="I107" i="119" s="1"/>
  <c r="G181" i="119"/>
  <c r="G180" i="119" s="1"/>
  <c r="G176" i="119" s="1"/>
  <c r="H676" i="119"/>
  <c r="F688" i="119"/>
  <c r="H495" i="119"/>
  <c r="H494" i="119" s="1"/>
  <c r="H493" i="119" s="1"/>
  <c r="H492" i="119" s="1"/>
  <c r="G171" i="113"/>
  <c r="H853" i="119"/>
  <c r="H96" i="120"/>
  <c r="G702" i="119"/>
  <c r="E182" i="113"/>
  <c r="I184" i="113" s="1"/>
  <c r="J101" i="119"/>
  <c r="E326" i="113"/>
  <c r="H23" i="120"/>
  <c r="H22" i="120" s="1"/>
  <c r="H21" i="120" s="1"/>
  <c r="H20" i="120" s="1"/>
  <c r="I490" i="120"/>
  <c r="I489" i="120" s="1"/>
  <c r="I488" i="120" s="1"/>
  <c r="E89" i="113"/>
  <c r="H797" i="120"/>
  <c r="H796" i="120" s="1"/>
  <c r="H795" i="120" s="1"/>
  <c r="H786" i="120" s="1"/>
  <c r="H785" i="120" s="1"/>
  <c r="H784" i="120" s="1"/>
  <c r="H14" i="113"/>
  <c r="F589" i="119"/>
  <c r="G92" i="113"/>
  <c r="I64" i="113"/>
  <c r="G106" i="119"/>
  <c r="J107" i="119" s="1"/>
  <c r="G644" i="119"/>
  <c r="G643" i="119" s="1"/>
  <c r="J644" i="119" s="1"/>
  <c r="H749" i="119"/>
  <c r="H748" i="119" s="1"/>
  <c r="G495" i="119"/>
  <c r="G494" i="119" s="1"/>
  <c r="G493" i="119" s="1"/>
  <c r="G492" i="119" s="1"/>
  <c r="G786" i="119"/>
  <c r="G785" i="119" s="1"/>
  <c r="J787" i="119" s="1"/>
  <c r="G690" i="120"/>
  <c r="G689" i="120" s="1"/>
  <c r="G684" i="120" s="1"/>
  <c r="K31" i="117"/>
  <c r="G797" i="120"/>
  <c r="G796" i="120" s="1"/>
  <c r="G795" i="120" s="1"/>
  <c r="G786" i="120" s="1"/>
  <c r="G785" i="120" s="1"/>
  <c r="G784" i="120" s="1"/>
  <c r="G292" i="120"/>
  <c r="G291" i="120" s="1"/>
  <c r="G290" i="120" s="1"/>
  <c r="I273" i="113"/>
  <c r="F209" i="113"/>
  <c r="F226" i="113"/>
  <c r="E121" i="113"/>
  <c r="F182" i="113"/>
  <c r="I797" i="120"/>
  <c r="I796" i="120" s="1"/>
  <c r="I795" i="120" s="1"/>
  <c r="I786" i="120" s="1"/>
  <c r="I785" i="120" s="1"/>
  <c r="I784" i="120" s="1"/>
  <c r="I14" i="113"/>
  <c r="G279" i="120"/>
  <c r="G278" i="120" s="1"/>
  <c r="G277" i="120" s="1"/>
  <c r="G276" i="120" s="1"/>
  <c r="G262" i="120" s="1"/>
  <c r="D215" i="113"/>
  <c r="G87" i="119"/>
  <c r="G86" i="119" s="1"/>
  <c r="J87" i="119" s="1"/>
  <c r="G102" i="119"/>
  <c r="G101" i="119" s="1"/>
  <c r="F749" i="119"/>
  <c r="F748" i="119" s="1"/>
  <c r="F786" i="119"/>
  <c r="F785" i="119" s="1"/>
  <c r="I787" i="119" s="1"/>
  <c r="I636" i="120"/>
  <c r="I55" i="120"/>
  <c r="F495" i="119"/>
  <c r="F494" i="119" s="1"/>
  <c r="F493" i="119" s="1"/>
  <c r="F492" i="119" s="1"/>
  <c r="I818" i="120"/>
  <c r="H164" i="120"/>
  <c r="I599" i="120"/>
  <c r="G823" i="120"/>
  <c r="G822" i="120" s="1"/>
  <c r="L823" i="120"/>
  <c r="L28" i="117"/>
  <c r="L31" i="117" s="1"/>
  <c r="H817" i="120"/>
  <c r="G585" i="120"/>
  <c r="G579" i="120" s="1"/>
  <c r="I96" i="120"/>
  <c r="I175" i="120"/>
  <c r="H299" i="120"/>
  <c r="H307" i="120"/>
  <c r="G406" i="120"/>
  <c r="I406" i="120"/>
  <c r="G420" i="120"/>
  <c r="G442" i="120"/>
  <c r="H580" i="120"/>
  <c r="H579" i="120" s="1"/>
  <c r="G724" i="120"/>
  <c r="I759" i="120"/>
  <c r="H306" i="120"/>
  <c r="H305" i="120" s="1"/>
  <c r="H304" i="120" s="1"/>
  <c r="G299" i="120"/>
  <c r="I299" i="120"/>
  <c r="I197" i="120"/>
  <c r="I196" i="120" s="1"/>
  <c r="I191" i="120" s="1"/>
  <c r="G228" i="120"/>
  <c r="G227" i="120" s="1"/>
  <c r="G226" i="120" s="1"/>
  <c r="G399" i="120"/>
  <c r="H759" i="120"/>
  <c r="I897" i="120"/>
  <c r="G353" i="120"/>
  <c r="G352" i="120" s="1"/>
  <c r="H399" i="120"/>
  <c r="H442" i="120"/>
  <c r="H957" i="120"/>
  <c r="H953" i="120" s="1"/>
  <c r="H952" i="120" s="1"/>
  <c r="H951" i="120" s="1"/>
  <c r="H228" i="120"/>
  <c r="H227" i="120" s="1"/>
  <c r="H226" i="120" s="1"/>
  <c r="G65" i="120"/>
  <c r="H45" i="120"/>
  <c r="I278" i="120"/>
  <c r="I277" i="120" s="1"/>
  <c r="I276" i="120" s="1"/>
  <c r="I262" i="120" s="1"/>
  <c r="H51" i="120"/>
  <c r="H50" i="120" s="1"/>
  <c r="G65" i="119"/>
  <c r="G92" i="119"/>
  <c r="G91" i="119" s="1"/>
  <c r="H103" i="120"/>
  <c r="H102" i="120" s="1"/>
  <c r="H101" i="120" s="1"/>
  <c r="G943" i="120"/>
  <c r="G942" i="120" s="1"/>
  <c r="G938" i="120" s="1"/>
  <c r="G937" i="120" s="1"/>
  <c r="I891" i="120"/>
  <c r="I890" i="120" s="1"/>
  <c r="I889" i="120" s="1"/>
  <c r="H86" i="119"/>
  <c r="K87" i="119" s="1"/>
  <c r="D55" i="113"/>
  <c r="G97" i="119"/>
  <c r="G96" i="119" s="1"/>
  <c r="H394" i="120"/>
  <c r="H638" i="120"/>
  <c r="H637" i="120" s="1"/>
  <c r="H636" i="120" s="1"/>
  <c r="H673" i="119"/>
  <c r="I235" i="120"/>
  <c r="I234" i="120" s="1"/>
  <c r="I749" i="120"/>
  <c r="I473" i="120"/>
  <c r="H92" i="119"/>
  <c r="H91" i="119" s="1"/>
  <c r="G338" i="120"/>
  <c r="G337" i="120" s="1"/>
  <c r="G712" i="120"/>
  <c r="G711" i="120" s="1"/>
  <c r="G638" i="120"/>
  <c r="G637" i="120" s="1"/>
  <c r="G636" i="120" s="1"/>
  <c r="F24" i="119"/>
  <c r="F23" i="119" s="1"/>
  <c r="I492" i="120"/>
  <c r="I491" i="120"/>
  <c r="F55" i="113"/>
  <c r="H20" i="117"/>
  <c r="F20" i="117" s="1"/>
  <c r="F646" i="119"/>
  <c r="G749" i="119"/>
  <c r="G748" i="119" s="1"/>
  <c r="F873" i="119"/>
  <c r="G448" i="119"/>
  <c r="I413" i="120"/>
  <c r="H511" i="120"/>
  <c r="H510" i="120" s="1"/>
  <c r="H503" i="120" s="1"/>
  <c r="G759" i="120"/>
  <c r="D182" i="113"/>
  <c r="H184" i="113" s="1"/>
  <c r="H343" i="119"/>
  <c r="H342" i="119" s="1"/>
  <c r="H341" i="119" s="1"/>
  <c r="F644" i="119"/>
  <c r="F702" i="119"/>
  <c r="I60" i="120"/>
  <c r="F267" i="119"/>
  <c r="F266" i="119" s="1"/>
  <c r="G897" i="120"/>
  <c r="F325" i="113"/>
  <c r="G175" i="120"/>
  <c r="H406" i="120"/>
  <c r="I420" i="120"/>
  <c r="I620" i="120"/>
  <c r="H897" i="120"/>
  <c r="H353" i="120"/>
  <c r="H352" i="120" s="1"/>
  <c r="H235" i="120"/>
  <c r="H234" i="120" s="1"/>
  <c r="G473" i="120"/>
  <c r="G456" i="120" s="1"/>
  <c r="G455" i="120" s="1"/>
  <c r="H606" i="120"/>
  <c r="H712" i="120"/>
  <c r="H711" i="120" s="1"/>
  <c r="I773" i="120"/>
  <c r="G235" i="120"/>
  <c r="G234" i="120" s="1"/>
  <c r="I394" i="120"/>
  <c r="D226" i="113"/>
  <c r="H64" i="113"/>
  <c r="G166" i="113"/>
  <c r="E196" i="113"/>
  <c r="F92" i="119"/>
  <c r="F91" i="119" s="1"/>
  <c r="I910" i="120"/>
  <c r="I909" i="120" s="1"/>
  <c r="H249" i="120"/>
  <c r="H248" i="120" s="1"/>
  <c r="F369" i="119"/>
  <c r="F368" i="119" s="1"/>
  <c r="F367" i="119" s="1"/>
  <c r="F360" i="119" s="1"/>
  <c r="F359" i="119" s="1"/>
  <c r="D229" i="113"/>
  <c r="G620" i="120"/>
  <c r="H620" i="120"/>
  <c r="F121" i="113"/>
  <c r="D121" i="113"/>
  <c r="H172" i="119"/>
  <c r="H171" i="119" s="1"/>
  <c r="H170" i="119" s="1"/>
  <c r="H334" i="119"/>
  <c r="F454" i="119"/>
  <c r="F453" i="119" s="1"/>
  <c r="F452" i="119" s="1"/>
  <c r="F448" i="119" s="1"/>
  <c r="F399" i="119"/>
  <c r="F398" i="119" s="1"/>
  <c r="F397" i="119" s="1"/>
  <c r="F396" i="119" s="1"/>
  <c r="F395" i="119" s="1"/>
  <c r="F125" i="119"/>
  <c r="I128" i="119" s="1"/>
  <c r="H156" i="119"/>
  <c r="H155" i="119" s="1"/>
  <c r="F952" i="119"/>
  <c r="I957" i="120"/>
  <c r="I953" i="120" s="1"/>
  <c r="I952" i="120" s="1"/>
  <c r="I951" i="120" s="1"/>
  <c r="G91" i="120"/>
  <c r="I752" i="120"/>
  <c r="F47" i="119"/>
  <c r="F46" i="119" s="1"/>
  <c r="F45" i="119" s="1"/>
  <c r="G803" i="120"/>
  <c r="G802" i="120" s="1"/>
  <c r="G801" i="120" s="1"/>
  <c r="G54" i="113"/>
  <c r="G438" i="120"/>
  <c r="G437" i="120" s="1"/>
  <c r="G436" i="120" s="1"/>
  <c r="G435" i="120" s="1"/>
  <c r="G193" i="113"/>
  <c r="G307" i="120"/>
  <c r="G306" i="120" s="1"/>
  <c r="G305" i="120" s="1"/>
  <c r="G304" i="120" s="1"/>
  <c r="G326" i="120"/>
  <c r="G325" i="120" s="1"/>
  <c r="H326" i="120"/>
  <c r="H325" i="120" s="1"/>
  <c r="H338" i="120"/>
  <c r="H337" i="120" s="1"/>
  <c r="I539" i="120"/>
  <c r="H599" i="120"/>
  <c r="I613" i="120"/>
  <c r="G752" i="120"/>
  <c r="G394" i="120"/>
  <c r="H439" i="120"/>
  <c r="H801" i="119"/>
  <c r="H798" i="119" s="1"/>
  <c r="F172" i="119"/>
  <c r="F171" i="119" s="1"/>
  <c r="F170" i="119" s="1"/>
  <c r="G172" i="119"/>
  <c r="G171" i="119" s="1"/>
  <c r="G170" i="119" s="1"/>
  <c r="I803" i="120"/>
  <c r="I802" i="120" s="1"/>
  <c r="I801" i="120" s="1"/>
  <c r="I54" i="113"/>
  <c r="G369" i="119"/>
  <c r="G368" i="119" s="1"/>
  <c r="G367" i="119" s="1"/>
  <c r="G360" i="119" s="1"/>
  <c r="G359" i="119" s="1"/>
  <c r="I193" i="113"/>
  <c r="J184" i="113"/>
  <c r="H399" i="119"/>
  <c r="H398" i="119" s="1"/>
  <c r="H397" i="119" s="1"/>
  <c r="H396" i="119" s="1"/>
  <c r="H395" i="119" s="1"/>
  <c r="G295" i="120"/>
  <c r="G294" i="120" s="1"/>
  <c r="G293" i="120" s="1"/>
  <c r="F355" i="119"/>
  <c r="F354" i="119" s="1"/>
  <c r="F353" i="119" s="1"/>
  <c r="H688" i="119"/>
  <c r="F695" i="119"/>
  <c r="H702" i="119"/>
  <c r="I23" i="120"/>
  <c r="I22" i="120" s="1"/>
  <c r="I21" i="120" s="1"/>
  <c r="I20" i="120" s="1"/>
  <c r="G23" i="120"/>
  <c r="G22" i="120" s="1"/>
  <c r="G21" i="120" s="1"/>
  <c r="G20" i="120" s="1"/>
  <c r="I132" i="120"/>
  <c r="I131" i="120" s="1"/>
  <c r="I127" i="120" s="1"/>
  <c r="H175" i="120"/>
  <c r="G381" i="120"/>
  <c r="G413" i="120"/>
  <c r="H590" i="120"/>
  <c r="G858" i="120"/>
  <c r="G857" i="120" s="1"/>
  <c r="I858" i="120"/>
  <c r="I857" i="120" s="1"/>
  <c r="I848" i="120" s="1"/>
  <c r="G902" i="120"/>
  <c r="H803" i="120"/>
  <c r="H802" i="120" s="1"/>
  <c r="H801" i="120" s="1"/>
  <c r="H54" i="113"/>
  <c r="F145" i="113"/>
  <c r="H438" i="120"/>
  <c r="H437" i="120" s="1"/>
  <c r="H436" i="120" s="1"/>
  <c r="H435" i="120" s="1"/>
  <c r="H193" i="113"/>
  <c r="I580" i="120"/>
  <c r="I579" i="120" s="1"/>
  <c r="I590" i="120"/>
  <c r="H724" i="120"/>
  <c r="G290" i="119"/>
  <c r="G289" i="119" s="1"/>
  <c r="G288" i="119" s="1"/>
  <c r="H290" i="119"/>
  <c r="H289" i="119" s="1"/>
  <c r="H288" i="119" s="1"/>
  <c r="G688" i="119"/>
  <c r="G773" i="119"/>
  <c r="G772" i="119" s="1"/>
  <c r="G907" i="119"/>
  <c r="F853" i="119"/>
  <c r="L54" i="120"/>
  <c r="H591" i="119"/>
  <c r="H851" i="120"/>
  <c r="H850" i="120" s="1"/>
  <c r="H849" i="120" s="1"/>
  <c r="G851" i="120"/>
  <c r="G850" i="120" s="1"/>
  <c r="G849" i="120" s="1"/>
  <c r="H297" i="120"/>
  <c r="H296" i="120" s="1"/>
  <c r="G230" i="119"/>
  <c r="G229" i="119" s="1"/>
  <c r="G228" i="119" s="1"/>
  <c r="H984" i="120"/>
  <c r="H28" i="119"/>
  <c r="G51" i="119"/>
  <c r="F672" i="119"/>
  <c r="F671" i="119" s="1"/>
  <c r="F670" i="119" s="1"/>
  <c r="G254" i="119"/>
  <c r="G253" i="119" s="1"/>
  <c r="G246" i="119" s="1"/>
  <c r="G245" i="119" s="1"/>
  <c r="H202" i="120"/>
  <c r="H201" i="120" s="1"/>
  <c r="H197" i="120" s="1"/>
  <c r="H196" i="120" s="1"/>
  <c r="H191" i="120" s="1"/>
  <c r="H904" i="120"/>
  <c r="G228" i="113"/>
  <c r="J280" i="120" s="1"/>
  <c r="I812" i="119"/>
  <c r="H672" i="119"/>
  <c r="H671" i="119" s="1"/>
  <c r="H670" i="119" s="1"/>
  <c r="I438" i="120"/>
  <c r="I437" i="120" s="1"/>
  <c r="I436" i="120" s="1"/>
  <c r="I435" i="120" s="1"/>
  <c r="F52" i="119"/>
  <c r="F51" i="119" s="1"/>
  <c r="H54" i="119"/>
  <c r="H97" i="119"/>
  <c r="H96" i="119" s="1"/>
  <c r="H106" i="119"/>
  <c r="K107" i="119" s="1"/>
  <c r="G151" i="119"/>
  <c r="G150" i="119" s="1"/>
  <c r="G149" i="119" s="1"/>
  <c r="F231" i="119"/>
  <c r="H448" i="119"/>
  <c r="F621" i="119"/>
  <c r="H786" i="119"/>
  <c r="H785" i="119" s="1"/>
  <c r="K787" i="119" s="1"/>
  <c r="F801" i="119"/>
  <c r="F798" i="119" s="1"/>
  <c r="K520" i="120"/>
  <c r="G672" i="119"/>
  <c r="G671" i="119" s="1"/>
  <c r="G670" i="119" s="1"/>
  <c r="H747" i="119"/>
  <c r="H746" i="119" s="1"/>
  <c r="H745" i="119" s="1"/>
  <c r="G164" i="120"/>
  <c r="E55" i="113"/>
  <c r="F67" i="119"/>
  <c r="G983" i="120"/>
  <c r="G982" i="120" s="1"/>
  <c r="G981" i="120" s="1"/>
  <c r="G974" i="120" s="1"/>
  <c r="G973" i="120" s="1"/>
  <c r="G972" i="120" s="1"/>
  <c r="G971" i="120" s="1"/>
  <c r="H914" i="119"/>
  <c r="E226" i="113"/>
  <c r="F38" i="119"/>
  <c r="F37" i="119" s="1"/>
  <c r="F151" i="119"/>
  <c r="F150" i="119" s="1"/>
  <c r="F149" i="119" s="1"/>
  <c r="G156" i="119"/>
  <c r="G155" i="119" s="1"/>
  <c r="H217" i="119"/>
  <c r="F524" i="119"/>
  <c r="F240" i="113"/>
  <c r="I31" i="117"/>
  <c r="G184" i="120"/>
  <c r="D196" i="113"/>
  <c r="F89" i="113"/>
  <c r="F347" i="119"/>
  <c r="F346" i="119" s="1"/>
  <c r="F345" i="119" s="1"/>
  <c r="H369" i="119"/>
  <c r="H368" i="119" s="1"/>
  <c r="H367" i="119" s="1"/>
  <c r="H360" i="119" s="1"/>
  <c r="H359" i="119" s="1"/>
  <c r="F334" i="119"/>
  <c r="F333" i="119" s="1"/>
  <c r="F332" i="119" s="1"/>
  <c r="F331" i="119" s="1"/>
  <c r="G334" i="119"/>
  <c r="G333" i="119" s="1"/>
  <c r="G332" i="119" s="1"/>
  <c r="G331" i="119" s="1"/>
  <c r="H246" i="120"/>
  <c r="H245" i="120" s="1"/>
  <c r="G300" i="119"/>
  <c r="G299" i="119" s="1"/>
  <c r="G298" i="119" s="1"/>
  <c r="H52" i="119"/>
  <c r="G59" i="119"/>
  <c r="G58" i="119" s="1"/>
  <c r="G126" i="119"/>
  <c r="G125" i="119" s="1"/>
  <c r="H181" i="119"/>
  <c r="H180" i="119" s="1"/>
  <c r="H176" i="119" s="1"/>
  <c r="F217" i="119"/>
  <c r="G362" i="119"/>
  <c r="G361" i="119" s="1"/>
  <c r="H362" i="119"/>
  <c r="H361" i="119" s="1"/>
  <c r="H524" i="119"/>
  <c r="F591" i="119"/>
  <c r="F635" i="119"/>
  <c r="F634" i="119" s="1"/>
  <c r="H663" i="119"/>
  <c r="F773" i="119"/>
  <c r="F772" i="119" s="1"/>
  <c r="H811" i="119"/>
  <c r="K812" i="119" s="1"/>
  <c r="H873" i="119"/>
  <c r="F907" i="119"/>
  <c r="I390" i="120"/>
  <c r="I389" i="120" s="1"/>
  <c r="I386" i="120" s="1"/>
  <c r="I380" i="120" s="1"/>
  <c r="I379" i="120" s="1"/>
  <c r="I367" i="120" s="1"/>
  <c r="H646" i="119"/>
  <c r="H643" i="119" s="1"/>
  <c r="K644" i="119" s="1"/>
  <c r="H91" i="120"/>
  <c r="G773" i="120"/>
  <c r="F416" i="119"/>
  <c r="F415" i="119" s="1"/>
  <c r="G743" i="120"/>
  <c r="G742" i="120" s="1"/>
  <c r="H386" i="120"/>
  <c r="H380" i="120" s="1"/>
  <c r="H379" i="120" s="1"/>
  <c r="H367" i="120" s="1"/>
  <c r="H60" i="120"/>
  <c r="G382" i="119"/>
  <c r="G381" i="119" s="1"/>
  <c r="G599" i="119"/>
  <c r="H656" i="119"/>
  <c r="H858" i="120"/>
  <c r="H857" i="120" s="1"/>
  <c r="I249" i="120"/>
  <c r="I248" i="120" s="1"/>
  <c r="I244" i="120" s="1"/>
  <c r="I243" i="120" s="1"/>
  <c r="H305" i="119"/>
  <c r="H304" i="119" s="1"/>
  <c r="H303" i="119" s="1"/>
  <c r="G749" i="120"/>
  <c r="G750" i="120"/>
  <c r="G676" i="119"/>
  <c r="G695" i="119"/>
  <c r="H65" i="120"/>
  <c r="F348" i="119"/>
  <c r="G673" i="119"/>
  <c r="I228" i="120"/>
  <c r="I227" i="120" s="1"/>
  <c r="I226" i="120" s="1"/>
  <c r="G910" i="120"/>
  <c r="G909" i="120" s="1"/>
  <c r="G918" i="120"/>
  <c r="I91" i="120"/>
  <c r="I297" i="120"/>
  <c r="I296" i="120" s="1"/>
  <c r="H254" i="119"/>
  <c r="H253" i="119" s="1"/>
  <c r="H246" i="119" s="1"/>
  <c r="H245" i="119" s="1"/>
  <c r="H244" i="119" s="1"/>
  <c r="G23" i="119"/>
  <c r="G511" i="120"/>
  <c r="G510" i="120" s="1"/>
  <c r="G503" i="120" s="1"/>
  <c r="H910" i="120"/>
  <c r="H909" i="120" s="1"/>
  <c r="I511" i="120"/>
  <c r="I510" i="120" s="1"/>
  <c r="I503" i="120" s="1"/>
  <c r="H278" i="120"/>
  <c r="H277" i="120" s="1"/>
  <c r="H276" i="120" s="1"/>
  <c r="H262" i="120" s="1"/>
  <c r="I338" i="120"/>
  <c r="I337" i="120" s="1"/>
  <c r="I439" i="120"/>
  <c r="H473" i="120"/>
  <c r="J537" i="120"/>
  <c r="G606" i="120"/>
  <c r="I606" i="120"/>
  <c r="G700" i="120"/>
  <c r="I712" i="120"/>
  <c r="I711" i="120" s="1"/>
  <c r="H773" i="120"/>
  <c r="H918" i="120"/>
  <c r="H752" i="120"/>
  <c r="G55" i="120"/>
  <c r="I527" i="120"/>
  <c r="I526" i="120" s="1"/>
  <c r="I525" i="120" s="1"/>
  <c r="H804" i="119"/>
  <c r="H803" i="119" s="1"/>
  <c r="H880" i="120"/>
  <c r="H879" i="120" s="1"/>
  <c r="H878" i="120" s="1"/>
  <c r="H870" i="120" s="1"/>
  <c r="G526" i="120"/>
  <c r="G525" i="120" s="1"/>
  <c r="F804" i="119"/>
  <c r="F803" i="119" s="1"/>
  <c r="H527" i="120"/>
  <c r="H526" i="120" s="1"/>
  <c r="H525" i="120" s="1"/>
  <c r="G804" i="119"/>
  <c r="G803" i="119" s="1"/>
  <c r="H382" i="119"/>
  <c r="H381" i="119" s="1"/>
  <c r="G210" i="120"/>
  <c r="D89" i="113"/>
  <c r="H80" i="120"/>
  <c r="H79" i="120" s="1"/>
  <c r="H78" i="120" s="1"/>
  <c r="I902" i="120"/>
  <c r="H240" i="119"/>
  <c r="H239" i="119" s="1"/>
  <c r="H238" i="119" s="1"/>
  <c r="H237" i="119" s="1"/>
  <c r="F251" i="119"/>
  <c r="F250" i="119" s="1"/>
  <c r="H354" i="119"/>
  <c r="H353" i="119" s="1"/>
  <c r="F357" i="119"/>
  <c r="F356" i="119" s="1"/>
  <c r="K949" i="120"/>
  <c r="G203" i="113"/>
  <c r="F229" i="113"/>
  <c r="F472" i="119"/>
  <c r="F471" i="119" s="1"/>
  <c r="H473" i="119"/>
  <c r="H472" i="119" s="1"/>
  <c r="H471" i="119" s="1"/>
  <c r="G473" i="119"/>
  <c r="G472" i="119" s="1"/>
  <c r="G471" i="119" s="1"/>
  <c r="H47" i="119"/>
  <c r="H46" i="119" s="1"/>
  <c r="H45" i="119" s="1"/>
  <c r="G47" i="119"/>
  <c r="G46" i="119" s="1"/>
  <c r="G45" i="119" s="1"/>
  <c r="E229" i="113"/>
  <c r="F656" i="119"/>
  <c r="G202" i="120"/>
  <c r="G201" i="120" s="1"/>
  <c r="G197" i="120" s="1"/>
  <c r="G196" i="120" s="1"/>
  <c r="G249" i="120"/>
  <c r="G248" i="120" s="1"/>
  <c r="G244" i="120" s="1"/>
  <c r="G243" i="120" s="1"/>
  <c r="F240" i="119"/>
  <c r="F239" i="119" s="1"/>
  <c r="F238" i="119" s="1"/>
  <c r="F237" i="119" s="1"/>
  <c r="G240" i="119"/>
  <c r="G239" i="119" s="1"/>
  <c r="G238" i="119" s="1"/>
  <c r="G237" i="119" s="1"/>
  <c r="H300" i="119"/>
  <c r="G354" i="119"/>
  <c r="G353" i="119" s="1"/>
  <c r="I467" i="119"/>
  <c r="H886" i="119"/>
  <c r="G853" i="119"/>
  <c r="H518" i="119"/>
  <c r="H517" i="119" s="1"/>
  <c r="G266" i="119"/>
  <c r="F318" i="119"/>
  <c r="I534" i="120"/>
  <c r="H266" i="119"/>
  <c r="H230" i="119"/>
  <c r="H229" i="119" s="1"/>
  <c r="H228" i="119" s="1"/>
  <c r="G934" i="119"/>
  <c r="I45" i="120"/>
  <c r="F518" i="119"/>
  <c r="F517" i="119" s="1"/>
  <c r="G518" i="119"/>
  <c r="G517" i="119" s="1"/>
  <c r="G616" i="119"/>
  <c r="G615" i="119" s="1"/>
  <c r="G656" i="119"/>
  <c r="F283" i="119"/>
  <c r="F282" i="119" s="1"/>
  <c r="F281" i="119" s="1"/>
  <c r="H607" i="119"/>
  <c r="G724" i="119"/>
  <c r="G713" i="119" s="1"/>
  <c r="G712" i="119" s="1"/>
  <c r="J54" i="120"/>
  <c r="G318" i="119"/>
  <c r="F724" i="119"/>
  <c r="F713" i="119" s="1"/>
  <c r="F712" i="119" s="1"/>
  <c r="H934" i="119"/>
  <c r="I654" i="120"/>
  <c r="I653" i="120" s="1"/>
  <c r="I652" i="120" s="1"/>
  <c r="I80" i="120"/>
  <c r="I79" i="120" s="1"/>
  <c r="I78" i="120" s="1"/>
  <c r="I943" i="120"/>
  <c r="I942" i="120" s="1"/>
  <c r="I938" i="120" s="1"/>
  <c r="I937" i="120" s="1"/>
  <c r="G663" i="119"/>
  <c r="G38" i="119"/>
  <c r="G37" i="119" s="1"/>
  <c r="G36" i="119" s="1"/>
  <c r="G35" i="119" s="1"/>
  <c r="H38" i="119"/>
  <c r="H37" i="119" s="1"/>
  <c r="H36" i="119" s="1"/>
  <c r="H35" i="119" s="1"/>
  <c r="F58" i="119"/>
  <c r="F101" i="119"/>
  <c r="H101" i="119"/>
  <c r="F138" i="119"/>
  <c r="H138" i="119"/>
  <c r="F290" i="119"/>
  <c r="F289" i="119" s="1"/>
  <c r="F288" i="119" s="1"/>
  <c r="G524" i="119"/>
  <c r="F676" i="119"/>
  <c r="H695" i="119"/>
  <c r="F97" i="119"/>
  <c r="F96" i="119" s="1"/>
  <c r="G621" i="119"/>
  <c r="H922" i="119"/>
  <c r="H921" i="119" s="1"/>
  <c r="F893" i="119"/>
  <c r="H907" i="119"/>
  <c r="G922" i="119"/>
  <c r="G921" i="119" s="1"/>
  <c r="H943" i="120"/>
  <c r="H942" i="120" s="1"/>
  <c r="H938" i="120" s="1"/>
  <c r="H937" i="120" s="1"/>
  <c r="H932" i="120" s="1"/>
  <c r="G591" i="119"/>
  <c r="H58" i="119"/>
  <c r="G826" i="119"/>
  <c r="F826" i="119"/>
  <c r="G28" i="119"/>
  <c r="F28" i="119"/>
  <c r="I29" i="119" s="1"/>
  <c r="F156" i="119"/>
  <c r="F155" i="119" s="1"/>
  <c r="F181" i="119"/>
  <c r="F180" i="119" s="1"/>
  <c r="F176" i="119" s="1"/>
  <c r="G217" i="119"/>
  <c r="H348" i="119"/>
  <c r="F599" i="119"/>
  <c r="H635" i="119"/>
  <c r="H634" i="119" s="1"/>
  <c r="F663" i="119"/>
  <c r="G811" i="119"/>
  <c r="J812" i="119" s="1"/>
  <c r="F886" i="119"/>
  <c r="G886" i="119"/>
  <c r="G893" i="119"/>
  <c r="G914" i="119"/>
  <c r="G348" i="119"/>
  <c r="I103" i="120"/>
  <c r="I102" i="120" s="1"/>
  <c r="I101" i="120" s="1"/>
  <c r="G536" i="120"/>
  <c r="G533" i="120" s="1"/>
  <c r="H536" i="120"/>
  <c r="H533" i="120" s="1"/>
  <c r="G283" i="119"/>
  <c r="G282" i="119" s="1"/>
  <c r="G281" i="119" s="1"/>
  <c r="F382" i="119"/>
  <c r="F381" i="119" s="1"/>
  <c r="F607" i="119"/>
  <c r="F616" i="119"/>
  <c r="F615" i="119" s="1"/>
  <c r="I536" i="120"/>
  <c r="H616" i="119"/>
  <c r="H615" i="119" s="1"/>
  <c r="G45" i="120"/>
  <c r="I65" i="120"/>
  <c r="G80" i="120"/>
  <c r="G79" i="120" s="1"/>
  <c r="G78" i="120" s="1"/>
  <c r="G386" i="120"/>
  <c r="G641" i="120"/>
  <c r="H641" i="120"/>
  <c r="I641" i="120"/>
  <c r="G654" i="120"/>
  <c r="G653" i="120" s="1"/>
  <c r="G652" i="120" s="1"/>
  <c r="H654" i="120"/>
  <c r="H653" i="120" s="1"/>
  <c r="H652" i="120" s="1"/>
  <c r="I974" i="120"/>
  <c r="I973" i="120" s="1"/>
  <c r="I972" i="120" s="1"/>
  <c r="I971" i="120" s="1"/>
  <c r="H974" i="120"/>
  <c r="H973" i="120" s="1"/>
  <c r="H972" i="120" s="1"/>
  <c r="H971" i="120" s="1"/>
  <c r="G103" i="120"/>
  <c r="G102" i="120" s="1"/>
  <c r="G101" i="120" s="1"/>
  <c r="H113" i="119"/>
  <c r="H112" i="119"/>
  <c r="G112" i="119"/>
  <c r="F112" i="119"/>
  <c r="H724" i="119"/>
  <c r="H713" i="119" s="1"/>
  <c r="F914" i="119"/>
  <c r="F922" i="119"/>
  <c r="F921" i="119" s="1"/>
  <c r="H466" i="119"/>
  <c r="H465" i="119" s="1"/>
  <c r="H283" i="119"/>
  <c r="H282" i="119" s="1"/>
  <c r="H281" i="119" s="1"/>
  <c r="H318" i="119"/>
  <c r="G635" i="119"/>
  <c r="G634" i="119" s="1"/>
  <c r="H893" i="119"/>
  <c r="H773" i="119"/>
  <c r="H772" i="119" s="1"/>
  <c r="F228" i="119"/>
  <c r="G138" i="119"/>
  <c r="H599" i="119"/>
  <c r="I880" i="120"/>
  <c r="I879" i="120" s="1"/>
  <c r="I878" i="120" s="1"/>
  <c r="I870" i="120" s="1"/>
  <c r="H588" i="119"/>
  <c r="H585" i="119" s="1"/>
  <c r="H584" i="119" s="1"/>
  <c r="H703" i="120"/>
  <c r="H702" i="120" s="1"/>
  <c r="G954" i="119"/>
  <c r="G953" i="119" s="1"/>
  <c r="G952" i="119" s="1"/>
  <c r="G547" i="120"/>
  <c r="G546" i="120" s="1"/>
  <c r="G545" i="120" s="1"/>
  <c r="G544" i="120" s="1"/>
  <c r="F825" i="119"/>
  <c r="F824" i="119" s="1"/>
  <c r="F823" i="119" s="1"/>
  <c r="F822" i="119" s="1"/>
  <c r="I429" i="120"/>
  <c r="I428" i="120" s="1"/>
  <c r="I427" i="120" s="1"/>
  <c r="H685" i="119"/>
  <c r="H684" i="119" s="1"/>
  <c r="H683" i="119" s="1"/>
  <c r="G685" i="119"/>
  <c r="G684" i="119" s="1"/>
  <c r="G683" i="119" s="1"/>
  <c r="H429" i="120"/>
  <c r="H428" i="120" s="1"/>
  <c r="H427" i="120" s="1"/>
  <c r="H723" i="120"/>
  <c r="H722" i="120" s="1"/>
  <c r="H721" i="120" s="1"/>
  <c r="G399" i="119"/>
  <c r="G398" i="119" s="1"/>
  <c r="G397" i="119" s="1"/>
  <c r="G396" i="119" s="1"/>
  <c r="G395" i="119" s="1"/>
  <c r="I936" i="120"/>
  <c r="I935" i="120" s="1"/>
  <c r="I934" i="120" s="1"/>
  <c r="I933" i="120" s="1"/>
  <c r="H768" i="119"/>
  <c r="H767" i="119" s="1"/>
  <c r="H766" i="119" s="1"/>
  <c r="J51" i="120"/>
  <c r="G51" i="120"/>
  <c r="G50" i="120" s="1"/>
  <c r="G36" i="120"/>
  <c r="G35" i="120" s="1"/>
  <c r="G34" i="120" s="1"/>
  <c r="I703" i="120"/>
  <c r="I702" i="120" s="1"/>
  <c r="H954" i="119"/>
  <c r="H953" i="119" s="1"/>
  <c r="H952" i="119" s="1"/>
  <c r="G688" i="120"/>
  <c r="G687" i="120" s="1"/>
  <c r="G686" i="120" s="1"/>
  <c r="G685" i="120" s="1"/>
  <c r="F939" i="119"/>
  <c r="F938" i="119" s="1"/>
  <c r="F937" i="119" s="1"/>
  <c r="F936" i="119" s="1"/>
  <c r="F935" i="119" s="1"/>
  <c r="F934" i="119" s="1"/>
  <c r="H825" i="119"/>
  <c r="H824" i="119" s="1"/>
  <c r="H823" i="119" s="1"/>
  <c r="H822" i="119" s="1"/>
  <c r="I547" i="120"/>
  <c r="I546" i="120" s="1"/>
  <c r="I545" i="120" s="1"/>
  <c r="I544" i="120" s="1"/>
  <c r="H547" i="120"/>
  <c r="H546" i="120" s="1"/>
  <c r="H545" i="120" s="1"/>
  <c r="H544" i="120" s="1"/>
  <c r="G825" i="119"/>
  <c r="G824" i="119" s="1"/>
  <c r="G823" i="119" s="1"/>
  <c r="G822" i="119" s="1"/>
  <c r="G429" i="120"/>
  <c r="G428" i="120" s="1"/>
  <c r="G427" i="120" s="1"/>
  <c r="F685" i="119"/>
  <c r="F684" i="119" s="1"/>
  <c r="F683" i="119" s="1"/>
  <c r="G440" i="120"/>
  <c r="G439" i="120" s="1"/>
  <c r="F674" i="119"/>
  <c r="F673" i="119" s="1"/>
  <c r="H56" i="120"/>
  <c r="H55" i="120" s="1"/>
  <c r="K54" i="120"/>
  <c r="I51" i="120"/>
  <c r="I50" i="120" s="1"/>
  <c r="L51" i="120"/>
  <c r="G588" i="119"/>
  <c r="G585" i="119" s="1"/>
  <c r="G584" i="119" s="1"/>
  <c r="H335" i="119"/>
  <c r="F466" i="119"/>
  <c r="F465" i="119" s="1"/>
  <c r="G466" i="119"/>
  <c r="G465" i="119" s="1"/>
  <c r="F469" i="119"/>
  <c r="F468" i="119" s="1"/>
  <c r="H469" i="119"/>
  <c r="H468" i="119" s="1"/>
  <c r="G469" i="119"/>
  <c r="G468" i="119" s="1"/>
  <c r="F476" i="119"/>
  <c r="F475" i="119" s="1"/>
  <c r="F474" i="119" s="1"/>
  <c r="H476" i="119"/>
  <c r="H475" i="119" s="1"/>
  <c r="H474" i="119" s="1"/>
  <c r="G476" i="119"/>
  <c r="G475" i="119" s="1"/>
  <c r="G474" i="119" s="1"/>
  <c r="F479" i="119"/>
  <c r="F478" i="119" s="1"/>
  <c r="F477" i="119" s="1"/>
  <c r="H478" i="119"/>
  <c r="H477" i="119" s="1"/>
  <c r="G478" i="119"/>
  <c r="G477" i="119" s="1"/>
  <c r="D240" i="113"/>
  <c r="E154" i="113"/>
  <c r="G198" i="113"/>
  <c r="F196" i="113"/>
  <c r="K828" i="120"/>
  <c r="F768" i="119"/>
  <c r="F767" i="119" s="1"/>
  <c r="F766" i="119" s="1"/>
  <c r="G768" i="119"/>
  <c r="G767" i="119" s="1"/>
  <c r="G766" i="119" s="1"/>
  <c r="H51" i="119" l="1"/>
  <c r="I25" i="113"/>
  <c r="G380" i="120"/>
  <c r="G379" i="120" s="1"/>
  <c r="G367" i="120" s="1"/>
  <c r="F411" i="119"/>
  <c r="F410" i="119" s="1"/>
  <c r="G608" i="119"/>
  <c r="G607" i="119" s="1"/>
  <c r="F12" i="113"/>
  <c r="F253" i="113" s="1"/>
  <c r="D12" i="113"/>
  <c r="H903" i="120"/>
  <c r="H902" i="120" s="1"/>
  <c r="E12" i="113"/>
  <c r="H464" i="119"/>
  <c r="G464" i="119"/>
  <c r="G410" i="119"/>
  <c r="F464" i="119"/>
  <c r="F463" i="119" s="1"/>
  <c r="F462" i="119" s="1"/>
  <c r="H410" i="119"/>
  <c r="I710" i="120"/>
  <c r="M710" i="120" s="1"/>
  <c r="K132" i="120"/>
  <c r="H848" i="120"/>
  <c r="I456" i="120"/>
  <c r="I455" i="120" s="1"/>
  <c r="H456" i="120"/>
  <c r="H455" i="120" s="1"/>
  <c r="F148" i="119"/>
  <c r="G816" i="120"/>
  <c r="G815" i="120" s="1"/>
  <c r="H289" i="120"/>
  <c r="H261" i="120" s="1"/>
  <c r="H738" i="120"/>
  <c r="F933" i="119"/>
  <c r="H633" i="119"/>
  <c r="K633" i="119" s="1"/>
  <c r="G738" i="120"/>
  <c r="I738" i="120"/>
  <c r="G765" i="119"/>
  <c r="H635" i="120"/>
  <c r="H634" i="120" s="1"/>
  <c r="H633" i="120" s="1"/>
  <c r="H632" i="120" s="1"/>
  <c r="K633" i="120" s="1"/>
  <c r="H852" i="119"/>
  <c r="H851" i="119" s="1"/>
  <c r="H850" i="119" s="1"/>
  <c r="H209" i="120"/>
  <c r="G683" i="120"/>
  <c r="G651" i="120" s="1"/>
  <c r="I289" i="120"/>
  <c r="I261" i="120" s="1"/>
  <c r="G710" i="120"/>
  <c r="J712" i="120" s="1"/>
  <c r="I336" i="120"/>
  <c r="I324" i="120" s="1"/>
  <c r="H710" i="120"/>
  <c r="G848" i="120"/>
  <c r="H50" i="119"/>
  <c r="H49" i="119" s="1"/>
  <c r="H48" i="119" s="1"/>
  <c r="F797" i="119"/>
  <c r="E145" i="113"/>
  <c r="H781" i="119"/>
  <c r="F781" i="119"/>
  <c r="G209" i="120"/>
  <c r="G336" i="120"/>
  <c r="G781" i="119"/>
  <c r="I575" i="120"/>
  <c r="I574" i="120" s="1"/>
  <c r="I573" i="120" s="1"/>
  <c r="I533" i="120"/>
  <c r="I635" i="120"/>
  <c r="I634" i="120" s="1"/>
  <c r="I633" i="120" s="1"/>
  <c r="I632" i="120" s="1"/>
  <c r="L633" i="120" s="1"/>
  <c r="F643" i="119"/>
  <c r="I644" i="119" s="1"/>
  <c r="I589" i="119"/>
  <c r="G881" i="120"/>
  <c r="G880" i="120" s="1"/>
  <c r="G879" i="120" s="1"/>
  <c r="G878" i="120" s="1"/>
  <c r="G870" i="120" s="1"/>
  <c r="G233" i="120"/>
  <c r="I233" i="120"/>
  <c r="F265" i="119"/>
  <c r="G124" i="119"/>
  <c r="G123" i="119" s="1"/>
  <c r="H765" i="119"/>
  <c r="G50" i="119"/>
  <c r="G49" i="119" s="1"/>
  <c r="G48" i="119" s="1"/>
  <c r="G244" i="119"/>
  <c r="F588" i="119"/>
  <c r="F585" i="119" s="1"/>
  <c r="F584" i="119" s="1"/>
  <c r="I523" i="120"/>
  <c r="I520" i="120" s="1"/>
  <c r="M521" i="120" s="1"/>
  <c r="D145" i="113"/>
  <c r="G93" i="113" s="1"/>
  <c r="H93" i="113" s="1"/>
  <c r="F246" i="119"/>
  <c r="F245" i="119" s="1"/>
  <c r="F244" i="119" s="1"/>
  <c r="F326" i="113"/>
  <c r="H959" i="119"/>
  <c r="I984" i="120"/>
  <c r="F344" i="119"/>
  <c r="F317" i="119"/>
  <c r="I888" i="120"/>
  <c r="I887" i="120" s="1"/>
  <c r="I869" i="120" s="1"/>
  <c r="G575" i="120"/>
  <c r="G574" i="120" s="1"/>
  <c r="G573" i="120" s="1"/>
  <c r="H888" i="120"/>
  <c r="H887" i="120" s="1"/>
  <c r="I817" i="120"/>
  <c r="I816" i="120"/>
  <c r="I815" i="120" s="1"/>
  <c r="H336" i="120"/>
  <c r="H324" i="120" s="1"/>
  <c r="H575" i="120"/>
  <c r="H574" i="120" s="1"/>
  <c r="H573" i="120" s="1"/>
  <c r="G289" i="120"/>
  <c r="G261" i="120" s="1"/>
  <c r="H244" i="120"/>
  <c r="H243" i="120" s="1"/>
  <c r="H233" i="120" s="1"/>
  <c r="H393" i="120"/>
  <c r="H392" i="120" s="1"/>
  <c r="G635" i="120"/>
  <c r="G634" i="120" s="1"/>
  <c r="G633" i="120" s="1"/>
  <c r="G191" i="120"/>
  <c r="F765" i="119"/>
  <c r="H590" i="119"/>
  <c r="H576" i="119" s="1"/>
  <c r="H575" i="119" s="1"/>
  <c r="G633" i="119"/>
  <c r="J633" i="119" s="1"/>
  <c r="H148" i="119"/>
  <c r="H85" i="119" s="1"/>
  <c r="H22" i="119"/>
  <c r="H21" i="119" s="1"/>
  <c r="H20" i="119" s="1"/>
  <c r="H516" i="119"/>
  <c r="H491" i="119" s="1"/>
  <c r="F36" i="119"/>
  <c r="F35" i="119" s="1"/>
  <c r="F22" i="119"/>
  <c r="F21" i="119" s="1"/>
  <c r="F20" i="119" s="1"/>
  <c r="H299" i="119"/>
  <c r="H298" i="119" s="1"/>
  <c r="F380" i="119"/>
  <c r="H380" i="119"/>
  <c r="F590" i="119"/>
  <c r="H933" i="119"/>
  <c r="H712" i="119"/>
  <c r="G22" i="119"/>
  <c r="G21" i="119" s="1"/>
  <c r="G20" i="119" s="1"/>
  <c r="G590" i="119"/>
  <c r="G576" i="119" s="1"/>
  <c r="G959" i="119"/>
  <c r="G265" i="119"/>
  <c r="G655" i="119"/>
  <c r="G654" i="119" s="1"/>
  <c r="G653" i="119" s="1"/>
  <c r="F124" i="119"/>
  <c r="F123" i="119" s="1"/>
  <c r="I305" i="119"/>
  <c r="F85" i="119"/>
  <c r="I393" i="120"/>
  <c r="I392" i="120" s="1"/>
  <c r="H655" i="119"/>
  <c r="H654" i="119" s="1"/>
  <c r="H124" i="119"/>
  <c r="H123" i="119" s="1"/>
  <c r="H31" i="117"/>
  <c r="H333" i="119"/>
  <c r="H332" i="119" s="1"/>
  <c r="H331" i="119" s="1"/>
  <c r="H317" i="119" s="1"/>
  <c r="G317" i="119"/>
  <c r="I209" i="120"/>
  <c r="I801" i="119"/>
  <c r="I149" i="119"/>
  <c r="H797" i="119"/>
  <c r="H780" i="119" s="1"/>
  <c r="F852" i="119"/>
  <c r="F851" i="119" s="1"/>
  <c r="F850" i="119" s="1"/>
  <c r="G148" i="119"/>
  <c r="J149" i="119" s="1"/>
  <c r="H344" i="119"/>
  <c r="G344" i="119"/>
  <c r="G523" i="120"/>
  <c r="G520" i="120" s="1"/>
  <c r="F516" i="119"/>
  <c r="F491" i="119" s="1"/>
  <c r="F65" i="119"/>
  <c r="F50" i="119" s="1"/>
  <c r="F49" i="119" s="1"/>
  <c r="F48" i="119" s="1"/>
  <c r="F66" i="119"/>
  <c r="G393" i="120"/>
  <c r="G392" i="120" s="1"/>
  <c r="G391" i="120" s="1"/>
  <c r="J392" i="120" s="1"/>
  <c r="F655" i="119"/>
  <c r="F654" i="119" s="1"/>
  <c r="F653" i="119" s="1"/>
  <c r="G380" i="119"/>
  <c r="K822" i="120"/>
  <c r="H523" i="120"/>
  <c r="H520" i="120" s="1"/>
  <c r="L521" i="120" s="1"/>
  <c r="G801" i="119"/>
  <c r="G798" i="119" s="1"/>
  <c r="G797" i="119" s="1"/>
  <c r="G932" i="120"/>
  <c r="J933" i="120" s="1"/>
  <c r="G933" i="119"/>
  <c r="G852" i="119"/>
  <c r="G851" i="119" s="1"/>
  <c r="G850" i="119" s="1"/>
  <c r="H265" i="119"/>
  <c r="G516" i="119"/>
  <c r="G491" i="119" s="1"/>
  <c r="I932" i="120"/>
  <c r="G890" i="120"/>
  <c r="G889" i="120" s="1"/>
  <c r="G888" i="120" s="1"/>
  <c r="G887" i="120" s="1"/>
  <c r="J56" i="120"/>
  <c r="G44" i="120"/>
  <c r="G43" i="120" s="1"/>
  <c r="G13" i="120" s="1"/>
  <c r="L56" i="120"/>
  <c r="I44" i="120"/>
  <c r="I43" i="120" s="1"/>
  <c r="I13" i="120" s="1"/>
  <c r="H44" i="120"/>
  <c r="H43" i="120" s="1"/>
  <c r="H13" i="120" s="1"/>
  <c r="K56" i="120"/>
  <c r="I701" i="120"/>
  <c r="I700" i="120" s="1"/>
  <c r="I683" i="120"/>
  <c r="I651" i="120" s="1"/>
  <c r="H701" i="120"/>
  <c r="H700" i="120" s="1"/>
  <c r="H683" i="120"/>
  <c r="H651" i="120" s="1"/>
  <c r="G324" i="120" l="1"/>
  <c r="H869" i="120"/>
  <c r="L344" i="120" s="1"/>
  <c r="J817" i="120"/>
  <c r="H409" i="119"/>
  <c r="G409" i="119"/>
  <c r="F409" i="119"/>
  <c r="H391" i="120"/>
  <c r="I737" i="120"/>
  <c r="I736" i="120" s="1"/>
  <c r="H737" i="120"/>
  <c r="H736" i="120" s="1"/>
  <c r="G737" i="120"/>
  <c r="G736" i="120" s="1"/>
  <c r="H463" i="119"/>
  <c r="H462" i="119" s="1"/>
  <c r="H379" i="119"/>
  <c r="K370" i="119" s="1"/>
  <c r="E253" i="113"/>
  <c r="E327" i="113" s="1"/>
  <c r="G780" i="119"/>
  <c r="G759" i="119" s="1"/>
  <c r="K948" i="120"/>
  <c r="G236" i="119"/>
  <c r="G85" i="119"/>
  <c r="G84" i="119" s="1"/>
  <c r="J85" i="119" s="1"/>
  <c r="F633" i="119"/>
  <c r="I633" i="119" s="1"/>
  <c r="G183" i="120"/>
  <c r="G869" i="120"/>
  <c r="J878" i="120" s="1"/>
  <c r="J870" i="120" s="1"/>
  <c r="H759" i="119"/>
  <c r="K801" i="119"/>
  <c r="F576" i="119"/>
  <c r="G575" i="119"/>
  <c r="D253" i="113"/>
  <c r="D327" i="113" s="1"/>
  <c r="D329" i="113" s="1"/>
  <c r="I519" i="120"/>
  <c r="I391" i="120"/>
  <c r="F316" i="119"/>
  <c r="G632" i="120"/>
  <c r="F780" i="119"/>
  <c r="F759" i="119" s="1"/>
  <c r="F84" i="119"/>
  <c r="F13" i="119" s="1"/>
  <c r="I183" i="120"/>
  <c r="H183" i="120"/>
  <c r="F236" i="119"/>
  <c r="I316" i="119" s="1"/>
  <c r="J801" i="119"/>
  <c r="K149" i="119"/>
  <c r="G316" i="119"/>
  <c r="H84" i="119"/>
  <c r="H13" i="119" s="1"/>
  <c r="H653" i="119"/>
  <c r="H519" i="120"/>
  <c r="H518" i="120" s="1"/>
  <c r="H497" i="120" s="1"/>
  <c r="K521" i="120"/>
  <c r="G519" i="120"/>
  <c r="F327" i="113"/>
  <c r="H316" i="119"/>
  <c r="H236" i="119"/>
  <c r="G463" i="119"/>
  <c r="G462" i="119" s="1"/>
  <c r="L737" i="120" l="1"/>
  <c r="H709" i="120"/>
  <c r="M712" i="120" s="1"/>
  <c r="K737" i="120"/>
  <c r="J737" i="120"/>
  <c r="M737" i="120"/>
  <c r="I709" i="120"/>
  <c r="I708" i="120" s="1"/>
  <c r="L709" i="120" s="1"/>
  <c r="G13" i="119"/>
  <c r="I518" i="120"/>
  <c r="I497" i="120" s="1"/>
  <c r="I12" i="120" s="1"/>
  <c r="F575" i="119"/>
  <c r="F379" i="119" s="1"/>
  <c r="F960" i="119" s="1"/>
  <c r="F962" i="119" s="1"/>
  <c r="G379" i="119"/>
  <c r="J370" i="119" s="1"/>
  <c r="G518" i="120"/>
  <c r="G497" i="120" s="1"/>
  <c r="K497" i="120" s="1"/>
  <c r="I85" i="119"/>
  <c r="G251" i="113"/>
  <c r="H12" i="120"/>
  <c r="K85" i="119"/>
  <c r="G709" i="120"/>
  <c r="G708" i="120" s="1"/>
  <c r="H253" i="113"/>
  <c r="F332" i="113"/>
  <c r="E332" i="113"/>
  <c r="G253" i="113"/>
  <c r="I253" i="113"/>
  <c r="H960" i="119"/>
  <c r="H708" i="120" l="1"/>
  <c r="K709" i="120" s="1"/>
  <c r="I985" i="120"/>
  <c r="I986" i="120" s="1"/>
  <c r="I991" i="120" s="1"/>
  <c r="H961" i="119"/>
  <c r="H962" i="119" s="1"/>
  <c r="H967" i="119" s="1"/>
  <c r="G960" i="119"/>
  <c r="G961" i="119" s="1"/>
  <c r="G12" i="120"/>
  <c r="J13" i="120" s="1"/>
  <c r="I370" i="119"/>
  <c r="H985" i="120"/>
  <c r="H987" i="120" s="1"/>
  <c r="J710" i="120"/>
  <c r="N709" i="120"/>
  <c r="I965" i="119"/>
  <c r="K707" i="120"/>
  <c r="I987" i="120" l="1"/>
  <c r="G985" i="120"/>
  <c r="G987" i="120" s="1"/>
  <c r="G962" i="119" l="1"/>
  <c r="G967" i="119" s="1"/>
</calcChain>
</file>

<file path=xl/sharedStrings.xml><?xml version="1.0" encoding="utf-8"?>
<sst xmlns="http://schemas.openxmlformats.org/spreadsheetml/2006/main" count="11172" uniqueCount="1159">
  <si>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</si>
  <si>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</si>
  <si>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</si>
  <si>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</si>
  <si>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</si>
  <si>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9900000000</t>
  </si>
  <si>
    <t>9990000000</t>
  </si>
  <si>
    <t>9990010010</t>
  </si>
  <si>
    <t>9990010020</t>
  </si>
  <si>
    <t>9990010030</t>
  </si>
  <si>
    <t>9990010040</t>
  </si>
  <si>
    <t>9990093100</t>
  </si>
  <si>
    <t>9990010050</t>
  </si>
  <si>
    <t>9990010060</t>
  </si>
  <si>
    <t>9990010070</t>
  </si>
  <si>
    <t>9990010080</t>
  </si>
  <si>
    <t>9990010090</t>
  </si>
  <si>
    <t>9990010101</t>
  </si>
  <si>
    <t>9990010102</t>
  </si>
  <si>
    <t>9990010103</t>
  </si>
  <si>
    <t>9990093120</t>
  </si>
  <si>
    <t>0800000000</t>
  </si>
  <si>
    <t>0100000000</t>
  </si>
  <si>
    <t>0180000000</t>
  </si>
  <si>
    <t>0180020041</t>
  </si>
  <si>
    <t>0190000000</t>
  </si>
  <si>
    <t>0300000000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</si>
  <si>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</si>
  <si>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</si>
  <si>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</si>
  <si>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</si>
  <si>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</si>
  <si>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</si>
  <si>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0120020042</t>
  </si>
  <si>
    <t>0120093070</t>
  </si>
  <si>
    <t>0110000000</t>
  </si>
  <si>
    <t>0110020040</t>
  </si>
  <si>
    <t>0110020041</t>
  </si>
  <si>
    <t>0110020042</t>
  </si>
  <si>
    <t>0130000000</t>
  </si>
  <si>
    <t>0130020041</t>
  </si>
  <si>
    <t>0130020042</t>
  </si>
  <si>
    <t>0140000000</t>
  </si>
  <si>
    <t>0140020041</t>
  </si>
  <si>
    <t>0140020042</t>
  </si>
  <si>
    <t>0140020043</t>
  </si>
  <si>
    <t>0140020044</t>
  </si>
  <si>
    <t>0110093060</t>
  </si>
  <si>
    <t>0150000000</t>
  </si>
  <si>
    <t>0150020040</t>
  </si>
  <si>
    <t>0160000000</t>
  </si>
  <si>
    <t>0160093080</t>
  </si>
  <si>
    <t>0170000000</t>
  </si>
  <si>
    <t>0170020040</t>
  </si>
  <si>
    <t>0200000000</t>
  </si>
  <si>
    <t>0200020261</t>
  </si>
  <si>
    <t>0200020262</t>
  </si>
  <si>
    <t>0300030361</t>
  </si>
  <si>
    <t>0600000000</t>
  </si>
  <si>
    <t>0610000000</t>
  </si>
  <si>
    <t>0610020140</t>
  </si>
  <si>
    <t>0610020141</t>
  </si>
  <si>
    <t>0620020140</t>
  </si>
  <si>
    <t>0630020140</t>
  </si>
  <si>
    <t>0640020140</t>
  </si>
  <si>
    <t>0180020042</t>
  </si>
  <si>
    <t>0200020263</t>
  </si>
  <si>
    <t>9990010104</t>
  </si>
  <si>
    <t>0500000000</t>
  </si>
  <si>
    <t>0500050560</t>
  </si>
  <si>
    <t>0120093090</t>
  </si>
  <si>
    <t>0400000000</t>
  </si>
  <si>
    <t>0400040460</t>
  </si>
  <si>
    <t>9990010105</t>
  </si>
  <si>
    <t>9990010106</t>
  </si>
  <si>
    <t>9990010107</t>
  </si>
  <si>
    <t>9990010108</t>
  </si>
  <si>
    <t>0610020142</t>
  </si>
  <si>
    <t>0800020140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</si>
  <si>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</si>
  <si>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</si>
  <si>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</si>
  <si>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</si>
  <si>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</si>
  <si>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</si>
  <si>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</si>
  <si>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</si>
  <si>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</si>
  <si>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</si>
  <si>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</si>
  <si>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</si>
  <si>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</si>
  <si>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</si>
  <si>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</si>
  <si>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</si>
  <si>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</si>
  <si>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</si>
  <si>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</si>
  <si>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</si>
  <si>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</si>
  <si>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</si>
  <si>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</si>
  <si>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(тыс. руб.)</t>
  </si>
  <si>
    <t>Код бюджетной классификации Российской Федерации</t>
  </si>
  <si>
    <t>Пенсионное обеспечение</t>
  </si>
  <si>
    <t>Раз-дел</t>
  </si>
  <si>
    <t>Под-раз-дел</t>
  </si>
  <si>
    <t>Вид рас-хо-дов</t>
  </si>
  <si>
    <t>01</t>
  </si>
  <si>
    <t>00</t>
  </si>
  <si>
    <t>Мероприятия непрограммных направлений деятельности органов местного самоуправления</t>
  </si>
  <si>
    <t>03</t>
  </si>
  <si>
    <t>Руководство и управление в сфере установленных функций органов местного самоуправления</t>
  </si>
  <si>
    <t>04</t>
  </si>
  <si>
    <t>1 11 05035 05 0000 120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</si>
  <si>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</si>
  <si>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</si>
  <si>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</si>
  <si>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</si>
  <si>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</si>
  <si>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Публичные нормативные социальные выплаты гражданам</t>
  </si>
  <si>
    <t>310</t>
  </si>
  <si>
    <t>Социальные выплаты гражданам, кроме публичных нормативных социальных выплат</t>
  </si>
  <si>
    <t>Обслуживание государственного (муниципального) долга</t>
  </si>
  <si>
    <t>Субсидии бюджетным учреждениям</t>
  </si>
  <si>
    <t>Мероприятия по развитию и поддержке клубов</t>
  </si>
  <si>
    <t>7952111</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</si>
  <si>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</si>
  <si>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</si>
  <si>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</si>
  <si>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Обслуживание  муниципального долга</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</si>
  <si>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</si>
  <si>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</si>
  <si>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</si>
  <si>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</si>
  <si>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</si>
  <si>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</si>
  <si>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</si>
  <si>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</si>
  <si>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</si>
  <si>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</si>
  <si>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</si>
  <si>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</si>
  <si>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Санитарно-эпидемиологическая безопасность образовательных учреждений</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</si>
  <si>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</si>
  <si>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</si>
  <si>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</si>
  <si>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</si>
  <si>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</si>
  <si>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</si>
  <si>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</si>
  <si>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</si>
  <si>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</si>
  <si>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</si>
  <si>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</si>
  <si>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</si>
  <si>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</si>
  <si>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</si>
  <si>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</si>
  <si>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</si>
  <si>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</si>
  <si>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</si>
  <si>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</si>
  <si>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</si>
  <si>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Дотации от других бюджетов бюджетной системы Российской Федерации</t>
  </si>
  <si>
    <t>610</t>
  </si>
  <si>
    <t>Ве-домст-во</t>
  </si>
  <si>
    <t>Мероприятия по развитию физкультуры и спорта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</si>
  <si>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</si>
  <si>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</si>
  <si>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</si>
  <si>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</si>
  <si>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</si>
  <si>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</si>
  <si>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</si>
  <si>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</si>
  <si>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</si>
  <si>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</si>
  <si>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</si>
  <si>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</si>
  <si>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</si>
  <si>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</si>
  <si>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</si>
  <si>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</si>
  <si>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</si>
  <si>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</si>
  <si>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</si>
  <si>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</si>
  <si>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</si>
  <si>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</si>
  <si>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</si>
  <si>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</si>
  <si>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</si>
  <si>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</si>
  <si>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</si>
  <si>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</si>
  <si>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</si>
  <si>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Прочие неналоговые доходы бюджетов муниципальных районов</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</si>
  <si>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</si>
  <si>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</si>
  <si>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</si>
  <si>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</si>
  <si>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</si>
  <si>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</si>
  <si>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</si>
  <si>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Наименование</t>
  </si>
  <si>
    <t>Целевая статья</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</si>
  <si>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</si>
  <si>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</si>
  <si>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</si>
  <si>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Защита населения и территории от чрезвычайных ситуаций природного и техногенного характера, гражданская оборона</t>
  </si>
  <si>
    <t>Содержание автомобильных дорог на территории Кировского района</t>
  </si>
  <si>
    <t>07</t>
  </si>
  <si>
    <t>Захоронение</t>
  </si>
  <si>
    <t>Прочие мероприятия по благоустройству</t>
  </si>
  <si>
    <t>Субвенции бюджетам субъектов Российской Федерации и муниципальных образований</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</si>
  <si>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</si>
  <si>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</si>
  <si>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</si>
  <si>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</si>
  <si>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</si>
  <si>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</si>
  <si>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</si>
  <si>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t>
  </si>
  <si>
    <t>001</t>
  </si>
  <si>
    <t>006</t>
  </si>
  <si>
    <t>003</t>
  </si>
  <si>
    <t>002</t>
  </si>
  <si>
    <t>Глава муниципального образования</t>
  </si>
  <si>
    <t>1 05 03000 01 0000 110</t>
  </si>
  <si>
    <t>ДОХОДЫ ОТ ИСПОЛЬЗОВАНИЯ ИМУЩЕСТВА НАХОДЯЩЕГОСЯ В ГОСУДАРСТВЕННОЙ И МУНИЦИПАЛЬНОЙ СОБСТВЕННОСТИ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</si>
  <si>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</si>
  <si>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1 13 02995 05 0000 130</t>
  </si>
  <si>
    <t>Прочие доходы от компенсации затрат бюджетов муниципальных районов</t>
  </si>
  <si>
    <t>1 14 02050 05 0000 410</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</si>
  <si>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</si>
  <si>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</si>
  <si>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</si>
  <si>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</si>
  <si>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</si>
  <si>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</si>
  <si>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</si>
  <si>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</si>
  <si>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</si>
  <si>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</si>
  <si>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</si>
  <si>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</si>
  <si>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</si>
  <si>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Иные межбюджетные трансферты бюджетам бюджетной системы</t>
  </si>
  <si>
    <t>9990051200</t>
  </si>
  <si>
    <t>Подпрограмма № 6 «Организация отдыха  детей»</t>
  </si>
  <si>
    <t>0800092070</t>
  </si>
  <si>
    <t>0900000000</t>
  </si>
  <si>
    <t>0900090960</t>
  </si>
  <si>
    <t>1000000000</t>
  </si>
  <si>
    <t>Муниципальная программа "Развитие образования в Кировском муниципальном районе на 2018-2022  годы"</t>
  </si>
  <si>
    <t>Подпрограмма № 9 «Предупреждение развития наркомании в районе»</t>
  </si>
  <si>
    <t>Доплата к  пенсии  муниципальным служащим</t>
  </si>
  <si>
    <t xml:space="preserve">Мероприятия в области коммунального хозяйства </t>
  </si>
  <si>
    <t>1000010160</t>
  </si>
  <si>
    <t>1000010162</t>
  </si>
  <si>
    <t>1000010161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</si>
  <si>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</si>
  <si>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</si>
  <si>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</si>
  <si>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</si>
  <si>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</si>
  <si>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Проведение выборов в представительные органы муниципального образования</t>
  </si>
  <si>
    <t>9990010109</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</si>
  <si>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</si>
  <si>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</si>
  <si>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</si>
  <si>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</si>
  <si>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</si>
  <si>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</si>
  <si>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</si>
  <si>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</si>
  <si>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</si>
  <si>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</si>
  <si>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</si>
  <si>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1200093110</t>
  </si>
  <si>
    <t>1200012261</t>
  </si>
  <si>
    <t>1200012262</t>
  </si>
  <si>
    <t>1200012263</t>
  </si>
  <si>
    <t>1200051180</t>
  </si>
  <si>
    <t>1100000000</t>
  </si>
  <si>
    <t>1100011160</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</si>
  <si>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</si>
  <si>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</si>
  <si>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</si>
  <si>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</si>
  <si>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</si>
  <si>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</si>
  <si>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</si>
  <si>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</si>
  <si>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</si>
  <si>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</si>
  <si>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</si>
  <si>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</si>
  <si>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</si>
  <si>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</si>
  <si>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</si>
  <si>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2 02 35930 05 0000 150</t>
  </si>
  <si>
    <t>2 02 30000 00 0000 150</t>
  </si>
  <si>
    <t>2 02 15002 05 0000 150</t>
  </si>
  <si>
    <t>2 02 35120 05 0000 150</t>
  </si>
  <si>
    <t>2 02 30024 05 0000 150</t>
  </si>
  <si>
    <t>Резервный фонд администрации Кировского муниципального района</t>
  </si>
  <si>
    <t>9990010140</t>
  </si>
  <si>
    <t>1300000000</t>
  </si>
  <si>
    <t>Основное мероприятие "Совершенствование системы противодействия коррупции в Кировском районе"</t>
  </si>
  <si>
    <t>1300013000</t>
  </si>
  <si>
    <t>1300013360</t>
  </si>
  <si>
    <t>9990093130</t>
  </si>
  <si>
    <t xml:space="preserve">Содержание дорожной техники </t>
  </si>
  <si>
    <t>9990010150</t>
  </si>
  <si>
    <t>Мероприятия в области коммунального хозяйства (содержание интерната)</t>
  </si>
  <si>
    <t>1400000000</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</si>
  <si>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</si>
  <si>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</si>
  <si>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</si>
  <si>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</si>
  <si>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</si>
  <si>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</si>
  <si>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</si>
  <si>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0110093150</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</si>
  <si>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</si>
  <si>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</si>
  <si>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</si>
  <si>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</si>
  <si>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</si>
  <si>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</si>
  <si>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</si>
  <si>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</si>
  <si>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</si>
  <si>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Мероприятия по развитию спортивной инфраструктуры, находящейся в муниципальной собственности</t>
  </si>
  <si>
    <t>040P592190</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</si>
  <si>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</si>
  <si>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</si>
  <si>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t xml:space="preserve"> Мероприятия по противодействию коррупции </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</si>
  <si>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</si>
  <si>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</si>
  <si>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</si>
  <si>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</si>
  <si>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</si>
  <si>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</si>
  <si>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</si>
  <si>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</si>
  <si>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</si>
  <si>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</si>
  <si>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</si>
  <si>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</si>
  <si>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</si>
  <si>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</si>
  <si>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</si>
  <si>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</si>
  <si>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2 02 40000 00 0000 150</t>
  </si>
  <si>
    <t>2  02 40014 05 0000 150</t>
  </si>
  <si>
    <t>Налог, взимаемый в связи с применением упрощенной системы налогообложения</t>
  </si>
  <si>
    <t>2 02 15001 05 0000 150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</si>
  <si>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</si>
  <si>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</si>
  <si>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</si>
  <si>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</si>
  <si>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</si>
  <si>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</si>
  <si>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</si>
  <si>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</si>
  <si>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</si>
  <si>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</si>
  <si>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</si>
  <si>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</si>
  <si>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</si>
  <si>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</si>
  <si>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</si>
  <si>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</si>
  <si>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</si>
  <si>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</si>
  <si>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0110092040</t>
  </si>
  <si>
    <t>0110020044</t>
  </si>
  <si>
    <t>0190020041</t>
  </si>
  <si>
    <t>0300030363</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</si>
  <si>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</si>
  <si>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</si>
  <si>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</si>
  <si>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</si>
  <si>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t>Мероприятия по предупреждению терроризма (администрация)</t>
  </si>
  <si>
    <t>Субсидии юридическим лицам (кроме некоммерческих организаций), индивидуальным предпринимателям</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</si>
  <si>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</si>
  <si>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</si>
  <si>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</si>
  <si>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040Р592220</t>
  </si>
  <si>
    <t>041Р592220</t>
  </si>
  <si>
    <t>0640092480</t>
  </si>
  <si>
    <t>Реализация государственных полномочий по организации мероприятий при осуществлении деятельности по обращению с животными без владельцев</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</si>
  <si>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</si>
  <si>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</si>
  <si>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</si>
  <si>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</si>
  <si>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</si>
  <si>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</si>
  <si>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</si>
  <si>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Мероприятия, направленные на предупреждение распространения новой коронавирусной инфекции</t>
  </si>
  <si>
    <t>9990010141</t>
  </si>
  <si>
    <t>0400040470</t>
  </si>
  <si>
    <t>Расходы на подготовку сметной документации, прохождение экспертизы и иные расходы по спортивным объектам</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</si>
  <si>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</si>
  <si>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</si>
  <si>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</si>
  <si>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</si>
  <si>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</si>
  <si>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</si>
  <si>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</si>
  <si>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</si>
  <si>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</si>
  <si>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</si>
  <si>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</si>
  <si>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</si>
  <si>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</si>
  <si>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</si>
  <si>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</si>
  <si>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</si>
  <si>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</si>
  <si>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</si>
  <si>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</si>
  <si>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06100Б0000</t>
  </si>
  <si>
    <t>963</t>
  </si>
  <si>
    <t>995</t>
  </si>
  <si>
    <t>996</t>
  </si>
  <si>
    <t>997</t>
  </si>
  <si>
    <t>998</t>
  </si>
  <si>
    <t>1008</t>
  </si>
  <si>
    <t>1015</t>
  </si>
  <si>
    <t>Муниципальная программа «Комплексное развитие сельских территорий в Кировском муниципальном районе на 2021-2027 годы»</t>
  </si>
  <si>
    <t>Единая субвенция местным бюджетам из краевого бюджета</t>
  </si>
  <si>
    <t>Субвенции на проведение Всероссийской переписи</t>
  </si>
  <si>
    <t>9999993000</t>
  </si>
  <si>
    <t>9999954690</t>
  </si>
  <si>
    <t>0110030041</t>
  </si>
  <si>
    <t>0120030041</t>
  </si>
  <si>
    <t>0140030041</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</si>
  <si>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</si>
  <si>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было</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</si>
  <si>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</si>
  <si>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</si>
  <si>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</si>
  <si>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</si>
  <si>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</si>
  <si>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</si>
  <si>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</si>
  <si>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Приложение № 7.1</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</si>
  <si>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</si>
  <si>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</si>
  <si>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</si>
  <si>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</si>
  <si>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</si>
  <si>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</si>
  <si>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</si>
  <si>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</si>
  <si>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</si>
  <si>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</si>
  <si>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</si>
  <si>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005</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</si>
  <si>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</si>
  <si>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</si>
  <si>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</si>
  <si>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</si>
  <si>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</si>
  <si>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</si>
  <si>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</si>
  <si>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2 02 39999 05 0000 150</t>
  </si>
  <si>
    <t>Прочие субвенции бюджетам муниципальных районов</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</si>
  <si>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</si>
  <si>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</si>
  <si>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</si>
  <si>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</si>
  <si>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</si>
  <si>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</si>
  <si>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</si>
  <si>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</si>
  <si>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 Мероприятия по укреплению общественного здоровья</t>
  </si>
  <si>
    <t>Расходы на капитальный ремонт зданий муниципальных общеобразовательных учреждений (краевой бюджет)</t>
  </si>
  <si>
    <t>0110092340</t>
  </si>
  <si>
    <t>040P552280</t>
  </si>
  <si>
    <t>040P592230</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</si>
  <si>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</si>
  <si>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</si>
  <si>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</si>
  <si>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</si>
  <si>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Мероприятия по капитальный ремонт зданий муниципальных общеобразовательных учреждений</t>
  </si>
  <si>
    <t>Финансовое обеспечение на выполнение муниципального задания школ искусств Кировского муниципального района</t>
  </si>
  <si>
    <t>0650020140</t>
  </si>
  <si>
    <t>0660020140</t>
  </si>
  <si>
    <t>0640020000</t>
  </si>
  <si>
    <t>1600014411</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</si>
  <si>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</si>
  <si>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</si>
  <si>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</si>
  <si>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</si>
  <si>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</si>
  <si>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</si>
  <si>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</si>
  <si>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</si>
  <si>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</si>
  <si>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Сумма на 
2024 год</t>
  </si>
  <si>
    <t>Общий объем на 2024 г</t>
  </si>
  <si>
    <r>
      <t>Субвенции бюджетам муниципальных образований Приморского края на 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t>
    </r>
    <r>
      <rPr>
        <b/>
        <sz val="12"/>
        <rFont val="Times New Roman"/>
        <family val="1"/>
        <charset val="204"/>
      </rPr>
      <t xml:space="preserve"> </t>
    </r>
    <r>
      <rPr>
        <b/>
        <u/>
        <sz val="12"/>
        <rFont val="Times New Roman"/>
        <family val="1"/>
        <charset val="204"/>
      </rPr>
      <t>за счет краевого бюджета</t>
    </r>
  </si>
  <si>
    <t>99900R0820</t>
  </si>
  <si>
    <t>Финансовое обеспечение на выполнение муниципального задания "МБУ ДО КДШИ"</t>
  </si>
  <si>
    <t>Субсидии бюджетным учреждениям (МБУ ДО «КДШИ»)</t>
  </si>
  <si>
    <t>Субсидии бюджетным учреждениям (МБУ ДО «ГДШИ»)</t>
  </si>
  <si>
    <t>Сумма 
на 2024 год</t>
  </si>
  <si>
    <t>Субсидии бюджетам муниципальных образований Приморского края на софинансирование расходных обязательств субъектов РФ, свзяаннх с реализацией ФЦП "Увековечение памяти погибших при защите Отечества на 2019-2024 годы"</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</si>
  <si>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</si>
  <si>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</si>
  <si>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</si>
  <si>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 xml:space="preserve">                                                                                             Приложение  № 5</t>
  </si>
  <si>
    <t>Мероприятия по развитию и поддержке внешкольного образования (наказы избирателей)</t>
  </si>
  <si>
    <t>041P552280</t>
  </si>
  <si>
    <t>Мероприятия по приобретению ледозаливочной техники</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</si>
  <si>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</si>
  <si>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</si>
  <si>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</si>
  <si>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</si>
  <si>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</si>
  <si>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</si>
  <si>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</si>
  <si>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</si>
  <si>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</si>
  <si>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t>Расходы, связанные с участием Кировского муниципального района в мероприятиях общегосударственного значения за счет средств резервного фонда администрации Кировского муниципального района</t>
  </si>
  <si>
    <t>9990010146</t>
  </si>
  <si>
    <t>Прочие организационные и представительские расходы администрации Кировского муниципального района</t>
  </si>
  <si>
    <t>9990010200</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</si>
  <si>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</si>
  <si>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</si>
  <si>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</si>
  <si>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0140040043</t>
  </si>
  <si>
    <t>Реализация проектов инициативного бюджетирования по направлению «Твой проект»</t>
  </si>
  <si>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</si>
  <si>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0610092360</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</si>
  <si>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</si>
  <si>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0610Б92360</t>
  </si>
  <si>
    <t>Государственная поддержка отрасли культуры (поддержка муниципальных учреждений культуры, находящихся на территории сельских поселений)</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</si>
  <si>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</si>
  <si>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061A255195</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</si>
  <si>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</si>
  <si>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(школы)</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</si>
  <si>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sz val="11"/>
        <rFont val="Times New Roman"/>
        <family val="1"/>
        <charset val="204"/>
      </rPr>
      <t>местного бюджета</t>
    </r>
    <r>
      <rPr>
        <sz val="11"/>
        <rFont val="Times New Roman"/>
        <family val="1"/>
        <charset val="204"/>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</si>
  <si>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sz val="11"/>
        <rFont val="Times New Roman"/>
        <family val="1"/>
        <charset val="204"/>
      </rPr>
      <t>краевого бюджета</t>
    </r>
    <r>
      <rPr>
        <sz val="11"/>
        <rFont val="Times New Roman"/>
        <family val="1"/>
        <charset val="204"/>
      </rPr>
      <t xml:space="preserve"> (школы)</t>
    </r>
  </si>
  <si>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</si>
  <si>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sz val="11"/>
        <rFont val="Times New Roman"/>
        <family val="1"/>
        <charset val="204"/>
      </rPr>
      <t xml:space="preserve">местного бюджета </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</si>
  <si>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sz val="11"/>
        <rFont val="Times New Roman"/>
        <family val="1"/>
        <charset val="204"/>
      </rPr>
      <t xml:space="preserve">краевого бюджета </t>
    </r>
  </si>
  <si>
    <t>Гранты в виде субсидий  на обеспечение персонифицированного финансирования дополнительного образования детей</t>
  </si>
  <si>
    <t>Подпрограмма № 8 «Молодежь Кировского района»</t>
  </si>
  <si>
    <t>Сумма 
на 2025 год</t>
  </si>
  <si>
    <t>06200R5190</t>
  </si>
  <si>
    <t>06700R2990</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</si>
  <si>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годы"за счет средств местного бюджета, в целях софинансирования которых из бюджета Приморского края предоставляются субсидии</t>
  </si>
  <si>
    <t>Субсидии бюджетным учреждениям (библиотеки)</t>
  </si>
  <si>
    <t>06700L2990</t>
  </si>
  <si>
    <t>Муниципальная программа "Сохранение и развитие культуры в Кировском муниципальном районе на 2023-2027 годы"</t>
  </si>
  <si>
    <t>Муниципальная программа "Развитие физической культуры и спорта в Кировском муниципальном районе на 2023-2027 годы"</t>
  </si>
  <si>
    <t>Муниципальная программа "Профилактика безнадзорности, беспризорности и правонарушений несовершеннолетних на 2023-2027 годы"</t>
  </si>
  <si>
    <t>Муниципальная программа «Развитие образования в Кировском муниципальном районе на 2023-2027 гг.»</t>
  </si>
  <si>
    <t>Муниципальная программа «Развитие малого и среднего предпринимательства в Кировском муниципальном районе на 2023-2027 годы»</t>
  </si>
  <si>
    <t>Условно утвержденные расходы</t>
  </si>
  <si>
    <t>Общий объем на 2025 г</t>
  </si>
  <si>
    <t>1400L92620</t>
  </si>
  <si>
    <t>9990012263</t>
  </si>
  <si>
    <t>9990012261</t>
  </si>
  <si>
    <t>9990012262</t>
  </si>
  <si>
    <t>Сумма на 
2025 год</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</si>
  <si>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</si>
  <si>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</si>
  <si>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</si>
  <si>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2 02 25299 05 0000 150</t>
  </si>
  <si>
    <t>2 02 35082 05 0000 150</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</si>
  <si>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</si>
  <si>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образовательных организациях  </t>
  </si>
  <si>
    <t>Сумма на 2024 г.</t>
  </si>
  <si>
    <t>Сумма на 2025 г.</t>
  </si>
  <si>
    <t>Муниципальная программа "Противодействия коррупции в администрации Кировского муниципального района на 2023-2025 годы"</t>
  </si>
  <si>
    <t>01100S2040</t>
  </si>
  <si>
    <t>01100S2340</t>
  </si>
  <si>
    <t>040P5S2190</t>
  </si>
  <si>
    <t>040P5S2680</t>
  </si>
  <si>
    <t>06200S2540</t>
  </si>
  <si>
    <t>0670000000</t>
  </si>
  <si>
    <t>Мероприятия по направленные на софинансирование расходных обязательств субъектов РФ, свзязанных с реализацией ФЦП "Увековечение памяти погибших при защите Отечества на 2019-2024 годы"</t>
  </si>
  <si>
    <t>Муниципальная программа «Развитие и осуществление дорожной деятельности в отношении автомобильных дорог местного значения в границах Кировского муниципального района» на 2023-2027 гг.»</t>
  </si>
  <si>
    <t>Расходы по развитию спортивной инфраструктуры, находящейся в муниципальной собственности за счет средств местного бюджета, в целях софинансирования которых из бюджета Приморского края предоставляются субсидии</t>
  </si>
  <si>
    <t>Финансовое обеспечение клубных учреждений сельских поселений (Крыловское сельское поселение) (оказание услуг, выполнение работ)</t>
  </si>
  <si>
    <t xml:space="preserve">Мероприятия в области охраны окружающей среды
</t>
  </si>
  <si>
    <t>9990010210</t>
  </si>
  <si>
    <r>
      <t xml:space="preserve">Мероприятия по развитию и поддержке дошкольных образовательных учреждений </t>
    </r>
    <r>
      <rPr>
        <b/>
        <sz val="11"/>
        <rFont val="Times New Roman"/>
        <family val="1"/>
        <charset val="204"/>
      </rPr>
      <t>(наказы избирателей)</t>
    </r>
  </si>
  <si>
    <r>
      <t xml:space="preserve">Мероприятия по развитию и поддержке образовательных учреждений </t>
    </r>
    <r>
      <rPr>
        <b/>
        <sz val="11"/>
        <rFont val="Times New Roman"/>
        <family val="1"/>
        <charset val="204"/>
      </rPr>
      <t>(наказы избирателей)</t>
    </r>
  </si>
  <si>
    <t xml:space="preserve">Муниципальная программа "Поддержка социально ориентированных некоммерческих организаций Кировского муниципального района на 2022-2024 годы" </t>
  </si>
  <si>
    <t>Мероприятия по поддержке социально ориентированных некоммерческих организаций района</t>
  </si>
  <si>
    <t>1700017160</t>
  </si>
  <si>
    <t>0110092360</t>
  </si>
  <si>
    <t>01100S2360</t>
  </si>
  <si>
    <t>Муниципальная программа "Профилактика терроризма и экстремизма на территории Кировского муниципального района на 2023-2027 годы"</t>
  </si>
  <si>
    <t>2 02 45179 05 0000 150</t>
  </si>
  <si>
    <t>Межбюджетные трансферты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</si>
  <si>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011ЕВ51790</t>
  </si>
  <si>
    <t>9990010144</t>
  </si>
  <si>
    <t>Расходы на оказание единовременной материальной помощи гражданам за счет средств резервного фонда администрации Кировского муниципального района</t>
  </si>
  <si>
    <t>9990010201</t>
  </si>
  <si>
    <t>Расходы по разработке проектов, программ и сметной документации в целях развития Кировского муниципального района</t>
  </si>
  <si>
    <t>Мероприятия по развитию малого и среднего предпринимательства в Кировском муниципальном районе</t>
  </si>
  <si>
    <t>Прочие межбюджетные трансферты общего характера (дотация на сбалансированность, первоочередные расходы)</t>
  </si>
  <si>
    <t>Прочие межбюджетные трансферты общего характера (дотация на сбалансированность, выборы сельских поселений)</t>
  </si>
  <si>
    <t>06400S2480</t>
  </si>
  <si>
    <t>Субсидии бюджетным учреждениям на содержание Муниципального опорного центра дополнительного образования детей Кировского муниципального района (МБОУ ДО "ДЮСШ "Патриот" п. Кировский)</t>
  </si>
  <si>
    <t>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</si>
  <si>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 местного бюджета, в целях софинансирования которых из бюджета Приморского края предоставляются субсидии</t>
  </si>
  <si>
    <t>Мероприятия по направленные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</si>
  <si>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9990010143</t>
  </si>
  <si>
    <t>Государственная поддержка отрасли культуры (поддержка лучших работников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</si>
  <si>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лучших работников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</si>
  <si>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061A255194</t>
  </si>
  <si>
    <t>Расходы на пополнение, обновление и содержание целевого резерва материальных ресурсов для предупреждения и ликвидации чрезвычайных ситуаций, являющихся таковыми в соответствии с действующим законодательством Российской Федерации</t>
  </si>
  <si>
    <t>1 13 02065 05 0000 130</t>
  </si>
  <si>
    <t>Доходы, поступающие в порядке возмещения расходов, понесенных в связи с эксплуатацией имущества муниципальных районов</t>
  </si>
  <si>
    <t xml:space="preserve">Мероприятия по развитию физкультуры и спорта (субсидии бюджетным учреждениям (МБОУ ДО "ДЮСШ "Патриот" п. Кировский) </t>
  </si>
  <si>
    <r>
      <t xml:space="preserve">Мероприятия по развитию и поддержке образовательных учреждений </t>
    </r>
    <r>
      <rPr>
        <b/>
        <i/>
        <sz val="11"/>
        <rFont val="Times New Roman"/>
        <family val="1"/>
        <charset val="204"/>
      </rPr>
      <t>(местный  бюджет)</t>
    </r>
  </si>
  <si>
    <r>
      <t xml:space="preserve">Мероприятия по развитию и поддержке образовательных учреждений </t>
    </r>
    <r>
      <rPr>
        <b/>
        <i/>
        <sz val="11"/>
        <rFont val="Times New Roman"/>
        <family val="1"/>
        <charset val="204"/>
      </rPr>
      <t>(краевой бюджет)</t>
    </r>
  </si>
  <si>
    <r>
      <t xml:space="preserve">Мероприятия по развитию и поддержке дошкольных образовательных учреждений </t>
    </r>
    <r>
      <rPr>
        <b/>
        <sz val="11"/>
        <rFont val="Times New Roman"/>
        <family val="1"/>
        <charset val="204"/>
      </rPr>
      <t>(местный бюджет)</t>
    </r>
  </si>
  <si>
    <r>
      <t xml:space="preserve">Мероприятия по развитию и поддержке дошкольных образовательных учреждений </t>
    </r>
    <r>
      <rPr>
        <b/>
        <sz val="11"/>
        <rFont val="Times New Roman"/>
        <family val="1"/>
        <charset val="204"/>
      </rPr>
      <t>(краевой бюджет)</t>
    </r>
  </si>
  <si>
    <r>
      <t xml:space="preserve">Мероприятия по развитию и поддержке учреждений дополнительного образования </t>
    </r>
    <r>
      <rPr>
        <b/>
        <sz val="11"/>
        <rFont val="Times New Roman"/>
        <family val="1"/>
        <charset val="204"/>
      </rPr>
      <t>(местный бюджет</t>
    </r>
    <r>
      <rPr>
        <sz val="11"/>
        <rFont val="Times New Roman"/>
        <family val="1"/>
        <charset val="204"/>
      </rPr>
      <t>)</t>
    </r>
  </si>
  <si>
    <r>
      <t xml:space="preserve">Мероприятия по развитию и поддержке учреждений дополнительного образования </t>
    </r>
    <r>
      <rPr>
        <b/>
        <sz val="11"/>
        <rFont val="Times New Roman"/>
        <family val="1"/>
        <charset val="204"/>
      </rPr>
      <t>(краевой бюджет)</t>
    </r>
  </si>
  <si>
    <t xml:space="preserve">Мероприятия по развитию и поддержке учреждений дополнительного образования </t>
  </si>
  <si>
    <t>1100011164</t>
  </si>
  <si>
    <t>Мероприятия в сфере повышения энергетической эффективности (Субсидии бюджетным учреждениям (МБУ ДО «КДШИ»)</t>
  </si>
  <si>
    <t xml:space="preserve">Расходы  на мероприятия направленные на исковые требования </t>
  </si>
  <si>
    <t xml:space="preserve">Муниципальная программа "Обеспечение жильем молодых семей  Кировского муниципального района на 2023-2027 годы" </t>
  </si>
  <si>
    <t>1800000000</t>
  </si>
  <si>
    <t>18000L4970</t>
  </si>
  <si>
    <t>Мероприятия по развитию и поддержке учреждений дополнительного образования (краевой бюджет)</t>
  </si>
  <si>
    <t>0680020045</t>
  </si>
  <si>
    <t>9990010031</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</si>
  <si>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</si>
  <si>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к пректу решения Думы Кировского</t>
  </si>
  <si>
    <t>Сумма на 
2026 год</t>
  </si>
  <si>
    <t>2 02 25497 05 0000 150</t>
  </si>
  <si>
    <t>Субсидии бюджетам муниципальных районов на реализацию мероприятий по обеспечению жильем молодых семей</t>
  </si>
  <si>
    <t>2 02 25519 05 0000 150</t>
  </si>
  <si>
    <t>Субсидии бюджетам субъектов муниципальных образований на 
государственную поддержку отрасли культуры (модернизация библиотек в части комплектования книжных фондов бибилтотек муниципальных образований и государственных общедоступных библиотек)</t>
  </si>
  <si>
    <t>Субсидии бюджетам субъектов муниципальных образований на 
благоустройство территорий, прилегающих к местам туристического показа</t>
  </si>
  <si>
    <t>Субсидии бюджетам субъектов муниципальных образований на 
организацию транспортного обслуживания населения в границах муниципальных образований Приморского края</t>
  </si>
  <si>
    <t>Субсидии бюджетам субъектов муниципальных образований на 
мероприятия по инвентаризации кладбищ, стен скорби, крематориев, а так же мест захоронения на кладбищах и в стенах скорби, расположенных на территории Приморского края</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</si>
  <si>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</si>
  <si>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Субсидии бюджетам субъектов муниципальных образований на 
обепечение граждан твердым топливом</t>
  </si>
  <si>
    <t>Субвенции бюджетам муниципальных районов Приморского края  на организацию и обеспечение оздоровления и отдыха детей (за исключением организации и обеспечение оздоровления и отдыха детей в каникулярное время)</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</si>
  <si>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</si>
  <si>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</si>
  <si>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Субвенции бюджетам муниципальных образований Приморского края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</si>
  <si>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</si>
  <si>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Объемы доходов районного бюджета на 2024 год и плановый период 2025 и 2026 годов</t>
  </si>
  <si>
    <t>Сумма на 2026 г.</t>
  </si>
  <si>
    <t xml:space="preserve">                        к решению Думы Кировского</t>
  </si>
  <si>
    <t xml:space="preserve">                          муниципального района</t>
  </si>
  <si>
    <t>Наименование поселений</t>
  </si>
  <si>
    <t>Сумма на 2024 год</t>
  </si>
  <si>
    <t>Сумма на 2025 год</t>
  </si>
  <si>
    <t xml:space="preserve">Горненское сельское поселение </t>
  </si>
  <si>
    <t>Руновское сельское поселение</t>
  </si>
  <si>
    <t>Хвищанское сельское поселение</t>
  </si>
  <si>
    <t>Всего</t>
  </si>
  <si>
    <t>Сумма на 2026 год</t>
  </si>
  <si>
    <t>Распределение бюджетных ассигнований из районного бюджета на 2024-2026 года по муниципальным программам Кировского  муниципального района и непрограммным направлениям деятельности</t>
  </si>
  <si>
    <t>Сумма 
на 2026 год</t>
  </si>
  <si>
    <t>Крыловское сельское поселение</t>
  </si>
  <si>
    <t>(тыс. руб. )</t>
  </si>
  <si>
    <t>в том числе:</t>
  </si>
  <si>
    <t>за счет средств местного бюджета</t>
  </si>
  <si>
    <t>за счет средств краевого  бюджета</t>
  </si>
  <si>
    <t>Муниципальная программа "Развитие образования в Кировском муниципальном районе на 2014-2017  годы"</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</si>
  <si>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</si>
  <si>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Социальная политика</t>
  </si>
  <si>
    <t xml:space="preserve">Меры социальной поддержки педагогическим работникам муниципальных образовательных организаций Кировского муниципального района </t>
  </si>
  <si>
    <t>011Е593140</t>
  </si>
  <si>
    <t xml:space="preserve">Меры социальной поддержки детей, оставшихся без попечения родителей, и лиц, принявших на воспитание в семью детей, оставшихся без попечения родителей </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</si>
  <si>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</si>
  <si>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</si>
  <si>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</si>
  <si>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 xml:space="preserve"> бюджетных ассигнований на исполнение публичных нормативных обязательств на 2024-2026  годы  по разделам</t>
  </si>
  <si>
    <t>Общий объем на 2026 г</t>
  </si>
  <si>
    <t>18000R4970</t>
  </si>
  <si>
    <t>Благоустройство территорий, прилегающих к местам туристского показа</t>
  </si>
  <si>
    <t>9990092170</t>
  </si>
  <si>
    <t>99900S2170</t>
  </si>
  <si>
    <t>(тыс.руб.)</t>
  </si>
  <si>
    <t xml:space="preserve">Иные межбюджетные трансферты 
на обеспечение сбалансированности бюджетов городских и сельских поселений Кировского муниципального района из районного бюджета в 2024-2026гг </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</si>
  <si>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sz val="12"/>
        <rFont val="Times New Roman"/>
        <family val="1"/>
        <charset val="204"/>
      </rPr>
      <t>за счет средств краевого бюджета</t>
    </r>
  </si>
  <si>
    <t>Источники внутреннего финансирования дефицита районного бюджета на 2024-2026 годы</t>
  </si>
  <si>
    <t>Приложение  № 3</t>
  </si>
  <si>
    <t>подразделам, целевым статьям и видам расходов в соответствии с классификацией расходов</t>
  </si>
  <si>
    <t>ОБЩЕГОСУДАРСТВЕННЫЕ ВОПРОСЫ</t>
  </si>
  <si>
    <t>0000000000</t>
  </si>
  <si>
    <t>Функционирование высшего должностного лица субъекта Российской Федерации и муниципального образования</t>
  </si>
  <si>
    <t>02</t>
  </si>
  <si>
    <t>Непрограммные направления деятельности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</si>
  <si>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</si>
  <si>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</si>
  <si>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</si>
  <si>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</si>
  <si>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</si>
  <si>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Думы Кировского муниципального района</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</si>
  <si>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</si>
  <si>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</si>
  <si>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</si>
  <si>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</si>
  <si>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</si>
  <si>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</si>
  <si>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</si>
  <si>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</si>
  <si>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</si>
  <si>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05</t>
  </si>
  <si>
    <t>Обеспечение деятельности финансовых, налоговых и таможенных органов и органов финансового (финансово-бюджетного) надзора</t>
  </si>
  <si>
    <t>06</t>
  </si>
  <si>
    <t>Руководство и управление в сфере установленных функций  органов местного самоуправления  (ФУ)</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</si>
  <si>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</si>
  <si>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</si>
  <si>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</si>
  <si>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</si>
  <si>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0000000</t>
  </si>
  <si>
    <t>Резервный фонд Администрации Кировского муниципального района</t>
  </si>
  <si>
    <t>9900004</t>
  </si>
  <si>
    <t>Резервные средства</t>
  </si>
  <si>
    <t>870</t>
  </si>
  <si>
    <t>Обеспечение проведения выборов и референдумов</t>
  </si>
  <si>
    <t>Непрограммные направления деятельности муниципальных органов</t>
  </si>
  <si>
    <t>Специальные расходы</t>
  </si>
  <si>
    <t>880</t>
  </si>
  <si>
    <t>Другие общегосударственные вопросы</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</si>
  <si>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</si>
  <si>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</si>
  <si>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</si>
  <si>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создание и обеспечение деятельности комиссий по делам несовершеннолетних и защите их прав</t>
  </si>
  <si>
    <t>Субвенции на реализацию отдельных государственных полномочий по созданию административных комиссий</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</si>
  <si>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</si>
  <si>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9999959300</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</si>
  <si>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</si>
  <si>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</si>
  <si>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</si>
  <si>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Субсидии из местного бюджета на содержание многофункциональных центров предоставления государственных и муниципальных услуг</t>
  </si>
  <si>
    <t>600</t>
  </si>
  <si>
    <t>Предоставление субсидий бюджетным, автономным учреждениям и иным некоммерческим организациям</t>
  </si>
  <si>
    <t>Субсидии автономным учреждениям</t>
  </si>
  <si>
    <t>620</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</si>
  <si>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</si>
  <si>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Руководство и управление в сфере установленных функций органов местного самоуправления  (УМСАиПЭ)</t>
  </si>
  <si>
    <t>Исполнение судебных актов</t>
  </si>
  <si>
    <t>830</t>
  </si>
  <si>
    <t xml:space="preserve">Оценка недвижимости, признание прав и регулирование отношений по государственной и муниципальной собственности </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</si>
  <si>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</si>
  <si>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Муниципальная программа "Развитие образования в Кировском муниципальном районе на 2023-2027 годы"</t>
  </si>
  <si>
    <t>Подпрограмма № 8 «Молодежь Кировского района"</t>
  </si>
  <si>
    <t>0180020040</t>
  </si>
  <si>
    <t>Мероприятия по строительству, реконструкции и приобретению зданий муниципальных общеобразовательных организаций</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</si>
  <si>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charset val="204"/>
      </rPr>
      <t>(краевой бюджет)</t>
    </r>
  </si>
  <si>
    <t>Капитальные вложения в объекты государственной (муниципальной собственности)</t>
  </si>
  <si>
    <t>400</t>
  </si>
  <si>
    <t>Бюджетные инвестиции</t>
  </si>
  <si>
    <t>410</t>
  </si>
  <si>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charset val="204"/>
      </rPr>
      <t>местного бюджета</t>
    </r>
    <r>
      <rPr>
        <sz val="12"/>
        <rFont val="Times New Roman"/>
        <family val="1"/>
        <charset val="204"/>
      </rPr>
      <t>, в целях софинансирования которых из бюджета Приморского края предоставляются субсидии</t>
    </r>
  </si>
  <si>
    <t>Подпрограмма № 9 "Предупреждение развития наркомании в районе"</t>
  </si>
  <si>
    <t>0300030360</t>
  </si>
  <si>
    <t>Муниципальная программа " Доступная среда для инвалидов в Кировском муниципальном районе на 2016-2019 годы"</t>
  </si>
  <si>
    <t>0700020270</t>
  </si>
  <si>
    <t xml:space="preserve">Мероприятия по противодействию коррупции </t>
  </si>
  <si>
    <t>НАЦИОНАЛЬНАЯ ОБОРОНА</t>
  </si>
  <si>
    <t>Мобилизационная и вневойсковая подготовка</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</si>
  <si>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</si>
  <si>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Субвенции на осуществление первичного воинского учета на территориях, где отсутствуют военные комиссариаты</t>
  </si>
  <si>
    <t>Межбюджетные трансферты</t>
  </si>
  <si>
    <t>500</t>
  </si>
  <si>
    <t>530</t>
  </si>
  <si>
    <t>НАЦИОНАЛЬНАЯ БЕЗОПАСНОСТЬ И ПРАВООХРАНИТЕЛЬНАЯ ДЕЯТЕЛЬНОСТЬ</t>
  </si>
  <si>
    <t>09</t>
  </si>
  <si>
    <t>Мероприятия по предупреждению и ликвидации последствий черезвычайных ситуаций и стихийных бедствий</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</si>
  <si>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</si>
  <si>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999W994020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</si>
  <si>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</si>
  <si>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999W910170</t>
  </si>
  <si>
    <t>1700000000</t>
  </si>
  <si>
    <t>НАЦИОНАЛЬНАЯ ЭКОНОМИКА</t>
  </si>
  <si>
    <t>Сельское хозяйство и рыболовство</t>
  </si>
  <si>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</si>
  <si>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Транспорт</t>
  </si>
  <si>
    <t>08</t>
  </si>
  <si>
    <t>Другие виды транспорта</t>
  </si>
  <si>
    <t>810</t>
  </si>
  <si>
    <t>540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</si>
  <si>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</si>
  <si>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999000080</t>
  </si>
  <si>
    <t>Субсидии на проведение отдельных мероприятий по другим видам транспорта</t>
  </si>
  <si>
    <t>Дорожное хозяйство (дорожные фонды)</t>
  </si>
  <si>
    <t>Капитальный ремонт и ремонт автомобильных дорог общего пользования населенных пунктов</t>
  </si>
  <si>
    <t>Другие вопросы в области национальной экономики</t>
  </si>
  <si>
    <t>12</t>
  </si>
  <si>
    <t>Муниципальная программа "Развитие малого и среднего предпринимательства в Кировском муниципальном районе на 2023-2027 годы"</t>
  </si>
  <si>
    <t>Поддержка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</si>
  <si>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</si>
  <si>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ЖИЛИЩНО-КОММУНАЛЬНОЕ ХОЗЯЙСТВО</t>
  </si>
  <si>
    <t>Коммунальное хозяйство</t>
  </si>
  <si>
    <t>Поддержка коммунального хозяйства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</si>
  <si>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</si>
  <si>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Возмещение затрат или недополученных доходов от обеспечения граждан твердым топливом в границах Кировского  муниципального района</t>
  </si>
  <si>
    <r>
      <t xml:space="preserve">Субсидии юридическим лицам (кроме некоммерческих организаций), индивидуальным предпринимателям </t>
    </r>
    <r>
      <rPr>
        <b/>
        <sz val="12"/>
        <rFont val="Times New Roman"/>
        <family val="1"/>
        <charset val="204"/>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</si>
  <si>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charset val="204"/>
      </rPr>
      <t>(местный бюджет)</t>
    </r>
  </si>
  <si>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</si>
  <si>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Благоустройство</t>
  </si>
  <si>
    <t>Другие вопросы в области жилищно-коммунального хозяйства</t>
  </si>
  <si>
    <t>Руководство и управление в сфере установленных функций органов государственной власти Приморского края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</si>
  <si>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</si>
  <si>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</si>
  <si>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ОХРАНА ОКРУЖАЮЩЕЙ СРЕДЫ</t>
  </si>
  <si>
    <t>Другие вопросы в области охраны окружающей среды</t>
  </si>
  <si>
    <t>Мероприятия в области охраны окружающей среды</t>
  </si>
  <si>
    <t>ОБРАЗОВАНИЕ</t>
  </si>
  <si>
    <t>Дошкольное образование</t>
  </si>
  <si>
    <t>Подпрограмма  № 2 "Развитие дошкольного образования в Кировском муниципальном районе"</t>
  </si>
  <si>
    <t>0120020040</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</si>
  <si>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</si>
  <si>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Мероприятия по развитию и поддержке дошкольных образовательных учреждений (НАКАЗЫ ИЗБИРАТЕЛЕЙ)</t>
  </si>
  <si>
    <t xml:space="preserve">Непрограммные направления деятельности </t>
  </si>
  <si>
    <t>Погашение кредиторской задолженности прошлых лет (САДЫ)</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</si>
  <si>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</si>
  <si>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Непрограммные направления деятельности органов местного самоуправления (дошкольное образование)</t>
  </si>
  <si>
    <t>Предоставление субсидий бюджетным, автономным учреждениям и иным некоммерческим организациям (ВЫПОЛНЕНИЕ НАКАЗОВ ИЗБИРАТЕЛЕЙ)</t>
  </si>
  <si>
    <t>Общее образование</t>
  </si>
  <si>
    <t>Подпрограмма № 1 "Развитие и поддержка муниципальных образовательных учреждений"</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</si>
  <si>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</si>
  <si>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Мероприятия по развитию и поддержке образовательных учреждений (НАКАЗЫ ИЗБИРАТЕЛЕЙ)</t>
  </si>
  <si>
    <t>Подпрограмма  № 3 "Безопасность образовательных учреждений"</t>
  </si>
  <si>
    <t>0130020040</t>
  </si>
  <si>
    <t>Подпрограмма  № 4 "Развитие внешкольного образования"</t>
  </si>
  <si>
    <t>Субсидии бюджетным учреждениям образования</t>
  </si>
  <si>
    <t>0140020040</t>
  </si>
  <si>
    <t>Субсидии бюджетным учреждениям (МБУ ДОД "ДЮЦ")</t>
  </si>
  <si>
    <t>Субсидии бюджетным учреждениям (МБУ ВПЦ "Патриот")</t>
  </si>
  <si>
    <t>Субсидии бюджетным учреждениям-МБУ  ДОД  "КДШИ"</t>
  </si>
  <si>
    <t>Субсидии бюджетным учреждениям-МБУ  ДОД  "ГДШИ"</t>
  </si>
  <si>
    <t>Муниципальная программа "Развитие образования в Кировском муниципальном районе на 2023-2027  годы"</t>
  </si>
  <si>
    <t>Субвенции  на обеспечение   бесплатным питанием детей, обучающихся муниципальных общеобразовательных учреждениях</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</si>
  <si>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</si>
  <si>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Дополнительное образование</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</si>
  <si>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</si>
  <si>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</si>
  <si>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Финансовое обеспечение на выполнение муниципального задания "МБУ ДО ГДШИ"</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</si>
  <si>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charset val="204"/>
      </rPr>
      <t>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</si>
  <si>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charset val="204"/>
      </rPr>
      <t>местного бюджета</t>
    </r>
    <r>
      <rPr>
        <sz val="12"/>
        <rFont val="Times New Roman"/>
        <family val="1"/>
        <charset val="204"/>
      </rPr>
      <t>, в целях софинансирования которых из бюджета Приморского края предоставляются субсидии</t>
    </r>
  </si>
  <si>
    <t xml:space="preserve">Мероприятия в сфере повышения энергетической эффективности </t>
  </si>
  <si>
    <t>(Субсидии бюджетным учреждениям (МБУ ДО «КДШИ»)</t>
  </si>
  <si>
    <t>0140020050</t>
  </si>
  <si>
    <t xml:space="preserve">Погашение кредиторской задолженности прошлых лет </t>
  </si>
  <si>
    <t>0140020051</t>
  </si>
  <si>
    <t>0140020052</t>
  </si>
  <si>
    <t>0140020053</t>
  </si>
  <si>
    <t>Муниципальная программа "Профилактика терроризма и экстремизма в Кировском муниципальном районе на 2023-2027 годы"</t>
  </si>
  <si>
    <t>Подпрограмма  № 5 "Переподготовка и повышение квалификации"</t>
  </si>
  <si>
    <t>Мероприятия по переподготовке и повышению квалификации</t>
  </si>
  <si>
    <t>Молодежная политика</t>
  </si>
  <si>
    <t>Социальное обеспечение и иные выплаты населению</t>
  </si>
  <si>
    <t>300</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</si>
  <si>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charset val="204"/>
      </rPr>
      <t>краевой бюджет)</t>
    </r>
  </si>
  <si>
    <t>0140092030</t>
  </si>
  <si>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charset val="204"/>
      </rPr>
      <t>местного бюджета</t>
    </r>
    <r>
      <rPr>
        <sz val="12"/>
        <rFont val="Times New Roman"/>
        <family val="1"/>
        <charset val="204"/>
      </rPr>
      <t>, в целях софинансирования которых из бюджета Приморского края предоставляются субсидии</t>
    </r>
  </si>
  <si>
    <t>0140Б92030</t>
  </si>
  <si>
    <t>Другие вопросы в области образования</t>
  </si>
  <si>
    <t>Подпрограмма  № 7 "Другие вопросы в области образования"</t>
  </si>
  <si>
    <t>Расходы на обеспечение деятельности (оказание услуг, выполнение работ) централизованных бухгалтерий</t>
  </si>
  <si>
    <t>Расходы на выплаты персоналу казенных учреждений</t>
  </si>
  <si>
    <t>110</t>
  </si>
  <si>
    <t xml:space="preserve"> Муниципальная программа "Профилактика безнадзорности, беспризорности и правонарушений несовершеннолетних на 2023-2027 годы"</t>
  </si>
  <si>
    <t>0200020260</t>
  </si>
  <si>
    <r>
      <t xml:space="preserve">Иные закупки товаров, работ и услуг для обеспечения государственных (муниципальных) нужд </t>
    </r>
    <r>
      <rPr>
        <b/>
        <sz val="12"/>
        <rFont val="Times New Roman"/>
        <family val="1"/>
        <charset val="204"/>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</si>
  <si>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charset val="204"/>
      </rPr>
      <t>(МКУ "ЦОМОУ")</t>
    </r>
  </si>
  <si>
    <t>1600000000</t>
  </si>
  <si>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</si>
  <si>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КУЛЬТУРА, КИНЕМАТОГРАФИЯ</t>
  </si>
  <si>
    <t>Культура</t>
  </si>
  <si>
    <t>Муниципальная программа "Сохранение и развитие культуры в Кировском муниципальном районе на 2023-2027  годы"</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</si>
  <si>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</si>
  <si>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charset val="204"/>
      </rPr>
      <t>местного бюджета</t>
    </r>
    <r>
      <rPr>
        <i/>
        <sz val="12"/>
        <rFont val="Times New Roman"/>
        <family val="1"/>
        <charset val="204"/>
      </rPr>
      <t>, в целях софинансирования которых из бюджета Приморского края предоставляются субсидии</t>
    </r>
  </si>
  <si>
    <t>Мероприятия направленные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</si>
  <si>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0620005190</t>
  </si>
  <si>
    <r>
      <t xml:space="preserve">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r>
    <r>
      <rPr>
        <b/>
        <sz val="12"/>
        <rFont val="Times New Roman"/>
        <family val="1"/>
        <charset val="204"/>
      </rPr>
      <t>(краевой бюджет)</t>
    </r>
  </si>
  <si>
    <r>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t>
    </r>
    <r>
      <rPr>
        <b/>
        <sz val="12"/>
        <rFont val="Times New Roman"/>
        <family val="1"/>
        <charset val="204"/>
      </rPr>
      <t xml:space="preserve"> местного бюджета</t>
    </r>
    <r>
      <rPr>
        <sz val="12"/>
        <rFont val="Times New Roman"/>
        <family val="1"/>
        <charset val="204"/>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</si>
  <si>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sz val="12"/>
        <rFont val="Times New Roman"/>
        <family val="1"/>
        <charset val="204"/>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</si>
  <si>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sz val="12"/>
        <rFont val="Times New Roman"/>
        <family val="1"/>
        <charset val="204"/>
      </rPr>
      <t>местного бюджета</t>
    </r>
    <r>
      <rPr>
        <sz val="12"/>
        <rFont val="Times New Roman"/>
        <family val="1"/>
        <charset val="204"/>
      </rPr>
      <t>, в целях софинансирования которых из бюджета Приморского края предоставляются субсидии</t>
    </r>
  </si>
  <si>
    <t>Мероприятия по обеспечению развития и укрепления материально-технической базы муниципальных домов культуры</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</si>
  <si>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</si>
  <si>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0610L92360</t>
  </si>
  <si>
    <t>00000000000</t>
  </si>
  <si>
    <t>Субсидии бюджетам муниципальных районов на поддержку отрасли культуры ((поддержка лучших работников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</si>
  <si>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лучших работников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</si>
  <si>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Другие вопросы в области культуры, кинематографии</t>
  </si>
  <si>
    <t>Финансовое обеспечение (бухгалтерский учет) МБУ КДЦ Кировского муниципального района</t>
  </si>
  <si>
    <t>0670002990</t>
  </si>
  <si>
    <t>Финансовое обеспечение на выполнение муниципального задания МБУ ДО КДШИ</t>
  </si>
  <si>
    <t>Подпрограмма   № 8 "Молодежь Кировского района"</t>
  </si>
  <si>
    <t>Муниципальная программа "Сохранение и развитие культуры в Кировском муниципальном районе на 2018-2022  годы"</t>
  </si>
  <si>
    <t>ЗДРАВООХРАНЕНИЕ</t>
  </si>
  <si>
    <t>Другие вопросы в области здравоохранения</t>
  </si>
  <si>
    <t>Муниципальная программа " Укрепление общественного здоровья" на 2021-2024 годы</t>
  </si>
  <si>
    <t>1600014410</t>
  </si>
  <si>
    <t>СОЦИАЛЬНАЯ ПОЛИТИКА</t>
  </si>
  <si>
    <t>Доплата к пенсиям, дополнительное пенсионное обеспечение</t>
  </si>
  <si>
    <t>Доплаты к пенсиям государственных служащих субъектов Российской Федерации и муниципальных служащих</t>
  </si>
  <si>
    <t>320</t>
  </si>
  <si>
    <t xml:space="preserve">Муниципальная программа "Комплексное развитие сельских территорий" в Кировском муниципальном районе на 2021-2027 годы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</si>
  <si>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</si>
  <si>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</si>
  <si>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 1 "Развитие и поддержка муниципальных образовательных учреждений" образования"</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</si>
  <si>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</si>
  <si>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Подпрограмма   № 2 "Развитие дошкольных образовательных учреждений"</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</si>
  <si>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</si>
  <si>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ФИЗИЧЕСКАЯ КУЛЬТУРА И СПОРТ</t>
  </si>
  <si>
    <t>Массовый спорт</t>
  </si>
  <si>
    <t xml:space="preserve">Мероприятия по развитию физической культуры и спорта </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</si>
  <si>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charset val="204"/>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</si>
  <si>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charset val="204"/>
      </rPr>
      <t>(администрация КМР)</t>
    </r>
  </si>
  <si>
    <t xml:space="preserve">Предоставление субсидий бюджетным, автономным учреждениям и иным некоммерческим организациям </t>
  </si>
  <si>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charset val="204"/>
      </rPr>
      <t>местного бюджета</t>
    </r>
    <r>
      <rPr>
        <i/>
        <sz val="12"/>
        <rFont val="Times New Roman"/>
        <family val="1"/>
        <charset val="204"/>
      </rPr>
      <t>, в целях софинансирования которых из бюджета Приморского края предоставляются субсидии</t>
    </r>
  </si>
  <si>
    <r>
      <t xml:space="preserve">Расходы по развитию спортивной инфраструктуры, находящейся в муниципальной собственности </t>
    </r>
    <r>
      <rPr>
        <i/>
        <sz val="12"/>
        <rFont val="Times New Roman"/>
        <family val="1"/>
        <charset val="204"/>
      </rPr>
      <t>за счет средств местного бюджета</t>
    </r>
    <r>
      <rPr>
        <sz val="12"/>
        <rFont val="Times New Roman"/>
        <family val="1"/>
        <charset val="204"/>
      </rPr>
      <t>, в целях софинансирования которых из бюджета Приморского края предоставляются субсидии</t>
    </r>
  </si>
  <si>
    <t>Капитальные вложения в объекты государственной (муниципальной) собственности</t>
  </si>
  <si>
    <t>Мероприятия по оснащению объектов спортивной инфраструктуры спортивно-технологическим оборудованием</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</si>
  <si>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charset val="204"/>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</si>
  <si>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charset val="204"/>
      </rPr>
      <t>местного бюджета</t>
    </r>
    <r>
      <rPr>
        <i/>
        <sz val="12"/>
        <rFont val="Times New Roman"/>
        <family val="1"/>
        <charset val="204"/>
      </rPr>
      <t>, в целях софинансирования которых из бюджета Приморского края предоставляются субсидии</t>
    </r>
  </si>
  <si>
    <t>041P5S2230</t>
  </si>
  <si>
    <t>Субсидии бюджетам муниципальных образований Приморского края на приобретение ледозаливочной техники</t>
  </si>
  <si>
    <t>040P592680</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</si>
  <si>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charset val="204"/>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</si>
  <si>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charset val="204"/>
      </rPr>
      <t>местного бюджета</t>
    </r>
    <r>
      <rPr>
        <i/>
        <sz val="12"/>
        <rFont val="Times New Roman"/>
        <family val="1"/>
        <charset val="204"/>
      </rPr>
      <t>, в целях софинансирования которых из бюджета Приморского края предоставляются субсидии</t>
    </r>
  </si>
  <si>
    <t>Мероприятия по приобретению и поставке спортивного инвентаря, спортивного оборудования и иного имущества для развития лыжного спорта</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</si>
  <si>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charset val="204"/>
      </rPr>
      <t>(краевой бюджет)</t>
    </r>
  </si>
  <si>
    <t>040P592180</t>
  </si>
  <si>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</si>
  <si>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</si>
  <si>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</si>
  <si>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</si>
  <si>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долговым обязательствам</t>
  </si>
  <si>
    <t>Процентные платежи по муниципальному долгу</t>
  </si>
  <si>
    <t>700</t>
  </si>
  <si>
    <t>730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</si>
  <si>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</si>
  <si>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</si>
  <si>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</si>
  <si>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</si>
  <si>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Дотации</t>
  </si>
  <si>
    <t>510</t>
  </si>
  <si>
    <t>Прочие межбюджетные трансферты общего характера</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</si>
  <si>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</si>
  <si>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1200012264</t>
  </si>
  <si>
    <t>изм</t>
  </si>
  <si>
    <t xml:space="preserve">стало </t>
  </si>
  <si>
    <t xml:space="preserve">бюджетных ассигнований из районного бюджета на 2024-2026 гг.  по разделам, </t>
  </si>
  <si>
    <r>
      <t>Оказание поддержки молодым семьям в приобретении жилого помещения или строительстве индивидуального жилого дома</t>
    </r>
    <r>
      <rPr>
        <b/>
        <sz val="10"/>
        <rFont val="Times New Roman"/>
        <family val="1"/>
        <charset val="204"/>
      </rPr>
      <t xml:space="preserve"> (за счет краевого бюджета)</t>
    </r>
  </si>
  <si>
    <r>
      <t xml:space="preserve">Оказание поддержки молодым семьям в приобретении жилого помещения или строительстве индивидуального жилого дома </t>
    </r>
    <r>
      <rPr>
        <b/>
        <sz val="10"/>
        <rFont val="Times New Roman"/>
        <family val="1"/>
        <charset val="204"/>
      </rPr>
      <t>(за счет местного бюджета)</t>
    </r>
  </si>
  <si>
    <t xml:space="preserve">                                                                                             Приложение  № 4</t>
  </si>
  <si>
    <t>Ведомство</t>
  </si>
  <si>
    <t>Вид расх</t>
  </si>
  <si>
    <t>Общий объем на 2024 г.</t>
  </si>
  <si>
    <t>Общий объем на 2025 г.</t>
  </si>
  <si>
    <t>Учреждение: Администрация Кировского муниципального района</t>
  </si>
  <si>
    <t>9999000040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</si>
  <si>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</si>
  <si>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charset val="204"/>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</si>
  <si>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charset val="204"/>
      </rPr>
      <t>местного бюджета</t>
    </r>
    <r>
      <rPr>
        <sz val="11"/>
        <rFont val="Times New Roman"/>
        <family val="1"/>
        <charset val="204"/>
      </rPr>
      <t>, в целях софинансирования которых из бюджета Приморского края предоставляются субсидии</t>
    </r>
  </si>
  <si>
    <t>уточнить вид расходов</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</si>
  <si>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</si>
  <si>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новая ЦС</t>
  </si>
  <si>
    <t>завести КБК</t>
  </si>
  <si>
    <r>
      <t xml:space="preserve">Субсидии юридическим лицам (кроме некоммерческих организаций), индивидуальным предпринимателям </t>
    </r>
    <r>
      <rPr>
        <b/>
        <sz val="11"/>
        <rFont val="Times New Roman"/>
        <family val="1"/>
        <charset val="204"/>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</si>
  <si>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charset val="204"/>
      </rPr>
      <t>(местный бюджет)</t>
    </r>
  </si>
  <si>
    <t>953</t>
  </si>
  <si>
    <t xml:space="preserve">Общее образование </t>
  </si>
  <si>
    <t>Муниципальная программа "Патриотическое воспитание граждан в Кировском муниципальном районе на 2018-2022 годы"</t>
  </si>
  <si>
    <t>1000020140</t>
  </si>
  <si>
    <t>Субсидии бюджетным учреждениям-МБУ  ДО  "КДШИ"</t>
  </si>
  <si>
    <t>Субсидии бюджетным учреждениям-МБУ  ДО  "ГДШИ"</t>
  </si>
  <si>
    <t>Муниципальная программа "Сохранение и развитие культуры в Кировском муниципальном районе на 2018-2022 годы"</t>
  </si>
  <si>
    <r>
      <rPr>
        <i/>
        <sz val="11"/>
        <rFont val="Times New Roman"/>
        <family val="1"/>
        <charset val="204"/>
      </rPr>
      <t>Субсидии</t>
    </r>
    <r>
      <rPr>
        <sz val="11"/>
        <rFont val="Times New Roman"/>
        <family val="1"/>
        <charset val="204"/>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</si>
  <si>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charset val="204"/>
      </rPr>
      <t>местного бюджета,</t>
    </r>
    <r>
      <rPr>
        <sz val="11"/>
        <rFont val="Times New Roman"/>
        <family val="1"/>
        <charset val="204"/>
      </rPr>
      <t xml:space="preserve"> в целях софинансирования которых из бюджета Приморского края предоставляются субсидии</t>
    </r>
  </si>
  <si>
    <t>Подпрограмма № 8 "Молодежь Кировского района"</t>
  </si>
  <si>
    <t>Муниципальная программа "Доступная среда для инвалидов в Кировском муниципальном районе на 2016-2019 годы"</t>
  </si>
  <si>
    <t>060000000</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</si>
  <si>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charset val="204"/>
      </rPr>
      <t>местного бюджета</t>
    </r>
    <r>
      <rPr>
        <i/>
        <sz val="11"/>
        <rFont val="Times New Roman"/>
        <family val="1"/>
        <charset val="204"/>
      </rPr>
      <t>, в целях софинансирования которых из бюджета Приморского края предоставляются субсидии</t>
    </r>
  </si>
  <si>
    <t>новая ЦС и ДК</t>
  </si>
  <si>
    <t>Мероприятия по развитию и поддержке библиотек</t>
  </si>
  <si>
    <r>
      <t xml:space="preserve">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r>
    <r>
      <rPr>
        <b/>
        <sz val="11"/>
        <rFont val="Times New Roman"/>
        <family val="1"/>
        <charset val="204"/>
      </rPr>
      <t>(краевой бюджет)</t>
    </r>
  </si>
  <si>
    <r>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t>
    </r>
    <r>
      <rPr>
        <b/>
        <sz val="11"/>
        <rFont val="Times New Roman"/>
        <family val="1"/>
        <charset val="204"/>
      </rPr>
      <t xml:space="preserve"> местного бюджета</t>
    </r>
    <r>
      <rPr>
        <sz val="11"/>
        <rFont val="Times New Roman"/>
        <family val="1"/>
        <charset val="204"/>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</si>
  <si>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sz val="11"/>
        <rFont val="Times New Roman"/>
        <family val="1"/>
        <charset val="204"/>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</si>
  <si>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sz val="11"/>
        <rFont val="Times New Roman"/>
        <family val="1"/>
        <charset val="204"/>
      </rPr>
      <t>местного бюджета</t>
    </r>
    <r>
      <rPr>
        <sz val="11"/>
        <rFont val="Times New Roman"/>
        <family val="1"/>
        <charset val="204"/>
      </rPr>
      <t>, в целях софинансирования которых из бюджета Приморского края предоставляются субсидии</t>
    </r>
  </si>
  <si>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</si>
  <si>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0595144</t>
  </si>
  <si>
    <t>06000000000</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</si>
  <si>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 за счет средств местного бюджета, в целях софинансирования которых из бюджета Приморского края предоставляются субсидии</t>
  </si>
  <si>
    <t>0180020000</t>
  </si>
  <si>
    <t xml:space="preserve">Муниципальная программа «Комплексное развитие сельских территорий" в Кировском муниципальном районе на 2021-2027 годы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</si>
  <si>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</si>
  <si>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</si>
  <si>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</si>
  <si>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charset val="204"/>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</si>
  <si>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charset val="204"/>
      </rPr>
      <t>местного бюджета</t>
    </r>
    <r>
      <rPr>
        <i/>
        <sz val="11"/>
        <rFont val="Times New Roman"/>
        <family val="1"/>
        <charset val="204"/>
      </rPr>
      <t>, в целях софинансирования которых из бюджета Приморского края предоставляются субсидии</t>
    </r>
  </si>
  <si>
    <r>
      <t xml:space="preserve">Расходы по развитию спортивной инфраструктуры, находящейся в муниципальной собственности </t>
    </r>
    <r>
      <rPr>
        <i/>
        <sz val="11"/>
        <rFont val="Times New Roman"/>
        <family val="1"/>
        <charset val="204"/>
      </rPr>
      <t>за счет средств местного бюджета</t>
    </r>
    <r>
      <rPr>
        <sz val="11"/>
        <rFont val="Times New Roman"/>
        <family val="1"/>
        <charset val="204"/>
      </rPr>
      <t>, в целях софинансирования которых из бюджета Приморского края предоставляются субсидии</t>
    </r>
  </si>
  <si>
    <t xml:space="preserve">Капитальные вложения в объекты государственной (муниципальной) собственности </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</si>
  <si>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charset val="204"/>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</si>
  <si>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charset val="204"/>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</si>
  <si>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</si>
  <si>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</si>
  <si>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Процентные платежи помуниципальному долгу</t>
  </si>
  <si>
    <t>Учреждение: Дума Кировского муниципального района</t>
  </si>
  <si>
    <t>Учреждение: финансовое  управление администрации Кировского муниципального района</t>
  </si>
  <si>
    <t>9999000070</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</si>
  <si>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</si>
  <si>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Выполнение наказов избирателей(дошкольное образование)</t>
  </si>
  <si>
    <t>Субсидии бюджетным организациям</t>
  </si>
  <si>
    <t>Субвенции на выплату ежемесячного денежного вознаграждения за классное руководство за счет краевого бюджета</t>
  </si>
  <si>
    <t>022933040</t>
  </si>
  <si>
    <r>
      <t xml:space="preserve">Мероприятия по развитию и поддержке внешкольного образования </t>
    </r>
    <r>
      <rPr>
        <b/>
        <i/>
        <sz val="11"/>
        <rFont val="Times New Roman"/>
        <family val="1"/>
        <charset val="204"/>
      </rPr>
      <t>(наказы избирателей)</t>
    </r>
  </si>
  <si>
    <t>Субсидии бюджетным учреждениям (МБУ ДО "ДЮЦ")</t>
  </si>
  <si>
    <t>Субсидии бюджетным учреждениям (ПФДО)</t>
  </si>
  <si>
    <t>Подпрограмма № 5 "Переподготовка и повышение квалификации"</t>
  </si>
  <si>
    <t>Муниципальная программа "Развитие образования в Кировском муниципальном районе на 2018-2022 годы"</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</si>
  <si>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charset val="204"/>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</si>
  <si>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charset val="204"/>
      </rPr>
      <t>местного бюджета</t>
    </r>
    <r>
      <rPr>
        <sz val="11"/>
        <rFont val="Times New Roman"/>
        <family val="1"/>
        <charset val="204"/>
      </rPr>
      <t>, в целях софинансирования которых из бюджета Приморского края предоставляются субсидии</t>
    </r>
  </si>
  <si>
    <t>Расходы на обеспечение деятельности (оказание услуг, выполнение работ) муниципальных  учреждений - прочие учреждения</t>
  </si>
  <si>
    <t xml:space="preserve"> Муниципальная программа "Профилактика безнадзорности, беспризорности и правонарушений несовершеннолетних на 2023-2027годы"</t>
  </si>
  <si>
    <t>Муниципальная программа "Развитие физической культуры и спорта в Кировском муниципальном районе на 2018-2022 годы"</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</si>
  <si>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charset val="204"/>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</si>
  <si>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charset val="204"/>
      </rPr>
      <t>местного бюджета</t>
    </r>
    <r>
      <rPr>
        <i/>
        <sz val="11"/>
        <rFont val="Times New Roman"/>
        <family val="1"/>
        <charset val="204"/>
      </rPr>
      <t>, в целях софинансирования которых из бюджета Приморского края предоставляются субсидии</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</si>
  <si>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</si>
  <si>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040P592231</t>
  </si>
  <si>
    <t>Учреждение: Контрольно-счетная комиссия Кировского муниципального района</t>
  </si>
  <si>
    <t xml:space="preserve">Руководство и управление в сфере установленных функций органов местного самоуправления </t>
  </si>
  <si>
    <t>Итого</t>
  </si>
  <si>
    <t xml:space="preserve">бюджетных ассигнований из районного бюджета на 2024 -2026 годы в ведомственной структуре расходов районного бюджета </t>
  </si>
  <si>
    <t>Общий объем на 2026 г.</t>
  </si>
  <si>
    <t xml:space="preserve">Расходы направленные на организацию транспортного обслуживания населения в границах муниципальных образований Приморского края на территории Кировского муниципального района </t>
  </si>
  <si>
    <t>Расходы направленные на 
благоустройство территорий, прилегающих к местам туристического показа</t>
  </si>
  <si>
    <t>Субсидии бюджетам муниципальных районов на реализацию мероприятий по обеспечению жильем молодых семей за счет краевого бюджета</t>
  </si>
  <si>
    <t>Расходы направленные на мероприятия по инвентаризации кладбищ, стен скорби, крематориев, а так же мест захоронения на кладбищах и в стенах скорби, расположенных на территории Приморского края  за счет местного бюджета</t>
  </si>
  <si>
    <t>Приложение №2</t>
  </si>
  <si>
    <t>Субсидии бюджетам муниципальных образований Приморского края на капитальный ремонт оздоровительных лагерей, находящихся в собственности муниципальных образований</t>
  </si>
  <si>
    <t>новая цс</t>
  </si>
  <si>
    <t>расходы направленные на мероприятия по инвентаризации кладбищ, стен скорби, крематориев, а так же мест захоронения на кладбищах и в стенах скорби, расположенных на территории Приморского края в целях софинансирования  за счет местного бюджета</t>
  </si>
  <si>
    <t>1900000000</t>
  </si>
  <si>
    <t>1900Г92410</t>
  </si>
  <si>
    <t>Расходы направленные на организацию транспортного обслуживания населения в границах муниципальных образований Приморского края на территории Кировского муниципального района в целях софинансирования за счет средст местного бюджета</t>
  </si>
  <si>
    <t>1900S92410</t>
  </si>
  <si>
    <t>Расходы направленные на организацию оказания поддержки молодым семьям в приобретении жилого помещения или строительстве индивидуального жилого дома в целях софинансирования за счет местного бюджета</t>
  </si>
  <si>
    <t>1900093130</t>
  </si>
  <si>
    <t>Муниципальная программа "Организация транспортного обслуживания населения между поселениями в границах Кировского муниципального района и создание условий для предоставления качественных и доступных транспортных услуг населению»  на 2024 – 2025 годы.</t>
  </si>
  <si>
    <t>2000192240</t>
  </si>
  <si>
    <t>Муниципальная программа "Развитие туризма на территории Кировского муниципального района" на 2024-2026 годы</t>
  </si>
  <si>
    <t>2000000000</t>
  </si>
  <si>
    <t>011EВ51790</t>
  </si>
  <si>
    <t>9990020030</t>
  </si>
  <si>
    <t>200000000</t>
  </si>
  <si>
    <t>2000S92240</t>
  </si>
  <si>
    <t>Мероприятия направленные на  повышение квалификации, направленные на программы профессиональной переподготовки</t>
  </si>
  <si>
    <t>0140S92030</t>
  </si>
  <si>
    <t>01400S2030</t>
  </si>
  <si>
    <r>
      <t xml:space="preserve">Расходы на  капитальный ремонт оздоровительных лагерей, находящихся в собственности муниципальных образований за счет средств </t>
    </r>
    <r>
      <rPr>
        <b/>
        <i/>
        <sz val="12"/>
        <rFont val="Times New Roman"/>
        <family val="1"/>
        <charset val="204"/>
      </rPr>
      <t>местного бюджета</t>
    </r>
    <r>
      <rPr>
        <i/>
        <sz val="12"/>
        <rFont val="Times New Roman"/>
        <family val="1"/>
        <charset val="204"/>
      </rPr>
      <t>, в целях софинансирования которых из бюджета Приморского края предоставляются субсидии</t>
    </r>
  </si>
  <si>
    <t>011E193140</t>
  </si>
  <si>
    <t>Профессиональная подготовка, переподготовка и повышение квалификации</t>
  </si>
  <si>
    <t>Субсидии бюджетам субъектов муниципальных образований на 
государственную поддержку отрасли культуры (поддержка муниципальных учреждений культуры, находящихся на территории сельских поселений)</t>
  </si>
  <si>
    <t>2 02 25332 05 0000 150</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</si>
  <si>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</si>
  <si>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Реализация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</si>
  <si>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 xml:space="preserve">
Субсидии бюджетам муниципальных районов на обеспечение поддержки реализации общественных инициатив, направленных на развитие туристической инфраструктуры</t>
  </si>
  <si>
    <t>01400R5490</t>
  </si>
  <si>
    <t>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</si>
  <si>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Реализация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(краевой бюджет)</t>
  </si>
  <si>
    <t>Реализация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(местный бюджет)</t>
  </si>
  <si>
    <t>01400L5491</t>
  </si>
  <si>
    <t>200J155582</t>
  </si>
  <si>
    <t>200J1S5582</t>
  </si>
  <si>
    <t>Расходы направленные на 
на обеспечение поддержки реализации общественных инициатив, направленных на развитие туристической инфраструктуры</t>
  </si>
  <si>
    <t>200J000000</t>
  </si>
  <si>
    <t>2000100000</t>
  </si>
  <si>
    <t>2 02 25494 05 0000 150</t>
  </si>
  <si>
    <t>2 02 30029 05 0000 150</t>
  </si>
  <si>
    <t>244</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</si>
  <si>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 ( социальный сертификат)</t>
  </si>
  <si>
    <t>Другие вопросы в области социальной политики"</t>
  </si>
  <si>
    <t>000000000</t>
  </si>
  <si>
    <t>1503093210</t>
  </si>
  <si>
    <t>9990093210</t>
  </si>
  <si>
    <t>Реализация проектов инициативного бюджетирования по направлению «Молодежный бюджет»</t>
  </si>
  <si>
    <t>01100S2750</t>
  </si>
  <si>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«Молодежный бюджет»</t>
  </si>
  <si>
    <t>Расходы на реализацию проектов инициативного бюджетирования по направлению «Молодежный бюджет», в целях софинансирования которых из бюджета Приморского края предоставляются субсидии</t>
  </si>
  <si>
    <t>0110092750</t>
  </si>
  <si>
    <t xml:space="preserve">было </t>
  </si>
  <si>
    <t>стало</t>
  </si>
  <si>
    <t>Субсидии бюджетам муниципальных образований Приморского края на софинансирование расходных обязательств субъектов РФ, свзяанных с реализацией ФЦП "Увековечение памяти погибших при защите Отечества на 2019-2024 годы"</t>
  </si>
  <si>
    <t>Муниципальная программа "Организация транспортного обслуживания населения между поселениями в границах Кировского муниципального района и создание условий для предоставления качественных и доступных транспортных услуг населению»  на 2024 – 2026 годы.</t>
  </si>
  <si>
    <t xml:space="preserve">Субсидии на иные цели. Реализация проектов инициативного бюджетирования по направлению "Твой проект" (МБОУ СОШ №1 пгт. Кировский" "Пришкольный спортивно-игровой комплекс) (кравой бюджет) </t>
  </si>
  <si>
    <t>01100S2361</t>
  </si>
  <si>
    <t xml:space="preserve">Субсидии на иные цели. Реализация проектов инициативного бюджетирования по направлению "Твой проект" (МБОУ СОШ №1 пгт. Кировский" "Пришкольный спортивно-игровой комплекс) (местный бюджет) </t>
  </si>
  <si>
    <t xml:space="preserve">Реализация проектов инициативного бюджетирования по направлению "Твой проект" (МБОУ СОШ №1 пгт. Кировский" "Пришкольный спортивно-игровой комплекс) </t>
  </si>
  <si>
    <t>Реализация проектов инициативного бюджетирования по направлению "Твой проект" (Спортивная площадка МБОУ СОШ кп. Горные Ключи)</t>
  </si>
  <si>
    <t>01100S2362</t>
  </si>
  <si>
    <t xml:space="preserve">Субсидии на иные цели. Реализация проектов инициативного бюджетирования по направлению "Твой проект" (Спортивная площадка МБОУ СОШ кп. Горные Ключи) (кравой бюджет)
</t>
  </si>
  <si>
    <t xml:space="preserve">Субсидии на иные цели. Реализация проектов инициативного бюджетирования по направлению "Твой проект" (Спортивная площадка МБОУ СОШ кп. Горные Ключи)(местный бюджет)
</t>
  </si>
  <si>
    <t xml:space="preserve">Реализация проектов инициативного бюджетирования по направлению "Молодежный бюджет" ("МБОУ СОШ №1 пгт. Кировский" "Радуга желаний на школьном дворе")
</t>
  </si>
  <si>
    <t>01100S2751</t>
  </si>
  <si>
    <t xml:space="preserve">Реализация проектов инициативного бюджетирования по направлению "Молодежный бюджет" (МБОУ СОШ №2 пгт. Кировский "Обустройство спортивной площадки)
</t>
  </si>
  <si>
    <t>01100S2752</t>
  </si>
  <si>
    <t xml:space="preserve">поменять </t>
  </si>
  <si>
    <t xml:space="preserve">Субсидии на иные цели. Реализация проектов инициативного бюджетирования по направлению "Молодежный бюджет" ("МБОУ СОШ №1 пгт. Кировский" "Радуга желаний на школьном дворе") (краевой бюджет)
</t>
  </si>
  <si>
    <t xml:space="preserve">Субсидии на иные цели Реализация проектов инициативного бюджетирования по направлению "Молодежный бюджет" ("МБОУ СОШ №1 пгт. Кировский" "Радуга желаний на школьном дворе") (местный бюджет)
</t>
  </si>
  <si>
    <t xml:space="preserve">Субсидии на иные цели.Реализация проектов инициативного бюджетирования по направлению "Молодежный бюджет" (МБОУ СОШ №2 пгт. Кировский "Обустройство спортивной площадки) (краевой бюджет)
</t>
  </si>
  <si>
    <t xml:space="preserve">Субсидии на иные цели.Реализация проектов инициативного бюджетирования по направлению "Молодежный бюджет" (МБОУ СОШ №2 пгт. Кировский "Обустройство спортивной площадки) (местный бюджет)
</t>
  </si>
  <si>
    <t>Субсидии на иные цели. Реализация проектов инициативного бюджетирования по направлению "Молодежный бюджет" ("МБОУ СОШ №1 пгт. Кировский" "Радуга желаний на школьном дворе")</t>
  </si>
  <si>
    <t>Субсидии на иные цели.Реализация проектов инициативного бюджетирования по направлению "Молодежный бюджет" (МБОУ СОШ №2 пгт. Кировский "Обустройство спортивной площадки</t>
  </si>
  <si>
    <t>Субсидии на иные цели. Реализация проектов инициативного бюджетирования по направлению "Твой проект" (МБОУ СОШ №1 пгт. Кировский" "Пришкольный спортивно-игровой комплекс)</t>
  </si>
  <si>
    <t>Субсидии на иные цели. Реализация проектов инициативного бюджетирования по направлению "Твой проект" (Спортивная площадка МБОУ СОШ кп. Горные Ключи</t>
  </si>
  <si>
    <t>Субсидии на иные цели. Реализация проектов инициативного бюджетирования по направлению "Твой проект" (МБОУ СОШ №1 пгт. Кировский" "Пришкольный спортивно-игровой комплекс</t>
  </si>
  <si>
    <t>Субсидии на иные цели. Реализация проектов инициативного бюджетирования по направлению "Твой проект" (Спортивная площадка МБОУ СОШ кп. Горные Ключи)</t>
  </si>
  <si>
    <t xml:space="preserve">Субсидии на иные цели. Реализация проектов инициативного бюджетирования по направлению "Молодежный бюджет" ("МБОУ СОШ №1 пгт. Кировский" "Радуга желаний на школьном дворе") </t>
  </si>
  <si>
    <t>Субсидии на иные цели.Реализация проектов инициативного бюджетирования по направлению "Молодежный бюджет" (МБОУ СОШ №2 пгт. Кировский "Обустройство спортивной площадки)</t>
  </si>
  <si>
    <t xml:space="preserve">                               Приложение № 6</t>
  </si>
  <si>
    <t>Субсидии бюджетам субъектов муниципальных образований на 
благоустройство территорий, прилегающих к местам туристского показа</t>
  </si>
  <si>
    <t>02000R3040</t>
  </si>
  <si>
    <t>0200020041</t>
  </si>
  <si>
    <t>Рациональная организация питания в общеобразовательных организация Кировского муниципального района</t>
  </si>
  <si>
    <t>Подпрограмма № 10 «Организация здорового питания в образовательных учреждениях»</t>
  </si>
  <si>
    <t>0200093150</t>
  </si>
  <si>
    <t>Субсидии бюджетам субъектов муниципальных образований на 
Благоустройство территорий, прилегающих к местам туристского показа</t>
  </si>
  <si>
    <t>Расходы направленные на 
Благоустройство территорий, прилегающих к местам туристского показа</t>
  </si>
  <si>
    <t>Расходы на софинансирование расходных обязательств связанных  с реализацией Благоустройство территорий, прилегающих к местам туристского показа  в целях софинансирования которых из бюджета Приморского края предоставляются субсидии</t>
  </si>
  <si>
    <t>Расходы на софинансирование расходных обязательств связанных  с реализацией благоустройство территорий, прилегающих к местам туристского показа  в целях софинансирования которых из бюджета Приморского края предоставляются субсидии</t>
  </si>
  <si>
    <t>Субсидии бюджетам субъектов муниципальных образований на 
благоустройство территорий, прилегающих к местам туристского показа (за счет краевого бюджета)</t>
  </si>
  <si>
    <t>Фонд оплаты труда учреждений</t>
  </si>
  <si>
    <t xml:space="preserve">Субсидии бюджетам муниципальных районов на реализация мероприятий в рамках единой субсидии на достижение показателей государственной программы Российской Федерации "Развитие туризма" (Благоустройство общественной территории кп Горные ключи Кировского муниципального района Приморского края в целях развития туризма)
</t>
  </si>
  <si>
    <t>Субсидии бюджетам муниципальных районов на реализацию мероприятий в рамках единой субсидии на достижение показателей государственной программы Российской Федерации "Развитие туризма" (Благоустройство общественной территории кп Горные ключи Кировского муниципального района Приморского края в целях развития туризма)</t>
  </si>
  <si>
    <t xml:space="preserve">Расходы на софинансирование расходных обязательств на реализацию мероприятий в рамках единой субсидии на достижение показателей государственной программы Российской Федерации "Развитие туризма" (Благоустройство общественной территории кп Горные ключи Кировского муниципального района Приморского края в целях развития туризма) </t>
  </si>
  <si>
    <t>Расходы направленные на 
реализацию мероприятий в рамках единой субсидии на достижение показателей государственной программы Российской Федерации "Развитие туризма" (Благоустройство общественной территории кп Горные ключи Кировского муниципального района Приморского края в целях развития туризма)</t>
  </si>
  <si>
    <t>Расходы на софинансирование расходных обязательств на реализацию мероприятий в рамках единой субсидии на достижение показателей государственной программы Российской Федерации "Развитие туризма" (Благоустройство общественной территории кп Горные ключи Кировского муниципального района Приморского края в целях развития туризма)</t>
  </si>
  <si>
    <t>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</si>
  <si>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</si>
  <si>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2000050020</t>
  </si>
  <si>
    <t>Мероприятия направленные на развитие туризма в Кировском муниципальном районе, проводимые в рамках благоустройства территорий</t>
  </si>
  <si>
    <t>Приложение  № 7</t>
  </si>
  <si>
    <t>0101093150</t>
  </si>
  <si>
    <t>01010000000</t>
  </si>
  <si>
    <t xml:space="preserve">от   27.06.2024г. №   170  -НПА   </t>
  </si>
  <si>
    <t>от   27.06.2024г. №   170 -НПА</t>
  </si>
  <si>
    <t xml:space="preserve">от    27.06. 2024г. №  170   -НПА </t>
  </si>
  <si>
    <t xml:space="preserve">от  27.06.2024г. № 170  </t>
  </si>
  <si>
    <t xml:space="preserve">от 27.06.2024г. № 170-НПА </t>
  </si>
  <si>
    <t>от     27.06.2024г. №170-НПА</t>
  </si>
  <si>
    <t>от 27.06.2024 г. № 170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</si>
</sst>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quot;р.&quot;_-;\-* #,##0.00&quot;р.&quot;_-;_-* &quot;-&quot;??&quot;р.&quot;_-;_-@_-"/>
    <numFmt numFmtId="165" formatCode="_-* #,##0.00_р_._-;\-* #,##0.00_р_._-;_-* &quot;-&quot;??_р_._-;_-@_-"/>
    <numFmt numFmtId="166" formatCode="0.0"/>
    <numFmt numFmtId="167" formatCode="#,##0.0"/>
    <numFmt numFmtId="168" formatCode="0.000"/>
    <numFmt numFmtId="169" formatCode="0.00000"/>
    <numFmt numFmtId="170" formatCode="0.0000"/>
    <numFmt numFmtId="171" formatCode="#,##0.000"/>
    <numFmt numFmtId="172" formatCode="#,##0.00000"/>
    <numFmt numFmtId="173" formatCode="#,##0.000000"/>
    <numFmt numFmtId="174" formatCode="#,##0.0000000"/>
  </numFmts>
  <fonts count="49" x14ac:knownFonts="1">
    <font>
      <sz val="10"/>
      <name val="Arial Cyr"/>
      <charset val="204"/>
    </font>
    <font>
      <sz val="12"/>
      <name val="Times New Roman"/>
      <family val="1"/>
    </font>
    <font>
      <b/>
      <sz val="12"/>
      <name val="Times New Roman"/>
      <family val="1"/>
    </font>
    <font>
      <b/>
      <sz val="14"/>
      <name val="Times New Roman"/>
      <family val="1"/>
    </font>
    <font>
      <sz val="12"/>
      <name val="Arial Cyr"/>
      <charset val="204"/>
    </font>
    <font>
      <b/>
      <sz val="11"/>
      <name val="Times New Roman"/>
      <family val="1"/>
    </font>
    <font>
      <sz val="11"/>
      <name val="Times New Roman"/>
      <family val="1"/>
      <charset val="204"/>
    </font>
    <font>
      <sz val="11"/>
      <name val="Times New Roman"/>
      <family val="1"/>
    </font>
    <font>
      <b/>
      <sz val="11"/>
      <name val="Times New Roman"/>
      <family val="1"/>
      <charset val="204"/>
    </font>
    <font>
      <sz val="10"/>
      <name val="Arial Cyr"/>
      <charset val="204"/>
    </font>
    <font>
      <b/>
      <sz val="12"/>
      <name val="Arial Cyr"/>
      <charset val="204"/>
    </font>
    <font>
      <b/>
      <sz val="12"/>
      <name val="Times New Roman"/>
      <family val="1"/>
      <charset val="204"/>
    </font>
    <font>
      <sz val="10"/>
      <name val="Times New Roman"/>
      <family val="1"/>
      <charset val="204"/>
    </font>
    <font>
      <sz val="12"/>
      <name val="Times New Roman"/>
      <family val="1"/>
      <charset val="204"/>
    </font>
    <font>
      <b/>
      <sz val="13"/>
      <name val="Times New Roman"/>
      <family val="1"/>
    </font>
    <font>
      <sz val="13"/>
      <name val="Times New Roman"/>
      <family val="1"/>
      <charset val="204"/>
    </font>
    <font>
      <b/>
      <sz val="11"/>
      <name val="Arial Cyr"/>
      <charset val="204"/>
    </font>
    <font>
      <sz val="11"/>
      <name val="Arial Cyr"/>
      <charset val="204"/>
    </font>
    <font>
      <i/>
      <sz val="12"/>
      <name val="Times New Roman"/>
      <family val="1"/>
      <charset val="204"/>
    </font>
    <font>
      <b/>
      <sz val="14"/>
      <name val="Times New Roman"/>
      <family val="1"/>
      <charset val="204"/>
    </font>
    <font>
      <sz val="11"/>
      <name val="Times New Roman CE"/>
      <family val="1"/>
      <charset val="238"/>
    </font>
    <font>
      <i/>
      <sz val="11"/>
      <name val="Times New Roman"/>
      <family val="1"/>
      <charset val="204"/>
    </font>
    <font>
      <b/>
      <i/>
      <sz val="12"/>
      <name val="Times New Roman"/>
      <family val="1"/>
      <charset val="204"/>
    </font>
    <font>
      <b/>
      <i/>
      <sz val="11"/>
      <name val="Times New Roman"/>
      <family val="1"/>
      <charset val="204"/>
    </font>
    <font>
      <i/>
      <sz val="11"/>
      <name val="Arial Cyr"/>
      <charset val="204"/>
    </font>
    <font>
      <b/>
      <i/>
      <sz val="11"/>
      <name val="Arial Cyr"/>
      <charset val="204"/>
    </font>
    <font>
      <b/>
      <u/>
      <sz val="12"/>
      <name val="Times New Roman"/>
      <family val="1"/>
      <charset val="204"/>
    </font>
    <font>
      <b/>
      <u/>
      <sz val="11"/>
      <name val="Times New Roman"/>
      <family val="1"/>
      <charset val="204"/>
    </font>
    <font>
      <sz val="10"/>
      <name val="Times New Roman"/>
      <family val="1"/>
    </font>
    <font>
      <sz val="12"/>
      <name val="Times New Roman CE"/>
      <family val="1"/>
      <charset val="238"/>
    </font>
    <font>
      <b/>
      <sz val="10"/>
      <name val="Times New Roman"/>
      <family val="1"/>
      <charset val="204"/>
    </font>
    <font>
      <sz val="14"/>
      <name val="Times New Roman"/>
      <family val="1"/>
      <charset val="204"/>
    </font>
    <font>
      <sz val="9"/>
      <name val="Times New Roman"/>
      <family val="1"/>
      <charset val="204"/>
    </font>
    <font>
      <sz val="9"/>
      <name val="Times New Roman"/>
      <family val="1"/>
    </font>
    <font>
      <sz val="9"/>
      <name val="Arial Cyr"/>
      <charset val="204"/>
    </font>
    <font>
      <i/>
      <sz val="10"/>
      <name val="Arial Cyr"/>
      <charset val="204"/>
    </font>
    <font>
      <i/>
      <sz val="12"/>
      <name val="Arial Cyr"/>
      <charset val="204"/>
    </font>
    <font>
      <b/>
      <i/>
      <sz val="12"/>
      <name val="Arial Cyr"/>
      <charset val="204"/>
    </font>
    <font>
      <u/>
      <sz val="12"/>
      <name val="Times New Roman"/>
      <family val="1"/>
      <charset val="204"/>
    </font>
    <font>
      <u/>
      <sz val="12"/>
      <name val="Arial Cyr"/>
      <charset val="204"/>
    </font>
    <font>
      <u/>
      <sz val="11"/>
      <name val="Times New Roman"/>
      <family val="1"/>
      <charset val="204"/>
    </font>
    <font>
      <i/>
      <u/>
      <sz val="12"/>
      <name val="Times New Roman"/>
      <family val="1"/>
      <charset val="204"/>
    </font>
    <font>
      <sz val="12"/>
      <name val="Arial"/>
      <family val="2"/>
      <charset val="204"/>
    </font>
    <font>
      <b/>
      <i/>
      <sz val="12"/>
      <name val="Arial"/>
      <family val="2"/>
      <charset val="204"/>
    </font>
    <font>
      <u/>
      <sz val="11"/>
      <name val="Times New Roman"/>
      <family val="1"/>
    </font>
    <font>
      <b/>
      <i/>
      <sz val="11"/>
      <name val="Times New Roman"/>
      <family val="1"/>
    </font>
    <font>
      <i/>
      <u/>
      <sz val="11"/>
      <name val="Times New Roman"/>
      <family val="1"/>
      <charset val="204"/>
    </font>
    <font>
      <i/>
      <sz val="11"/>
      <name val="Times New Roman"/>
      <family val="1"/>
    </font>
    <font>
      <sz val="12"/>
      <color theme="1"/>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CFCCFC"/>
        <bgColor indexed="64"/>
      </patternFill>
    </fill>
    <fill>
      <patternFill patternType="solid">
        <fgColor rgb="FF66FFFF"/>
        <bgColor indexed="64"/>
      </patternFill>
    </fill>
    <fill>
      <patternFill patternType="solid">
        <fgColor theme="9" tint="0.59999389629810485"/>
        <bgColor indexed="64"/>
      </patternFill>
    </fill>
    <fill>
      <patternFill patternType="solid">
        <fgColor rgb="FF00FFFF"/>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4" fontId="9" fillId="0" borderId="0" applyFont="0" applyFill="0" applyBorder="0" applyAlignment="0" applyProtection="0"/>
    <xf numFmtId="0" fontId="9" fillId="0" borderId="0"/>
    <xf numFmtId="165" fontId="9" fillId="0" borderId="0" applyFont="0" applyFill="0" applyBorder="0" applyAlignment="0" applyProtection="0"/>
  </cellStyleXfs>
  <cellXfs count="596">
    <xf numFmtId="0" fontId="0" fillId="0" borderId="0" xfId="0"/>
    <xf numFmtId="0" fontId="13" fillId="2" borderId="0" xfId="0" applyFont="1" applyFill="1"/>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0" xfId="0" applyFont="1" applyFill="1"/>
    <xf numFmtId="49" fontId="6" fillId="0" borderId="1" xfId="0" applyNumberFormat="1" applyFont="1" applyFill="1" applyBorder="1" applyAlignment="1">
      <alignment horizontal="center" vertical="center" wrapText="1" shrinkToFit="1"/>
    </xf>
    <xf numFmtId="0" fontId="16" fillId="0" borderId="0" xfId="0" applyFont="1" applyFill="1"/>
    <xf numFmtId="49" fontId="6" fillId="6" borderId="1" xfId="0" applyNumberFormat="1" applyFont="1" applyFill="1" applyBorder="1" applyAlignment="1">
      <alignment horizontal="center" vertical="center" wrapText="1" shrinkToFit="1"/>
    </xf>
    <xf numFmtId="0" fontId="6" fillId="0" borderId="1" xfId="0" applyFont="1" applyFill="1" applyBorder="1" applyAlignment="1">
      <alignment vertical="top" wrapText="1"/>
    </xf>
    <xf numFmtId="0" fontId="6" fillId="6" borderId="0" xfId="0" applyFont="1" applyFill="1"/>
    <xf numFmtId="0" fontId="6" fillId="6" borderId="0" xfId="0" applyFont="1" applyFill="1" applyAlignment="1">
      <alignment horizontal="right"/>
    </xf>
    <xf numFmtId="0" fontId="21" fillId="0" borderId="1" xfId="0" applyFont="1" applyFill="1" applyBorder="1" applyAlignment="1">
      <alignment vertical="center" wrapText="1"/>
    </xf>
    <xf numFmtId="49" fontId="18" fillId="6" borderId="1" xfId="0" applyNumberFormat="1" applyFont="1" applyFill="1" applyBorder="1" applyAlignment="1">
      <alignment horizontal="center" vertical="center" wrapText="1" shrinkToFit="1"/>
    </xf>
    <xf numFmtId="49" fontId="6" fillId="7" borderId="1" xfId="0" applyNumberFormat="1" applyFont="1" applyFill="1" applyBorder="1" applyAlignment="1">
      <alignment horizontal="center" vertical="center" wrapText="1" shrinkToFit="1"/>
    </xf>
    <xf numFmtId="0" fontId="21" fillId="6" borderId="1" xfId="0" applyFont="1" applyFill="1" applyBorder="1" applyAlignment="1">
      <alignment vertical="center" wrapText="1"/>
    </xf>
    <xf numFmtId="0" fontId="11" fillId="6" borderId="1" xfId="0" applyFont="1" applyFill="1" applyBorder="1" applyAlignment="1">
      <alignment vertical="center" wrapText="1"/>
    </xf>
    <xf numFmtId="0" fontId="22" fillId="6" borderId="1" xfId="0" applyFont="1" applyFill="1" applyBorder="1" applyAlignment="1">
      <alignment vertical="center" wrapText="1"/>
    </xf>
    <xf numFmtId="0" fontId="23" fillId="0" borderId="1" xfId="0" applyFont="1" applyFill="1" applyBorder="1" applyAlignment="1">
      <alignment vertical="center" wrapText="1"/>
    </xf>
    <xf numFmtId="172" fontId="6" fillId="0" borderId="1" xfId="0" applyNumberFormat="1" applyFont="1" applyFill="1" applyBorder="1" applyAlignment="1">
      <alignment horizontal="center" vertical="center" wrapText="1"/>
    </xf>
    <xf numFmtId="172" fontId="8" fillId="0" borderId="1" xfId="0" applyNumberFormat="1" applyFont="1" applyFill="1" applyBorder="1" applyAlignment="1">
      <alignment horizontal="center" vertical="center" wrapText="1"/>
    </xf>
    <xf numFmtId="0" fontId="6" fillId="6" borderId="1" xfId="0" applyFont="1" applyFill="1" applyBorder="1" applyAlignment="1">
      <alignment vertical="center" wrapText="1"/>
    </xf>
    <xf numFmtId="0" fontId="6" fillId="6" borderId="1" xfId="0" applyFont="1" applyFill="1" applyBorder="1" applyAlignment="1">
      <alignment vertical="top" wrapText="1"/>
    </xf>
    <xf numFmtId="0" fontId="6" fillId="6" borderId="1" xfId="0" applyFont="1" applyFill="1" applyBorder="1" applyAlignment="1">
      <alignment horizontal="left" vertical="top" wrapText="1"/>
    </xf>
    <xf numFmtId="172" fontId="6" fillId="6" borderId="1" xfId="0" applyNumberFormat="1" applyFont="1" applyFill="1" applyBorder="1" applyAlignment="1">
      <alignment horizontal="center" vertical="center" wrapText="1"/>
    </xf>
    <xf numFmtId="172" fontId="13" fillId="0" borderId="1" xfId="0" applyNumberFormat="1" applyFont="1" applyFill="1" applyBorder="1" applyAlignment="1">
      <alignment horizontal="center" vertical="center"/>
    </xf>
    <xf numFmtId="172" fontId="21" fillId="6" borderId="1" xfId="0" applyNumberFormat="1" applyFont="1" applyFill="1" applyBorder="1" applyAlignment="1">
      <alignment horizontal="center" vertical="center" wrapText="1"/>
    </xf>
    <xf numFmtId="172" fontId="6" fillId="7"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shrinkToFit="1"/>
    </xf>
    <xf numFmtId="49" fontId="6" fillId="8" borderId="1" xfId="0" applyNumberFormat="1" applyFont="1" applyFill="1" applyBorder="1" applyAlignment="1">
      <alignment horizontal="center" vertical="center" wrapText="1" shrinkToFit="1"/>
    </xf>
    <xf numFmtId="49" fontId="23" fillId="6" borderId="1"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shrinkToFit="1"/>
    </xf>
    <xf numFmtId="172" fontId="23" fillId="6" borderId="1" xfId="0" applyNumberFormat="1" applyFont="1" applyFill="1" applyBorder="1" applyAlignment="1">
      <alignment horizontal="center" vertical="center" wrapText="1"/>
    </xf>
    <xf numFmtId="0" fontId="23" fillId="6" borderId="1" xfId="0" applyFont="1" applyFill="1" applyBorder="1" applyAlignment="1">
      <alignment vertical="center" wrapText="1"/>
    </xf>
    <xf numFmtId="172" fontId="8"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shrinkToFit="1"/>
    </xf>
    <xf numFmtId="172" fontId="13" fillId="0" borderId="0" xfId="0" applyNumberFormat="1" applyFont="1" applyFill="1" applyAlignment="1">
      <alignment horizontal="center" vertical="center"/>
    </xf>
    <xf numFmtId="172" fontId="11" fillId="0" borderId="1" xfId="3" applyNumberFormat="1" applyFont="1" applyFill="1" applyBorder="1" applyAlignment="1">
      <alignment horizontal="center" vertical="center" wrapText="1"/>
    </xf>
    <xf numFmtId="172" fontId="13" fillId="0" borderId="1" xfId="3"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172" fontId="22" fillId="0" borderId="1" xfId="3" applyNumberFormat="1" applyFont="1" applyFill="1" applyBorder="1" applyAlignment="1">
      <alignment horizontal="center" vertical="center" wrapText="1"/>
    </xf>
    <xf numFmtId="172" fontId="22" fillId="0" borderId="1" xfId="0" applyNumberFormat="1" applyFont="1" applyFill="1" applyBorder="1" applyAlignment="1">
      <alignment horizontal="center" vertical="center"/>
    </xf>
    <xf numFmtId="0" fontId="13" fillId="0" borderId="0" xfId="0" applyFont="1" applyFill="1" applyAlignment="1">
      <alignment horizontal="center" vertical="center"/>
    </xf>
    <xf numFmtId="0" fontId="17" fillId="6" borderId="0" xfId="0" applyFont="1" applyFill="1"/>
    <xf numFmtId="0" fontId="13" fillId="6" borderId="0" xfId="0" applyFont="1" applyFill="1"/>
    <xf numFmtId="0" fontId="13" fillId="6" borderId="0" xfId="0" applyFont="1" applyFill="1" applyAlignment="1">
      <alignment vertical="top"/>
    </xf>
    <xf numFmtId="0" fontId="6" fillId="6" borderId="0" xfId="0" applyFont="1" applyFill="1" applyBorder="1" applyAlignment="1"/>
    <xf numFmtId="0" fontId="17" fillId="6" borderId="0" xfId="0" applyFont="1" applyFill="1" applyBorder="1" applyAlignment="1">
      <alignment horizontal="left"/>
    </xf>
    <xf numFmtId="172" fontId="17" fillId="6" borderId="0" xfId="0" applyNumberFormat="1" applyFont="1" applyFill="1"/>
    <xf numFmtId="172" fontId="5" fillId="6" borderId="0" xfId="0" applyNumberFormat="1" applyFont="1" applyFill="1" applyAlignment="1">
      <alignment horizontal="center" vertical="center" wrapText="1"/>
    </xf>
    <xf numFmtId="49" fontId="17" fillId="6" borderId="0" xfId="0" applyNumberFormat="1" applyFont="1" applyFill="1" applyBorder="1" applyAlignment="1">
      <alignment horizontal="left"/>
    </xf>
    <xf numFmtId="172" fontId="6" fillId="6" borderId="0" xfId="0" applyNumberFormat="1" applyFont="1" applyFill="1" applyAlignment="1">
      <alignment horizontal="right"/>
    </xf>
    <xf numFmtId="0" fontId="16" fillId="6" borderId="0" xfId="0" applyFont="1" applyFill="1"/>
    <xf numFmtId="0" fontId="8" fillId="6" borderId="1" xfId="0" applyFont="1" applyFill="1" applyBorder="1" applyAlignment="1">
      <alignment vertical="center" wrapText="1"/>
    </xf>
    <xf numFmtId="49" fontId="8"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172" fontId="24" fillId="6" borderId="0" xfId="0" applyNumberFormat="1" applyFont="1" applyFill="1"/>
    <xf numFmtId="0" fontId="24" fillId="6" borderId="0" xfId="0" applyFont="1" applyFill="1"/>
    <xf numFmtId="172" fontId="16" fillId="6" borderId="0" xfId="0" applyNumberFormat="1" applyFont="1" applyFill="1"/>
    <xf numFmtId="172" fontId="6" fillId="6" borderId="0" xfId="0" applyNumberFormat="1" applyFont="1" applyFill="1"/>
    <xf numFmtId="172" fontId="6" fillId="6" borderId="1" xfId="0" applyNumberFormat="1" applyFont="1" applyFill="1" applyBorder="1" applyAlignment="1">
      <alignment horizontal="center" vertical="center"/>
    </xf>
    <xf numFmtId="0" fontId="8" fillId="6" borderId="0" xfId="0" applyFont="1" applyFill="1"/>
    <xf numFmtId="49" fontId="6" fillId="6" borderId="1" xfId="0" applyNumberFormat="1" applyFont="1" applyFill="1" applyBorder="1" applyAlignment="1">
      <alignment horizontal="left" vertical="center" wrapText="1"/>
    </xf>
    <xf numFmtId="169" fontId="6" fillId="6" borderId="0" xfId="0" applyNumberFormat="1" applyFont="1" applyFill="1"/>
    <xf numFmtId="0" fontId="23" fillId="6" borderId="0" xfId="0" applyFont="1" applyFill="1"/>
    <xf numFmtId="0" fontId="8" fillId="6" borderId="1" xfId="0" applyFont="1" applyFill="1" applyBorder="1" applyAlignment="1">
      <alignment vertical="top" wrapText="1"/>
    </xf>
    <xf numFmtId="0" fontId="6" fillId="6" borderId="1" xfId="0" applyFont="1" applyFill="1" applyBorder="1" applyAlignment="1">
      <alignment horizontal="center" vertical="top" wrapText="1"/>
    </xf>
    <xf numFmtId="49" fontId="6" fillId="6" borderId="1" xfId="0" applyNumberFormat="1" applyFont="1" applyFill="1" applyBorder="1" applyAlignment="1">
      <alignment horizontal="center" vertical="top" wrapText="1"/>
    </xf>
    <xf numFmtId="172" fontId="6" fillId="6" borderId="1" xfId="0" applyNumberFormat="1" applyFont="1" applyFill="1" applyBorder="1" applyAlignment="1">
      <alignment horizontal="center" vertical="top"/>
    </xf>
    <xf numFmtId="49" fontId="17" fillId="6" borderId="0" xfId="0" applyNumberFormat="1" applyFont="1" applyFill="1"/>
    <xf numFmtId="170" fontId="17" fillId="6" borderId="0" xfId="0" applyNumberFormat="1" applyFont="1" applyFill="1"/>
    <xf numFmtId="0" fontId="17" fillId="6" borderId="0" xfId="0" applyFont="1" applyFill="1" applyAlignment="1">
      <alignment horizontal="left"/>
    </xf>
    <xf numFmtId="0" fontId="6" fillId="6" borderId="0" xfId="0" applyFont="1" applyFill="1" applyAlignment="1"/>
    <xf numFmtId="172" fontId="25" fillId="6" borderId="0" xfId="0" applyNumberFormat="1" applyFont="1" applyFill="1"/>
    <xf numFmtId="0" fontId="25" fillId="6" borderId="0" xfId="0" applyFont="1" applyFill="1"/>
    <xf numFmtId="169" fontId="17" fillId="6" borderId="0" xfId="0" applyNumberFormat="1" applyFont="1" applyFill="1"/>
    <xf numFmtId="170" fontId="6" fillId="6" borderId="0" xfId="0" applyNumberFormat="1" applyFont="1" applyFill="1" applyAlignment="1">
      <alignment horizontal="left"/>
    </xf>
    <xf numFmtId="0" fontId="17" fillId="7" borderId="0" xfId="0" applyFont="1" applyFill="1"/>
    <xf numFmtId="172" fontId="6" fillId="6" borderId="0"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center"/>
    </xf>
    <xf numFmtId="0" fontId="1" fillId="0" borderId="0" xfId="2" applyFont="1" applyFill="1"/>
    <xf numFmtId="0" fontId="1" fillId="0" borderId="0" xfId="2" applyFont="1" applyFill="1" applyAlignment="1">
      <alignment horizontal="center"/>
    </xf>
    <xf numFmtId="0" fontId="15" fillId="0" borderId="0" xfId="2" applyFont="1" applyFill="1" applyBorder="1" applyAlignment="1">
      <alignment horizontal="left" vertical="justify" wrapText="1"/>
    </xf>
    <xf numFmtId="0" fontId="14" fillId="0" borderId="0" xfId="2" applyFont="1" applyFill="1" applyBorder="1" applyAlignment="1">
      <alignment horizontal="center" vertical="justify" wrapText="1"/>
    </xf>
    <xf numFmtId="0" fontId="13" fillId="0" borderId="0" xfId="2" applyFont="1" applyFill="1" applyBorder="1" applyAlignment="1">
      <alignment horizontal="right" vertical="justify" wrapText="1"/>
    </xf>
    <xf numFmtId="0" fontId="1" fillId="0" borderId="1" xfId="2" applyFont="1" applyFill="1" applyBorder="1" applyAlignment="1">
      <alignment horizontal="center" vertical="center" wrapText="1"/>
    </xf>
    <xf numFmtId="0" fontId="11" fillId="0" borderId="1" xfId="2" applyFont="1" applyFill="1" applyBorder="1" applyAlignment="1">
      <alignment horizontal="left" vertical="center" wrapText="1"/>
    </xf>
    <xf numFmtId="172" fontId="11" fillId="0" borderId="1" xfId="2"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2" applyFont="1" applyFill="1" applyBorder="1" applyAlignment="1">
      <alignment horizontal="left" vertical="center" wrapText="1"/>
    </xf>
    <xf numFmtId="0" fontId="1" fillId="0" borderId="1" xfId="2" applyFont="1" applyFill="1" applyBorder="1" applyAlignment="1">
      <alignment horizontal="left" vertical="center" wrapText="1"/>
    </xf>
    <xf numFmtId="2" fontId="1" fillId="0" borderId="1" xfId="2" applyNumberFormat="1" applyFont="1" applyFill="1" applyBorder="1" applyAlignment="1">
      <alignment horizontal="left" vertical="center" wrapText="1"/>
    </xf>
    <xf numFmtId="0" fontId="10" fillId="0" borderId="1" xfId="2" applyFont="1" applyFill="1" applyBorder="1" applyAlignment="1">
      <alignment horizontal="left" vertical="center"/>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172" fontId="13" fillId="6" borderId="1" xfId="0" applyNumberFormat="1" applyFont="1" applyFill="1" applyBorder="1" applyAlignment="1">
      <alignment horizontal="center" vertical="center"/>
    </xf>
    <xf numFmtId="0" fontId="17" fillId="0" borderId="0" xfId="0" applyFont="1" applyAlignment="1">
      <alignment horizontal="center"/>
    </xf>
    <xf numFmtId="167" fontId="17" fillId="6" borderId="0" xfId="0" applyNumberFormat="1" applyFont="1" applyFill="1"/>
    <xf numFmtId="167" fontId="16" fillId="6" borderId="0" xfId="0" applyNumberFormat="1" applyFont="1" applyFill="1"/>
    <xf numFmtId="0" fontId="8" fillId="8" borderId="1" xfId="0" applyFont="1" applyFill="1" applyBorder="1" applyAlignment="1">
      <alignment vertical="center" wrapText="1"/>
    </xf>
    <xf numFmtId="49" fontId="8" fillId="8" borderId="1" xfId="0" applyNumberFormat="1" applyFont="1" applyFill="1" applyBorder="1" applyAlignment="1">
      <alignment horizontal="center" vertical="center" wrapText="1"/>
    </xf>
    <xf numFmtId="172" fontId="8" fillId="8" borderId="1" xfId="0"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shrinkToFit="1"/>
    </xf>
    <xf numFmtId="49" fontId="23" fillId="0" borderId="1" xfId="0" applyNumberFormat="1" applyFont="1" applyFill="1" applyBorder="1" applyAlignment="1">
      <alignment horizontal="center" vertical="center" wrapText="1" shrinkToFit="1"/>
    </xf>
    <xf numFmtId="0" fontId="8" fillId="8" borderId="1" xfId="0" applyFont="1" applyFill="1" applyBorder="1" applyAlignment="1">
      <alignment vertical="top" wrapText="1"/>
    </xf>
    <xf numFmtId="0" fontId="8" fillId="8" borderId="1" xfId="0" applyFont="1" applyFill="1" applyBorder="1" applyAlignment="1">
      <alignment horizontal="center" vertical="center" wrapText="1"/>
    </xf>
    <xf numFmtId="0" fontId="8" fillId="9" borderId="1" xfId="0" applyFont="1" applyFill="1" applyBorder="1" applyAlignment="1">
      <alignment vertical="top" wrapText="1"/>
    </xf>
    <xf numFmtId="0" fontId="8" fillId="9" borderId="1" xfId="0" applyFont="1" applyFill="1" applyBorder="1" applyAlignment="1">
      <alignment horizontal="center" vertical="top" wrapText="1"/>
    </xf>
    <xf numFmtId="49" fontId="8" fillId="9" borderId="1" xfId="0" applyNumberFormat="1" applyFont="1" applyFill="1" applyBorder="1" applyAlignment="1">
      <alignment horizontal="center" vertical="top" wrapText="1"/>
    </xf>
    <xf numFmtId="172" fontId="8" fillId="9" borderId="1" xfId="0" applyNumberFormat="1" applyFont="1" applyFill="1" applyBorder="1" applyAlignment="1">
      <alignment horizontal="center" vertical="center" wrapText="1"/>
    </xf>
    <xf numFmtId="172" fontId="8" fillId="9" borderId="1" xfId="0" applyNumberFormat="1" applyFont="1" applyFill="1" applyBorder="1" applyAlignment="1">
      <alignment horizontal="center"/>
    </xf>
    <xf numFmtId="0" fontId="6" fillId="6"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0" fontId="21" fillId="10" borderId="1" xfId="0" applyFont="1" applyFill="1" applyBorder="1" applyAlignment="1">
      <alignment vertical="center" wrapText="1"/>
    </xf>
    <xf numFmtId="49" fontId="21" fillId="10" borderId="1" xfId="0" applyNumberFormat="1" applyFont="1" applyFill="1" applyBorder="1" applyAlignment="1">
      <alignment horizontal="center" vertical="center" wrapText="1"/>
    </xf>
    <xf numFmtId="172" fontId="21" fillId="1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6" fillId="8" borderId="1" xfId="0" applyFont="1" applyFill="1" applyBorder="1" applyAlignment="1">
      <alignment horizontal="center" vertical="top" wrapText="1"/>
    </xf>
    <xf numFmtId="172" fontId="17" fillId="7" borderId="0" xfId="0" applyNumberFormat="1" applyFont="1" applyFill="1"/>
    <xf numFmtId="0" fontId="17" fillId="9" borderId="0" xfId="0" applyFont="1" applyFill="1"/>
    <xf numFmtId="0" fontId="8" fillId="11" borderId="1" xfId="0" applyFont="1" applyFill="1" applyBorder="1" applyAlignment="1">
      <alignment vertical="top" wrapText="1"/>
    </xf>
    <xf numFmtId="0" fontId="8" fillId="11" borderId="1" xfId="0" applyFont="1" applyFill="1" applyBorder="1" applyAlignment="1">
      <alignment horizontal="center" vertical="top" wrapText="1"/>
    </xf>
    <xf numFmtId="172" fontId="8" fillId="11" borderId="1" xfId="0" applyNumberFormat="1" applyFont="1" applyFill="1" applyBorder="1" applyAlignment="1">
      <alignment horizontal="center"/>
    </xf>
    <xf numFmtId="172"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6" fillId="7" borderId="1" xfId="0" applyNumberFormat="1" applyFont="1" applyFill="1" applyBorder="1" applyAlignment="1">
      <alignment horizontal="center" vertical="center" wrapText="1"/>
    </xf>
    <xf numFmtId="172" fontId="13" fillId="7"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2" fontId="23" fillId="0" borderId="1" xfId="0" applyNumberFormat="1" applyFont="1" applyFill="1" applyBorder="1" applyAlignment="1">
      <alignment horizontal="center" vertical="center" wrapText="1"/>
    </xf>
    <xf numFmtId="172" fontId="8" fillId="6" borderId="0" xfId="0" applyNumberFormat="1" applyFont="1" applyFill="1"/>
    <xf numFmtId="172" fontId="18" fillId="0" borderId="1" xfId="0" applyNumberFormat="1" applyFont="1" applyFill="1" applyBorder="1" applyAlignment="1">
      <alignment horizontal="center" vertical="center"/>
    </xf>
    <xf numFmtId="0" fontId="6" fillId="7" borderId="0" xfId="0" applyFont="1" applyFill="1"/>
    <xf numFmtId="172" fontId="6" fillId="8" borderId="1" xfId="0" applyNumberFormat="1" applyFont="1" applyFill="1" applyBorder="1" applyAlignment="1">
      <alignment horizontal="center" vertical="center" wrapText="1"/>
    </xf>
    <xf numFmtId="49" fontId="6" fillId="8" borderId="1" xfId="0" applyNumberFormat="1" applyFont="1" applyFill="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center" vertical="center"/>
    </xf>
    <xf numFmtId="0" fontId="13" fillId="6" borderId="0" xfId="0" applyFont="1" applyFill="1" applyAlignment="1">
      <alignment horizontal="right"/>
    </xf>
    <xf numFmtId="0" fontId="13" fillId="0" borderId="0" xfId="0" applyFont="1" applyAlignment="1">
      <alignment horizontal="right"/>
    </xf>
    <xf numFmtId="168" fontId="13" fillId="6" borderId="0" xfId="0" applyNumberFormat="1" applyFont="1" applyFill="1"/>
    <xf numFmtId="4" fontId="13" fillId="0" borderId="0" xfId="0" applyNumberFormat="1" applyFont="1" applyAlignment="1">
      <alignment horizontal="left"/>
    </xf>
    <xf numFmtId="0" fontId="13" fillId="0" borderId="0" xfId="0" applyFont="1" applyAlignment="1">
      <alignment horizontal="left" vertical="justify"/>
    </xf>
    <xf numFmtId="49" fontId="13" fillId="0" borderId="3" xfId="0" applyNumberFormat="1" applyFont="1" applyBorder="1" applyAlignment="1">
      <alignment horizontal="center" vertical="center"/>
    </xf>
    <xf numFmtId="168" fontId="13" fillId="6" borderId="0" xfId="0" applyNumberFormat="1" applyFont="1" applyFill="1" applyAlignment="1">
      <alignment horizontal="right"/>
    </xf>
    <xf numFmtId="168" fontId="13" fillId="0" borderId="0" xfId="0" applyNumberFormat="1" applyFont="1" applyFill="1" applyAlignment="1">
      <alignment horizontal="center" vertical="center"/>
    </xf>
    <xf numFmtId="0" fontId="11" fillId="6" borderId="2" xfId="0" applyFont="1" applyFill="1" applyBorder="1" applyAlignment="1">
      <alignment horizontal="center" vertical="center" wrapText="1"/>
    </xf>
    <xf numFmtId="172" fontId="11" fillId="6" borderId="1" xfId="3"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172" fontId="13" fillId="6" borderId="1" xfId="3" applyNumberFormat="1" applyFont="1" applyFill="1" applyBorder="1" applyAlignment="1">
      <alignment horizontal="center" vertical="center" wrapText="1"/>
    </xf>
    <xf numFmtId="4" fontId="13" fillId="0" borderId="4" xfId="0" applyNumberFormat="1" applyFont="1" applyFill="1" applyBorder="1" applyAlignment="1">
      <alignment horizontal="left"/>
    </xf>
    <xf numFmtId="172" fontId="13" fillId="7" borderId="1" xfId="0" applyNumberFormat="1" applyFont="1" applyFill="1" applyBorder="1" applyAlignment="1">
      <alignment horizontal="center" vertical="center"/>
    </xf>
    <xf numFmtId="4" fontId="13" fillId="0" borderId="0" xfId="0" applyNumberFormat="1" applyFont="1" applyFill="1" applyAlignment="1">
      <alignment horizontal="left"/>
    </xf>
    <xf numFmtId="172" fontId="11" fillId="0" borderId="0" xfId="0" applyNumberFormat="1" applyFont="1" applyAlignment="1"/>
    <xf numFmtId="172" fontId="11" fillId="0" borderId="0" xfId="0" applyNumberFormat="1" applyFont="1"/>
    <xf numFmtId="172" fontId="11" fillId="0" borderId="0" xfId="0" applyNumberFormat="1" applyFont="1" applyAlignment="1">
      <alignment horizontal="right" vertical="center"/>
    </xf>
    <xf numFmtId="172" fontId="13" fillId="0" borderId="0" xfId="0" applyNumberFormat="1" applyFont="1" applyAlignment="1">
      <alignment horizontal="right" vertical="center"/>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172" fontId="22" fillId="6" borderId="1" xfId="3"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172" fontId="18" fillId="6" borderId="1" xfId="3" applyNumberFormat="1" applyFont="1" applyFill="1" applyBorder="1" applyAlignment="1">
      <alignment horizontal="center" vertical="center" wrapText="1"/>
    </xf>
    <xf numFmtId="0" fontId="4" fillId="0" borderId="0" xfId="0" applyFont="1" applyFill="1"/>
    <xf numFmtId="0" fontId="12" fillId="0" borderId="0" xfId="0" applyFont="1" applyFill="1" applyAlignment="1">
      <alignment horizontal="right"/>
    </xf>
    <xf numFmtId="0" fontId="29" fillId="0" borderId="0" xfId="0" applyFont="1" applyFill="1" applyBorder="1" applyAlignment="1"/>
    <xf numFmtId="0" fontId="13" fillId="2" borderId="0" xfId="0" applyFont="1" applyFill="1" applyBorder="1"/>
    <xf numFmtId="0" fontId="0" fillId="0" borderId="0" xfId="0" applyFont="1"/>
    <xf numFmtId="0" fontId="13" fillId="2" borderId="0" xfId="0" applyFont="1" applyFill="1" applyBorder="1" applyAlignment="1">
      <alignment vertical="top"/>
    </xf>
    <xf numFmtId="0" fontId="31" fillId="2" borderId="0" xfId="0" applyFont="1" applyFill="1" applyBorder="1"/>
    <xf numFmtId="0" fontId="0" fillId="0" borderId="0" xfId="0" applyFont="1" applyFill="1"/>
    <xf numFmtId="0" fontId="4" fillId="0" borderId="0" xfId="0" applyFont="1" applyFill="1" applyAlignment="1">
      <alignment vertical="center" wrapText="1"/>
    </xf>
    <xf numFmtId="0" fontId="0" fillId="0" borderId="0" xfId="0" applyFont="1" applyFill="1" applyAlignment="1">
      <alignment horizontal="center" vertical="center" wrapText="1"/>
    </xf>
    <xf numFmtId="0" fontId="32" fillId="2"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Alignment="1">
      <alignment horizontal="center"/>
    </xf>
    <xf numFmtId="4" fontId="13" fillId="0" borderId="2"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8" fillId="9" borderId="1" xfId="0" applyFont="1" applyFill="1" applyBorder="1" applyAlignment="1">
      <alignment vertical="center" wrapText="1"/>
    </xf>
    <xf numFmtId="49" fontId="18" fillId="9" borderId="1" xfId="0" applyNumberFormat="1" applyFont="1" applyFill="1" applyBorder="1" applyAlignment="1">
      <alignment horizontal="center" vertical="center" wrapText="1" shrinkToFit="1"/>
    </xf>
    <xf numFmtId="4" fontId="18" fillId="4" borderId="2" xfId="0" applyNumberFormat="1"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35" fillId="0" borderId="0" xfId="0" applyFont="1" applyFill="1"/>
    <xf numFmtId="0" fontId="13" fillId="5" borderId="1" xfId="0" applyFont="1" applyFill="1" applyBorder="1" applyAlignment="1">
      <alignment vertical="center" wrapText="1"/>
    </xf>
    <xf numFmtId="49" fontId="13" fillId="5" borderId="1" xfId="0" applyNumberFormat="1" applyFont="1" applyFill="1" applyBorder="1" applyAlignment="1">
      <alignment horizontal="center" vertical="center" wrapText="1" shrinkToFit="1"/>
    </xf>
    <xf numFmtId="171" fontId="13" fillId="5" borderId="2" xfId="0" applyNumberFormat="1" applyFont="1" applyFill="1" applyBorder="1" applyAlignment="1">
      <alignment horizontal="center" vertical="center" wrapText="1"/>
    </xf>
    <xf numFmtId="171" fontId="13" fillId="12" borderId="1" xfId="0" applyNumberFormat="1" applyFont="1" applyFill="1" applyBorder="1" applyAlignment="1">
      <alignment horizontal="center" vertical="center" wrapText="1"/>
    </xf>
    <xf numFmtId="0" fontId="0" fillId="7" borderId="0" xfId="0" applyFont="1" applyFill="1"/>
    <xf numFmtId="0" fontId="23" fillId="8" borderId="1" xfId="0" applyFont="1" applyFill="1" applyBorder="1" applyAlignment="1">
      <alignment vertical="center" wrapText="1"/>
    </xf>
    <xf numFmtId="171" fontId="6" fillId="8" borderId="2" xfId="0" applyNumberFormat="1" applyFont="1" applyFill="1" applyBorder="1" applyAlignment="1">
      <alignment horizontal="center" vertical="center" wrapText="1"/>
    </xf>
    <xf numFmtId="171" fontId="17" fillId="8" borderId="1" xfId="0" applyNumberFormat="1" applyFont="1" applyFill="1" applyBorder="1" applyAlignment="1">
      <alignment horizontal="center" vertical="center" wrapText="1"/>
    </xf>
    <xf numFmtId="0" fontId="17" fillId="0" borderId="0" xfId="0" applyFont="1"/>
    <xf numFmtId="171" fontId="6" fillId="0" borderId="2"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0" fontId="24" fillId="0" borderId="0" xfId="0" applyFont="1" applyFill="1"/>
    <xf numFmtId="172" fontId="8" fillId="0" borderId="2" xfId="0" applyNumberFormat="1" applyFont="1" applyFill="1" applyBorder="1" applyAlignment="1">
      <alignment horizontal="center" vertical="center" wrapText="1"/>
    </xf>
    <xf numFmtId="0" fontId="16" fillId="0" borderId="0" xfId="0" applyFont="1" applyFill="1" applyAlignment="1">
      <alignment vertical="center"/>
    </xf>
    <xf numFmtId="0" fontId="16" fillId="3" borderId="0" xfId="0" applyFont="1" applyFill="1" applyAlignment="1">
      <alignment vertical="center"/>
    </xf>
    <xf numFmtId="171" fontId="8" fillId="8" borderId="2" xfId="0" applyNumberFormat="1" applyFont="1" applyFill="1" applyBorder="1" applyAlignment="1">
      <alignment horizontal="center" vertical="center" wrapText="1"/>
    </xf>
    <xf numFmtId="171" fontId="6" fillId="8" borderId="1" xfId="0" applyNumberFormat="1" applyFont="1" applyFill="1" applyBorder="1" applyAlignment="1">
      <alignment horizontal="center" vertical="center" wrapText="1"/>
    </xf>
    <xf numFmtId="0" fontId="16" fillId="3" borderId="0" xfId="0" applyFont="1" applyFill="1"/>
    <xf numFmtId="171" fontId="8" fillId="0" borderId="2" xfId="0" applyNumberFormat="1" applyFont="1" applyFill="1" applyBorder="1" applyAlignment="1">
      <alignment horizontal="center" vertical="center" wrapText="1"/>
    </xf>
    <xf numFmtId="171" fontId="16" fillId="0" borderId="0" xfId="0" applyNumberFormat="1" applyFont="1" applyFill="1"/>
    <xf numFmtId="172" fontId="6" fillId="0" borderId="2" xfId="0" applyNumberFormat="1" applyFont="1" applyFill="1" applyBorder="1" applyAlignment="1">
      <alignment horizontal="center" vertical="center" wrapText="1"/>
    </xf>
    <xf numFmtId="172" fontId="11" fillId="0" borderId="2" xfId="0" applyNumberFormat="1" applyFont="1" applyFill="1" applyBorder="1" applyAlignment="1">
      <alignment horizontal="center" vertical="center" wrapText="1"/>
    </xf>
    <xf numFmtId="172" fontId="13" fillId="0" borderId="2" xfId="0" applyNumberFormat="1" applyFont="1" applyFill="1" applyBorder="1" applyAlignment="1">
      <alignment horizontal="center" vertical="center" wrapText="1"/>
    </xf>
    <xf numFmtId="2" fontId="13" fillId="0" borderId="0" xfId="0" applyNumberFormat="1" applyFont="1"/>
    <xf numFmtId="166" fontId="0" fillId="0" borderId="0" xfId="0" applyNumberFormat="1" applyFont="1" applyFill="1"/>
    <xf numFmtId="0" fontId="4" fillId="0" borderId="0" xfId="0" applyFont="1" applyFill="1" applyAlignment="1">
      <alignment vertical="justify"/>
    </xf>
    <xf numFmtId="49" fontId="0" fillId="0" borderId="0" xfId="0" applyNumberFormat="1" applyFont="1" applyFill="1"/>
    <xf numFmtId="2" fontId="0" fillId="0" borderId="0" xfId="0" applyNumberFormat="1" applyFont="1" applyFill="1"/>
    <xf numFmtId="168" fontId="0" fillId="0" borderId="0" xfId="0" applyNumberFormat="1" applyFont="1" applyFill="1"/>
    <xf numFmtId="168" fontId="13" fillId="0" borderId="1" xfId="0" applyNumberFormat="1" applyFont="1" applyFill="1" applyBorder="1" applyAlignment="1">
      <alignment horizontal="center" vertical="center" wrapText="1"/>
    </xf>
    <xf numFmtId="0" fontId="4" fillId="0" borderId="0" xfId="0" applyFont="1"/>
    <xf numFmtId="0" fontId="1" fillId="0" borderId="0" xfId="0" applyFont="1" applyFill="1" applyAlignment="1"/>
    <xf numFmtId="0" fontId="11" fillId="0" borderId="0" xfId="0" applyFont="1" applyBorder="1" applyAlignment="1">
      <alignment horizontal="center" vertical="center" wrapText="1"/>
    </xf>
    <xf numFmtId="0" fontId="28" fillId="0" borderId="0" xfId="0" applyFont="1" applyBorder="1" applyAlignment="1">
      <alignment horizontal="right"/>
    </xf>
    <xf numFmtId="0" fontId="13" fillId="0" borderId="1" xfId="0" applyFont="1" applyBorder="1" applyAlignment="1">
      <alignment horizontal="left" vertical="center" wrapText="1"/>
    </xf>
    <xf numFmtId="168" fontId="13"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168" fontId="11" fillId="0" borderId="1" xfId="0" applyNumberFormat="1" applyFont="1" applyBorder="1" applyAlignment="1">
      <alignment horizontal="center" vertical="center" wrapText="1"/>
    </xf>
    <xf numFmtId="4" fontId="13" fillId="0" borderId="0" xfId="0" applyNumberFormat="1" applyFont="1"/>
    <xf numFmtId="0" fontId="13" fillId="0" borderId="0" xfId="0" applyFont="1"/>
    <xf numFmtId="0" fontId="31" fillId="0" borderId="0" xfId="2" applyFont="1" applyFill="1" applyAlignment="1">
      <alignment vertical="center"/>
    </xf>
    <xf numFmtId="4" fontId="13" fillId="0" borderId="0" xfId="0" applyNumberFormat="1" applyFont="1" applyFill="1"/>
    <xf numFmtId="0" fontId="13" fillId="0" borderId="0" xfId="0" applyFont="1" applyFill="1"/>
    <xf numFmtId="172" fontId="13" fillId="0" borderId="0" xfId="0" applyNumberFormat="1" applyFont="1"/>
    <xf numFmtId="0" fontId="22" fillId="6" borderId="1" xfId="0" applyFont="1" applyFill="1" applyBorder="1" applyAlignment="1">
      <alignment horizontal="center" vertical="center" wrapText="1"/>
    </xf>
    <xf numFmtId="172" fontId="13" fillId="0" borderId="0" xfId="0" applyNumberFormat="1" applyFont="1" applyFill="1" applyAlignment="1">
      <alignment horizontal="right" vertical="center"/>
    </xf>
    <xf numFmtId="4" fontId="13" fillId="0" borderId="0" xfId="0" applyNumberFormat="1" applyFont="1" applyFill="1" applyAlignment="1">
      <alignment horizontal="center" vertical="center"/>
    </xf>
    <xf numFmtId="2" fontId="13" fillId="6" borderId="0" xfId="0" applyNumberFormat="1" applyFont="1" applyFill="1"/>
    <xf numFmtId="172" fontId="13" fillId="0" borderId="0" xfId="0" applyNumberFormat="1" applyFont="1" applyFill="1" applyAlignment="1">
      <alignment horizontal="left"/>
    </xf>
    <xf numFmtId="0" fontId="13" fillId="0" borderId="0" xfId="0" applyFont="1" applyFill="1" applyAlignment="1">
      <alignment horizontal="left"/>
    </xf>
    <xf numFmtId="168" fontId="13" fillId="0" borderId="0" xfId="0" applyNumberFormat="1" applyFont="1" applyFill="1"/>
    <xf numFmtId="0" fontId="11" fillId="0" borderId="0" xfId="0" applyFont="1"/>
    <xf numFmtId="0" fontId="9" fillId="0" borderId="0" xfId="2" applyFont="1" applyFill="1"/>
    <xf numFmtId="172" fontId="13" fillId="0" borderId="1" xfId="2" applyNumberFormat="1" applyFont="1" applyFill="1" applyBorder="1" applyAlignment="1">
      <alignment horizontal="center" vertical="center" wrapText="1"/>
    </xf>
    <xf numFmtId="172" fontId="9" fillId="0" borderId="0" xfId="2" applyNumberFormat="1" applyFont="1" applyFill="1"/>
    <xf numFmtId="168" fontId="9" fillId="0" borderId="0" xfId="2" applyNumberFormat="1" applyFont="1" applyFill="1"/>
    <xf numFmtId="0" fontId="4" fillId="6" borderId="0" xfId="0" applyFont="1" applyFill="1"/>
    <xf numFmtId="0" fontId="4" fillId="6" borderId="0" xfId="0" applyFont="1" applyFill="1" applyAlignment="1">
      <alignment vertical="center" wrapText="1"/>
    </xf>
    <xf numFmtId="0" fontId="4" fillId="6" borderId="0" xfId="0" applyFont="1" applyFill="1" applyAlignment="1">
      <alignment horizontal="center" vertical="center" wrapText="1"/>
    </xf>
    <xf numFmtId="0" fontId="13" fillId="6" borderId="0" xfId="0" applyFont="1" applyFill="1" applyAlignment="1">
      <alignment horizontal="right" vertical="center" wrapText="1"/>
    </xf>
    <xf numFmtId="0" fontId="4" fillId="6" borderId="0" xfId="0" applyFont="1" applyFill="1" applyAlignment="1">
      <alignment horizontal="center"/>
    </xf>
    <xf numFmtId="0" fontId="11" fillId="13" borderId="1" xfId="0" applyFont="1" applyFill="1" applyBorder="1" applyAlignment="1">
      <alignment vertical="center" wrapText="1"/>
    </xf>
    <xf numFmtId="49" fontId="11" fillId="13" borderId="1" xfId="0" applyNumberFormat="1" applyFont="1" applyFill="1" applyBorder="1" applyAlignment="1">
      <alignment horizontal="center" vertical="center" wrapText="1" shrinkToFit="1"/>
    </xf>
    <xf numFmtId="172" fontId="11" fillId="13" borderId="1" xfId="0" applyNumberFormat="1" applyFont="1" applyFill="1" applyBorder="1" applyAlignment="1">
      <alignment horizontal="center" vertical="center" wrapText="1"/>
    </xf>
    <xf numFmtId="0" fontId="4" fillId="13" borderId="0" xfId="0" applyFont="1" applyFill="1"/>
    <xf numFmtId="0" fontId="11" fillId="14" borderId="1" xfId="0" applyFont="1" applyFill="1" applyBorder="1" applyAlignment="1">
      <alignment vertical="center" wrapText="1"/>
    </xf>
    <xf numFmtId="49" fontId="11" fillId="14" borderId="1" xfId="0" applyNumberFormat="1" applyFont="1" applyFill="1" applyBorder="1" applyAlignment="1">
      <alignment horizontal="center" vertical="center" wrapText="1" shrinkToFit="1"/>
    </xf>
    <xf numFmtId="172" fontId="11" fillId="14" borderId="1" xfId="0" applyNumberFormat="1" applyFont="1" applyFill="1" applyBorder="1" applyAlignment="1">
      <alignment horizontal="center" vertical="center" wrapText="1"/>
    </xf>
    <xf numFmtId="172" fontId="4" fillId="14" borderId="0" xfId="0" applyNumberFormat="1" applyFont="1" applyFill="1"/>
    <xf numFmtId="0" fontId="4" fillId="14" borderId="0" xfId="0" applyFont="1" applyFill="1"/>
    <xf numFmtId="0" fontId="13" fillId="6" borderId="1" xfId="0" applyFont="1" applyFill="1" applyBorder="1" applyAlignment="1">
      <alignment vertical="center" wrapText="1"/>
    </xf>
    <xf numFmtId="49" fontId="13" fillId="6" borderId="1" xfId="0" applyNumberFormat="1" applyFont="1" applyFill="1" applyBorder="1" applyAlignment="1">
      <alignment horizontal="center" vertical="center" wrapText="1" shrinkToFit="1"/>
    </xf>
    <xf numFmtId="172" fontId="13" fillId="6" borderId="1" xfId="0" applyNumberFormat="1" applyFont="1" applyFill="1" applyBorder="1" applyAlignment="1">
      <alignment horizontal="center" vertical="center" wrapText="1"/>
    </xf>
    <xf numFmtId="0" fontId="18" fillId="6" borderId="1" xfId="0" applyFont="1" applyFill="1" applyBorder="1" applyAlignment="1">
      <alignment vertical="center" wrapText="1"/>
    </xf>
    <xf numFmtId="172" fontId="18" fillId="6" borderId="1" xfId="0" applyNumberFormat="1" applyFont="1" applyFill="1" applyBorder="1" applyAlignment="1">
      <alignment horizontal="center" vertical="center" wrapText="1"/>
    </xf>
    <xf numFmtId="0" fontId="36" fillId="6" borderId="0" xfId="0" applyFont="1" applyFill="1"/>
    <xf numFmtId="172" fontId="18" fillId="0" borderId="1" xfId="0" applyNumberFormat="1" applyFont="1" applyFill="1" applyBorder="1" applyAlignment="1">
      <alignment horizontal="center" vertical="center" wrapText="1"/>
    </xf>
    <xf numFmtId="172" fontId="4" fillId="6" borderId="0" xfId="0" applyNumberFormat="1" applyFont="1" applyFill="1"/>
    <xf numFmtId="49" fontId="13" fillId="0" borderId="1" xfId="0" applyNumberFormat="1" applyFont="1" applyFill="1" applyBorder="1" applyAlignment="1">
      <alignment horizontal="center" vertical="center" wrapText="1" shrinkToFit="1"/>
    </xf>
    <xf numFmtId="0" fontId="13" fillId="6" borderId="1" xfId="0" applyFont="1" applyFill="1" applyBorder="1" applyAlignment="1">
      <alignment horizontal="left" vertical="top" wrapText="1"/>
    </xf>
    <xf numFmtId="0" fontId="22" fillId="6" borderId="1" xfId="0" applyFont="1" applyFill="1" applyBorder="1" applyAlignment="1">
      <alignment vertical="top" wrapText="1"/>
    </xf>
    <xf numFmtId="49" fontId="22" fillId="6" borderId="1" xfId="0" applyNumberFormat="1" applyFont="1" applyFill="1" applyBorder="1" applyAlignment="1">
      <alignment horizontal="center" vertical="center" wrapText="1" shrinkToFit="1"/>
    </xf>
    <xf numFmtId="172" fontId="22" fillId="6" borderId="1" xfId="0" applyNumberFormat="1" applyFont="1" applyFill="1" applyBorder="1" applyAlignment="1">
      <alignment horizontal="center" vertical="center" wrapText="1"/>
    </xf>
    <xf numFmtId="0" fontId="13" fillId="6" borderId="1" xfId="0" applyFont="1" applyFill="1" applyBorder="1"/>
    <xf numFmtId="0" fontId="11" fillId="14" borderId="1" xfId="0" applyFont="1" applyFill="1" applyBorder="1" applyAlignment="1">
      <alignment vertical="top" wrapText="1"/>
    </xf>
    <xf numFmtId="49" fontId="13" fillId="6" borderId="1" xfId="0" applyNumberFormat="1" applyFont="1" applyFill="1" applyBorder="1" applyAlignment="1">
      <alignment vertical="top" wrapText="1"/>
    </xf>
    <xf numFmtId="49" fontId="13" fillId="6" borderId="1" xfId="0" applyNumberFormat="1" applyFont="1" applyFill="1" applyBorder="1" applyAlignment="1">
      <alignment horizontal="center" vertical="center"/>
    </xf>
    <xf numFmtId="0" fontId="13" fillId="6" borderId="1" xfId="0" applyFont="1" applyFill="1" applyBorder="1" applyAlignment="1">
      <alignment vertical="top" wrapText="1"/>
    </xf>
    <xf numFmtId="49" fontId="13" fillId="6" borderId="1" xfId="0" applyNumberFormat="1" applyFont="1" applyFill="1" applyBorder="1" applyAlignment="1">
      <alignment horizontal="center" vertical="center" wrapText="1"/>
    </xf>
    <xf numFmtId="172" fontId="37" fillId="6" borderId="0" xfId="0" applyNumberFormat="1" applyFont="1" applyFill="1"/>
    <xf numFmtId="0" fontId="37" fillId="6" borderId="0" xfId="0" applyFont="1" applyFill="1"/>
    <xf numFmtId="172" fontId="10" fillId="6" borderId="0" xfId="0" applyNumberFormat="1" applyFont="1" applyFill="1"/>
    <xf numFmtId="0" fontId="10" fillId="6" borderId="0" xfId="0" applyFont="1" applyFill="1"/>
    <xf numFmtId="172" fontId="13" fillId="7" borderId="1" xfId="0" applyNumberFormat="1" applyFont="1" applyFill="1" applyBorder="1" applyAlignment="1">
      <alignment horizontal="center" vertical="center" wrapText="1"/>
    </xf>
    <xf numFmtId="0" fontId="18" fillId="6" borderId="1" xfId="0" applyFont="1" applyFill="1" applyBorder="1" applyAlignment="1">
      <alignment vertical="top" wrapText="1"/>
    </xf>
    <xf numFmtId="0" fontId="11" fillId="6" borderId="1" xfId="0" applyFont="1" applyFill="1" applyBorder="1" applyAlignment="1">
      <alignment vertical="top" wrapText="1"/>
    </xf>
    <xf numFmtId="49" fontId="11" fillId="6" borderId="1" xfId="0" applyNumberFormat="1" applyFont="1" applyFill="1" applyBorder="1" applyAlignment="1">
      <alignment horizontal="center" vertical="center" wrapText="1" shrinkToFit="1"/>
    </xf>
    <xf numFmtId="172" fontId="11" fillId="6" borderId="1" xfId="0" applyNumberFormat="1" applyFont="1" applyFill="1" applyBorder="1" applyAlignment="1">
      <alignment horizontal="center" vertical="center" wrapText="1"/>
    </xf>
    <xf numFmtId="0" fontId="18" fillId="6" borderId="1" xfId="0" applyFont="1" applyFill="1" applyBorder="1" applyAlignment="1">
      <alignment horizontal="left" vertical="center" wrapText="1"/>
    </xf>
    <xf numFmtId="49" fontId="13" fillId="6" borderId="1" xfId="0" applyNumberFormat="1" applyFont="1" applyFill="1" applyBorder="1" applyAlignment="1">
      <alignment wrapText="1"/>
    </xf>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vertical="center" wrapText="1" shrinkToFit="1"/>
    </xf>
    <xf numFmtId="0" fontId="13" fillId="0" borderId="1" xfId="0" applyFont="1" applyFill="1" applyBorder="1" applyAlignment="1">
      <alignment vertical="center" wrapText="1"/>
    </xf>
    <xf numFmtId="0" fontId="13" fillId="0" borderId="1" xfId="0" applyFont="1" applyFill="1" applyBorder="1" applyAlignment="1">
      <alignment vertical="top" wrapText="1"/>
    </xf>
    <xf numFmtId="172" fontId="13" fillId="7" borderId="1" xfId="0" applyNumberFormat="1" applyFont="1" applyFill="1" applyBorder="1" applyAlignment="1">
      <alignment horizontal="center" vertical="top"/>
    </xf>
    <xf numFmtId="172" fontId="22" fillId="0" borderId="1" xfId="0" applyNumberFormat="1" applyFont="1" applyFill="1" applyBorder="1" applyAlignment="1">
      <alignment horizontal="center" vertical="center" wrapText="1"/>
    </xf>
    <xf numFmtId="0" fontId="18" fillId="0" borderId="1" xfId="0" applyFont="1" applyFill="1" applyBorder="1" applyAlignment="1">
      <alignment vertical="top" wrapText="1"/>
    </xf>
    <xf numFmtId="0" fontId="38" fillId="6" borderId="1" xfId="0" applyFont="1" applyFill="1" applyBorder="1" applyAlignment="1">
      <alignment vertical="center" wrapText="1"/>
    </xf>
    <xf numFmtId="0" fontId="39" fillId="6" borderId="0" xfId="0" applyFont="1" applyFill="1"/>
    <xf numFmtId="0" fontId="38" fillId="6" borderId="1" xfId="0" applyFont="1" applyFill="1" applyBorder="1" applyAlignment="1">
      <alignment vertical="top" wrapText="1"/>
    </xf>
    <xf numFmtId="0" fontId="18" fillId="0" borderId="1" xfId="0" applyFont="1" applyFill="1" applyBorder="1" applyAlignment="1">
      <alignment vertical="center" wrapText="1"/>
    </xf>
    <xf numFmtId="0" fontId="10" fillId="13" borderId="0" xfId="0" applyFont="1" applyFill="1"/>
    <xf numFmtId="0" fontId="8" fillId="0" borderId="1" xfId="0" applyFont="1" applyFill="1" applyBorder="1" applyAlignment="1">
      <alignment vertical="top" wrapText="1"/>
    </xf>
    <xf numFmtId="172" fontId="8" fillId="0" borderId="1" xfId="0" applyNumberFormat="1" applyFont="1" applyFill="1" applyBorder="1" applyAlignment="1">
      <alignment horizontal="center" vertical="center" wrapText="1" shrinkToFit="1"/>
    </xf>
    <xf numFmtId="172" fontId="6" fillId="6" borderId="1" xfId="0" applyNumberFormat="1" applyFont="1" applyFill="1" applyBorder="1" applyAlignment="1">
      <alignment horizontal="center" vertical="center" wrapText="1" shrinkToFit="1"/>
    </xf>
    <xf numFmtId="172" fontId="6" fillId="0" borderId="1" xfId="0" applyNumberFormat="1" applyFont="1" applyFill="1" applyBorder="1" applyAlignment="1">
      <alignment horizontal="center" vertical="center" wrapText="1" shrinkToFit="1"/>
    </xf>
    <xf numFmtId="0" fontId="36" fillId="14" borderId="0" xfId="0" applyFont="1" applyFill="1"/>
    <xf numFmtId="172" fontId="1" fillId="6" borderId="1" xfId="0" applyNumberFormat="1" applyFont="1" applyFill="1" applyBorder="1" applyAlignment="1">
      <alignment horizontal="center" vertical="center" wrapText="1"/>
    </xf>
    <xf numFmtId="172" fontId="36" fillId="6" borderId="0" xfId="0" applyNumberFormat="1" applyFont="1" applyFill="1"/>
    <xf numFmtId="49" fontId="18" fillId="6"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49" fontId="21" fillId="0" borderId="1" xfId="0" applyNumberFormat="1" applyFont="1" applyFill="1" applyBorder="1" applyAlignment="1">
      <alignment horizontal="center" vertical="center" wrapText="1" shrinkToFit="1"/>
    </xf>
    <xf numFmtId="0" fontId="18" fillId="7" borderId="1" xfId="0" applyFont="1" applyFill="1" applyBorder="1" applyAlignment="1">
      <alignment vertical="center" wrapText="1"/>
    </xf>
    <xf numFmtId="49" fontId="18" fillId="7" borderId="1" xfId="0" applyNumberFormat="1" applyFont="1" applyFill="1" applyBorder="1" applyAlignment="1">
      <alignment horizontal="center" vertical="center" wrapText="1" shrinkToFit="1"/>
    </xf>
    <xf numFmtId="172" fontId="18" fillId="7" borderId="1" xfId="0" applyNumberFormat="1" applyFont="1" applyFill="1" applyBorder="1" applyAlignment="1">
      <alignment horizontal="center" vertical="center" wrapText="1"/>
    </xf>
    <xf numFmtId="0" fontId="38" fillId="7" borderId="1" xfId="0" applyFont="1" applyFill="1" applyBorder="1" applyAlignment="1">
      <alignment vertical="center" wrapText="1"/>
    </xf>
    <xf numFmtId="49" fontId="13" fillId="7" borderId="1" xfId="0" applyNumberFormat="1" applyFont="1" applyFill="1" applyBorder="1" applyAlignment="1">
      <alignment horizontal="center" vertical="center" wrapText="1" shrinkToFit="1"/>
    </xf>
    <xf numFmtId="0" fontId="13" fillId="7" borderId="1" xfId="0" applyFont="1" applyFill="1" applyBorder="1" applyAlignment="1">
      <alignment vertical="top" wrapText="1"/>
    </xf>
    <xf numFmtId="0" fontId="38" fillId="0" borderId="1" xfId="0" applyFont="1" applyFill="1" applyBorder="1" applyAlignment="1">
      <alignment vertical="center" wrapText="1"/>
    </xf>
    <xf numFmtId="0" fontId="22" fillId="0" borderId="1" xfId="0" applyFont="1" applyFill="1" applyBorder="1" applyAlignment="1">
      <alignment vertical="center" wrapText="1"/>
    </xf>
    <xf numFmtId="49" fontId="22" fillId="0" borderId="1" xfId="0" applyNumberFormat="1" applyFont="1" applyFill="1" applyBorder="1" applyAlignment="1">
      <alignment horizontal="center" vertical="center" wrapText="1" shrinkToFit="1"/>
    </xf>
    <xf numFmtId="169" fontId="13" fillId="6" borderId="1" xfId="0" applyNumberFormat="1" applyFont="1" applyFill="1" applyBorder="1" applyAlignment="1">
      <alignment horizontal="center" vertical="center" wrapText="1" shrinkToFit="1"/>
    </xf>
    <xf numFmtId="0" fontId="1" fillId="6" borderId="1" xfId="0" applyFont="1" applyFill="1" applyBorder="1" applyAlignment="1">
      <alignment vertical="center" wrapText="1"/>
    </xf>
    <xf numFmtId="0" fontId="40" fillId="6" borderId="1" xfId="0" applyFont="1" applyFill="1" applyBorder="1" applyAlignment="1">
      <alignment vertical="center" wrapText="1"/>
    </xf>
    <xf numFmtId="172" fontId="7" fillId="6" borderId="1" xfId="0" applyNumberFormat="1" applyFont="1" applyFill="1" applyBorder="1" applyAlignment="1">
      <alignment horizontal="center" vertical="center" wrapText="1"/>
    </xf>
    <xf numFmtId="172" fontId="7" fillId="0" borderId="1" xfId="0" applyNumberFormat="1" applyFont="1" applyFill="1" applyBorder="1" applyAlignment="1">
      <alignment horizontal="center" vertical="center" wrapText="1"/>
    </xf>
    <xf numFmtId="0" fontId="41" fillId="6" borderId="1" xfId="0" applyFont="1" applyFill="1" applyBorder="1" applyAlignment="1">
      <alignment vertical="center" wrapText="1"/>
    </xf>
    <xf numFmtId="172" fontId="11" fillId="14" borderId="1" xfId="0" applyNumberFormat="1" applyFont="1" applyFill="1" applyBorder="1" applyAlignment="1">
      <alignment horizontal="center" vertical="center"/>
    </xf>
    <xf numFmtId="0" fontId="4" fillId="6" borderId="0" xfId="0" applyFont="1" applyFill="1" applyAlignment="1">
      <alignment vertical="justify"/>
    </xf>
    <xf numFmtId="49" fontId="4" fillId="6" borderId="0" xfId="0" applyNumberFormat="1" applyFont="1" applyFill="1"/>
    <xf numFmtId="49" fontId="42" fillId="6" borderId="0" xfId="0" applyNumberFormat="1" applyFont="1" applyFill="1"/>
    <xf numFmtId="49" fontId="42" fillId="0" borderId="0" xfId="0" applyNumberFormat="1" applyFont="1" applyFill="1"/>
    <xf numFmtId="49" fontId="4" fillId="0" borderId="0" xfId="0" applyNumberFormat="1" applyFont="1" applyFill="1"/>
    <xf numFmtId="0" fontId="42" fillId="0" borderId="0" xfId="0" applyFont="1" applyFill="1" applyAlignment="1">
      <alignment horizontal="left"/>
    </xf>
    <xf numFmtId="0" fontId="4" fillId="0" borderId="0" xfId="0" applyFont="1" applyFill="1" applyAlignment="1">
      <alignment horizontal="center"/>
    </xf>
    <xf numFmtId="0" fontId="42" fillId="2" borderId="0" xfId="0" applyFont="1" applyFill="1"/>
    <xf numFmtId="172" fontId="17" fillId="6" borderId="0" xfId="0" applyNumberFormat="1" applyFont="1" applyFill="1" applyAlignment="1">
      <alignment horizontal="center" vertical="center"/>
    </xf>
    <xf numFmtId="0" fontId="22" fillId="2" borderId="0" xfId="0" applyFont="1" applyFill="1"/>
    <xf numFmtId="172" fontId="43" fillId="0" borderId="0" xfId="0" applyNumberFormat="1" applyFont="1" applyFill="1"/>
    <xf numFmtId="172" fontId="17" fillId="6" borderId="0" xfId="0" applyNumberFormat="1" applyFont="1" applyFill="1" applyAlignment="1">
      <alignment horizontal="center"/>
    </xf>
    <xf numFmtId="2" fontId="4" fillId="6" borderId="0" xfId="0" applyNumberFormat="1" applyFont="1" applyFill="1"/>
    <xf numFmtId="0" fontId="12" fillId="0" borderId="1" xfId="0" applyFont="1" applyBorder="1" applyAlignment="1">
      <alignment vertical="distributed"/>
    </xf>
    <xf numFmtId="168" fontId="6" fillId="6" borderId="0" xfId="0" applyNumberFormat="1" applyFont="1" applyFill="1"/>
    <xf numFmtId="169" fontId="8" fillId="6" borderId="0" xfId="0" applyNumberFormat="1" applyFont="1" applyFill="1" applyAlignment="1">
      <alignment horizontal="left"/>
    </xf>
    <xf numFmtId="0" fontId="21" fillId="6" borderId="0" xfId="0" applyFont="1" applyFill="1"/>
    <xf numFmtId="172" fontId="16" fillId="9" borderId="0" xfId="0" applyNumberFormat="1" applyFont="1" applyFill="1"/>
    <xf numFmtId="172" fontId="8" fillId="0" borderId="1" xfId="0" applyNumberFormat="1" applyFont="1" applyFill="1" applyBorder="1" applyAlignment="1">
      <alignment horizontal="center" vertical="center"/>
    </xf>
    <xf numFmtId="0" fontId="20" fillId="6" borderId="0" xfId="0" applyFont="1" applyFill="1" applyAlignment="1"/>
    <xf numFmtId="0" fontId="7" fillId="6" borderId="0" xfId="0" applyFont="1" applyFill="1" applyAlignment="1"/>
    <xf numFmtId="0" fontId="5" fillId="13" borderId="1" xfId="0" applyFont="1" applyFill="1" applyBorder="1" applyAlignment="1">
      <alignment horizontal="left" vertical="center" wrapText="1"/>
    </xf>
    <xf numFmtId="49" fontId="5" fillId="13" borderId="1" xfId="0" applyNumberFormat="1" applyFont="1" applyFill="1" applyBorder="1" applyAlignment="1">
      <alignment horizontal="center" vertical="center" wrapText="1"/>
    </xf>
    <xf numFmtId="172" fontId="8" fillId="13" borderId="1" xfId="0" applyNumberFormat="1" applyFont="1" applyFill="1" applyBorder="1" applyAlignment="1">
      <alignment horizontal="center" vertical="center" wrapText="1"/>
    </xf>
    <xf numFmtId="0" fontId="5" fillId="14" borderId="1" xfId="0" applyFont="1" applyFill="1" applyBorder="1" applyAlignment="1">
      <alignment horizontal="left" vertical="center" wrapText="1"/>
    </xf>
    <xf numFmtId="49" fontId="5" fillId="14" borderId="1" xfId="0" applyNumberFormat="1" applyFont="1" applyFill="1" applyBorder="1" applyAlignment="1">
      <alignment horizontal="center" vertical="center" wrapText="1"/>
    </xf>
    <xf numFmtId="172" fontId="8" fillId="14" borderId="1"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14" borderId="1" xfId="0" applyFont="1" applyFill="1" applyBorder="1" applyAlignment="1">
      <alignment vertical="center" wrapText="1"/>
    </xf>
    <xf numFmtId="49" fontId="6" fillId="14" borderId="1" xfId="0" applyNumberFormat="1" applyFont="1" applyFill="1" applyBorder="1" applyAlignment="1">
      <alignment horizontal="center" vertical="center" wrapText="1"/>
    </xf>
    <xf numFmtId="49" fontId="6" fillId="14" borderId="1" xfId="0" applyNumberFormat="1" applyFont="1" applyFill="1" applyBorder="1" applyAlignment="1">
      <alignment horizontal="center" vertical="center" wrapText="1" shrinkToFit="1"/>
    </xf>
    <xf numFmtId="172" fontId="6" fillId="14" borderId="1" xfId="0" applyNumberFormat="1" applyFont="1" applyFill="1" applyBorder="1" applyAlignment="1">
      <alignment horizontal="center" vertical="center" wrapText="1"/>
    </xf>
    <xf numFmtId="0" fontId="6" fillId="14" borderId="1" xfId="0" applyFont="1" applyFill="1" applyBorder="1" applyAlignment="1">
      <alignment horizontal="left" vertical="top" wrapText="1"/>
    </xf>
    <xf numFmtId="0" fontId="6" fillId="14" borderId="1"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center" vertical="center"/>
    </xf>
    <xf numFmtId="0" fontId="21" fillId="6" borderId="1" xfId="0" applyFont="1" applyFill="1" applyBorder="1" applyAlignment="1">
      <alignment vertical="top" wrapText="1"/>
    </xf>
    <xf numFmtId="0" fontId="23" fillId="6" borderId="1" xfId="0" applyFont="1" applyFill="1" applyBorder="1" applyAlignment="1">
      <alignment vertical="top" wrapText="1"/>
    </xf>
    <xf numFmtId="0" fontId="21" fillId="6" borderId="1" xfId="0" applyFont="1" applyFill="1" applyBorder="1" applyAlignment="1">
      <alignment horizontal="left" vertical="center" wrapText="1"/>
    </xf>
    <xf numFmtId="49" fontId="6" fillId="6" borderId="1" xfId="0" applyNumberFormat="1" applyFont="1" applyFill="1" applyBorder="1" applyAlignment="1">
      <alignment wrapText="1"/>
    </xf>
    <xf numFmtId="0" fontId="21" fillId="6" borderId="1" xfId="0" applyFont="1" applyFill="1" applyBorder="1" applyAlignment="1">
      <alignment horizontal="left" vertical="top" wrapText="1"/>
    </xf>
    <xf numFmtId="172" fontId="6" fillId="7" borderId="0" xfId="0" applyNumberFormat="1" applyFont="1" applyFill="1" applyBorder="1" applyAlignment="1">
      <alignment horizontal="center" vertical="top"/>
    </xf>
    <xf numFmtId="0" fontId="21" fillId="0" borderId="1" xfId="0" applyFont="1" applyFill="1" applyBorder="1" applyAlignment="1">
      <alignment vertical="top" wrapText="1"/>
    </xf>
    <xf numFmtId="0" fontId="40" fillId="6" borderId="1" xfId="0" applyFont="1" applyFill="1" applyBorder="1" applyAlignment="1">
      <alignment vertical="top" wrapText="1"/>
    </xf>
    <xf numFmtId="0" fontId="8" fillId="14" borderId="1" xfId="0" applyFont="1" applyFill="1" applyBorder="1" applyAlignment="1">
      <alignment vertical="center" wrapText="1"/>
    </xf>
    <xf numFmtId="49" fontId="8" fillId="14" borderId="1" xfId="0" applyNumberFormat="1" applyFont="1" applyFill="1" applyBorder="1" applyAlignment="1">
      <alignment horizontal="center" vertical="center" wrapText="1" shrinkToFit="1"/>
    </xf>
    <xf numFmtId="49" fontId="7" fillId="6" borderId="1" xfId="0" applyNumberFormat="1" applyFont="1" applyFill="1" applyBorder="1" applyAlignment="1">
      <alignment horizontal="center" vertical="center" wrapText="1"/>
    </xf>
    <xf numFmtId="0" fontId="8" fillId="14" borderId="1" xfId="0" applyFont="1" applyFill="1" applyBorder="1" applyAlignment="1">
      <alignment horizontal="left" vertical="center" wrapText="1"/>
    </xf>
    <xf numFmtId="0" fontId="6" fillId="7" borderId="1" xfId="0" applyFont="1" applyFill="1" applyBorder="1" applyAlignment="1">
      <alignment vertical="top" wrapText="1"/>
    </xf>
    <xf numFmtId="0" fontId="7" fillId="6" borderId="1" xfId="0" applyFont="1" applyFill="1" applyBorder="1" applyAlignment="1">
      <alignment vertical="center" wrapText="1"/>
    </xf>
    <xf numFmtId="49" fontId="7" fillId="6" borderId="1" xfId="0" applyNumberFormat="1" applyFont="1" applyFill="1" applyBorder="1" applyAlignment="1">
      <alignment horizontal="center" vertical="center" wrapText="1" shrinkToFit="1"/>
    </xf>
    <xf numFmtId="0" fontId="7" fillId="6" borderId="1" xfId="0" applyFont="1" applyFill="1" applyBorder="1" applyAlignment="1">
      <alignment vertical="top" wrapText="1"/>
    </xf>
    <xf numFmtId="49" fontId="8" fillId="14"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44" fillId="6" borderId="1" xfId="0" applyFont="1" applyFill="1" applyBorder="1" applyAlignment="1">
      <alignment vertical="center" wrapText="1"/>
    </xf>
    <xf numFmtId="0" fontId="45"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46" fillId="6" borderId="1" xfId="0" applyFont="1" applyFill="1" applyBorder="1" applyAlignment="1">
      <alignment horizontal="left" vertical="center" wrapText="1"/>
    </xf>
    <xf numFmtId="172" fontId="7" fillId="7" borderId="1" xfId="0" applyNumberFormat="1" applyFont="1" applyFill="1" applyBorder="1" applyAlignment="1">
      <alignment horizontal="center" vertical="center" wrapText="1"/>
    </xf>
    <xf numFmtId="172" fontId="5" fillId="14" borderId="1" xfId="0" applyNumberFormat="1" applyFont="1" applyFill="1" applyBorder="1" applyAlignment="1">
      <alignment horizontal="center" vertical="center" wrapText="1"/>
    </xf>
    <xf numFmtId="0" fontId="6" fillId="14" borderId="1" xfId="0" applyFont="1" applyFill="1" applyBorder="1" applyAlignment="1">
      <alignment horizontal="left" vertical="center" wrapText="1"/>
    </xf>
    <xf numFmtId="169" fontId="21" fillId="6" borderId="1" xfId="0" applyNumberFormat="1" applyFont="1" applyFill="1" applyBorder="1" applyAlignment="1">
      <alignment horizontal="center" vertical="center" wrapText="1" shrinkToFit="1"/>
    </xf>
    <xf numFmtId="169" fontId="6" fillId="6" borderId="1" xfId="0" applyNumberFormat="1" applyFont="1" applyFill="1" applyBorder="1" applyAlignment="1">
      <alignment horizontal="center" vertical="center" wrapText="1" shrinkToFit="1"/>
    </xf>
    <xf numFmtId="172" fontId="23" fillId="6" borderId="0" xfId="0" applyNumberFormat="1" applyFont="1" applyFill="1" applyBorder="1" applyAlignment="1">
      <alignment horizontal="center" vertical="center" wrapText="1"/>
    </xf>
    <xf numFmtId="0" fontId="23" fillId="6" borderId="1" xfId="0" applyFont="1" applyFill="1" applyBorder="1" applyAlignment="1">
      <alignment horizontal="left" vertical="top" wrapText="1"/>
    </xf>
    <xf numFmtId="172" fontId="21" fillId="0" borderId="1" xfId="0" applyNumberFormat="1" applyFont="1" applyFill="1" applyBorder="1" applyAlignment="1">
      <alignment horizontal="center" vertical="center"/>
    </xf>
    <xf numFmtId="49" fontId="47" fillId="6" borderId="1" xfId="0" applyNumberFormat="1" applyFont="1" applyFill="1" applyBorder="1" applyAlignment="1">
      <alignment horizontal="center" vertical="center" wrapText="1"/>
    </xf>
    <xf numFmtId="172" fontId="47" fillId="6" borderId="1" xfId="0" applyNumberFormat="1" applyFont="1" applyFill="1" applyBorder="1" applyAlignment="1">
      <alignment horizontal="center" vertical="center" wrapText="1"/>
    </xf>
    <xf numFmtId="172" fontId="5" fillId="13" borderId="1" xfId="0" applyNumberFormat="1" applyFont="1" applyFill="1" applyBorder="1" applyAlignment="1">
      <alignment horizontal="center" vertical="center" wrapText="1"/>
    </xf>
    <xf numFmtId="172" fontId="5" fillId="15" borderId="1" xfId="0" applyNumberFormat="1"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6" fillId="6" borderId="1" xfId="0" applyFont="1" applyFill="1" applyBorder="1"/>
    <xf numFmtId="49" fontId="7" fillId="0" borderId="1" xfId="0" applyNumberFormat="1" applyFont="1" applyFill="1" applyBorder="1" applyAlignment="1">
      <alignment horizontal="center" vertical="center" wrapText="1"/>
    </xf>
    <xf numFmtId="0" fontId="23" fillId="14" borderId="1" xfId="0" applyFont="1" applyFill="1" applyBorder="1" applyAlignment="1">
      <alignment vertical="center" wrapText="1"/>
    </xf>
    <xf numFmtId="49" fontId="23" fillId="14" borderId="1" xfId="0" applyNumberFormat="1" applyFont="1" applyFill="1" applyBorder="1" applyAlignment="1">
      <alignment horizontal="center" vertical="center" wrapText="1"/>
    </xf>
    <xf numFmtId="49" fontId="23" fillId="14" borderId="1" xfId="0" applyNumberFormat="1" applyFont="1" applyFill="1" applyBorder="1" applyAlignment="1">
      <alignment horizontal="center" vertical="center" wrapText="1" shrinkToFit="1"/>
    </xf>
    <xf numFmtId="172" fontId="23" fillId="14" borderId="1" xfId="0" applyNumberFormat="1" applyFont="1" applyFill="1" applyBorder="1" applyAlignment="1">
      <alignment horizontal="center" vertical="center" wrapText="1"/>
    </xf>
    <xf numFmtId="49" fontId="7" fillId="14" borderId="1" xfId="0" applyNumberFormat="1" applyFont="1" applyFill="1" applyBorder="1" applyAlignment="1">
      <alignment horizontal="center" vertical="center" wrapText="1"/>
    </xf>
    <xf numFmtId="0" fontId="21" fillId="14" borderId="1" xfId="0" applyFont="1" applyFill="1" applyBorder="1" applyAlignment="1">
      <alignment vertical="center" wrapText="1"/>
    </xf>
    <xf numFmtId="49" fontId="21" fillId="14" borderId="1" xfId="0" applyNumberFormat="1" applyFont="1" applyFill="1" applyBorder="1" applyAlignment="1">
      <alignment horizontal="center" vertical="center" wrapText="1" shrinkToFit="1"/>
    </xf>
    <xf numFmtId="172" fontId="21" fillId="14" borderId="1" xfId="0" applyNumberFormat="1" applyFont="1" applyFill="1" applyBorder="1" applyAlignment="1">
      <alignment horizontal="center" vertical="center" wrapText="1"/>
    </xf>
    <xf numFmtId="0" fontId="13" fillId="14" borderId="1" xfId="0" applyFont="1" applyFill="1" applyBorder="1" applyAlignment="1">
      <alignment vertical="center" wrapText="1"/>
    </xf>
    <xf numFmtId="49" fontId="21" fillId="6" borderId="1" xfId="0" applyNumberFormat="1" applyFont="1" applyFill="1" applyBorder="1" applyAlignment="1">
      <alignment horizontal="center" vertical="top" wrapText="1"/>
    </xf>
    <xf numFmtId="49" fontId="45" fillId="6"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49" fontId="5" fillId="6" borderId="1" xfId="0" applyNumberFormat="1" applyFont="1" applyFill="1" applyBorder="1" applyAlignment="1">
      <alignment horizontal="center" vertical="center" wrapText="1"/>
    </xf>
    <xf numFmtId="172" fontId="5" fillId="6"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172" fontId="4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8" fillId="9" borderId="1" xfId="0" applyFont="1" applyFill="1" applyBorder="1" applyAlignment="1">
      <alignment vertical="center" wrapText="1"/>
    </xf>
    <xf numFmtId="49" fontId="8"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shrinkToFit="1"/>
    </xf>
    <xf numFmtId="49" fontId="47" fillId="14" borderId="1" xfId="0" applyNumberFormat="1" applyFont="1" applyFill="1" applyBorder="1" applyAlignment="1">
      <alignment horizontal="center" vertical="center" wrapText="1"/>
    </xf>
    <xf numFmtId="0" fontId="8" fillId="14" borderId="1" xfId="0" applyFont="1" applyFill="1" applyBorder="1" applyAlignment="1">
      <alignment vertical="top" wrapText="1"/>
    </xf>
    <xf numFmtId="172" fontId="8" fillId="14" borderId="1" xfId="0" applyNumberFormat="1" applyFont="1" applyFill="1" applyBorder="1" applyAlignment="1">
      <alignment horizontal="center" vertical="top"/>
    </xf>
    <xf numFmtId="0" fontId="8" fillId="6" borderId="1" xfId="0" applyFont="1" applyFill="1" applyBorder="1" applyAlignment="1">
      <alignment horizontal="left"/>
    </xf>
    <xf numFmtId="49" fontId="8" fillId="6" borderId="1" xfId="0" applyNumberFormat="1" applyFont="1" applyFill="1" applyBorder="1"/>
    <xf numFmtId="172" fontId="37" fillId="0" borderId="0" xfId="0" applyNumberFormat="1" applyFont="1" applyFill="1"/>
    <xf numFmtId="173" fontId="17" fillId="6" borderId="0" xfId="0" applyNumberFormat="1" applyFont="1" applyFill="1"/>
    <xf numFmtId="49" fontId="6" fillId="16" borderId="1" xfId="0" applyNumberFormat="1" applyFont="1" applyFill="1" applyBorder="1" applyAlignment="1">
      <alignment horizontal="center" vertical="center" wrapText="1"/>
    </xf>
    <xf numFmtId="49" fontId="6" fillId="16" borderId="1" xfId="0" applyNumberFormat="1" applyFont="1" applyFill="1" applyBorder="1" applyAlignment="1">
      <alignment horizontal="center" vertical="center" wrapText="1" shrinkToFit="1"/>
    </xf>
    <xf numFmtId="172" fontId="6" fillId="16" borderId="1" xfId="0" applyNumberFormat="1" applyFont="1" applyFill="1" applyBorder="1" applyAlignment="1">
      <alignment horizontal="center" vertical="center" wrapText="1"/>
    </xf>
    <xf numFmtId="0" fontId="6" fillId="16" borderId="1" xfId="0" applyFont="1" applyFill="1" applyBorder="1" applyAlignment="1">
      <alignment vertical="top" wrapText="1"/>
    </xf>
    <xf numFmtId="0" fontId="11" fillId="6" borderId="1" xfId="0"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6" borderId="1" xfId="0" applyFont="1" applyFill="1" applyBorder="1"/>
    <xf numFmtId="172" fontId="10" fillId="13" borderId="0" xfId="0" applyNumberFormat="1" applyFont="1" applyFill="1"/>
    <xf numFmtId="0" fontId="13" fillId="0" borderId="1" xfId="0" applyFont="1" applyBorder="1" applyAlignment="1">
      <alignment horizontal="left" vertical="center" wrapText="1"/>
    </xf>
    <xf numFmtId="172" fontId="6" fillId="7" borderId="1" xfId="0" applyNumberFormat="1" applyFont="1" applyFill="1" applyBorder="1" applyAlignment="1">
      <alignment horizontal="center" vertical="center"/>
    </xf>
    <xf numFmtId="174" fontId="4" fillId="6" borderId="0" xfId="0" applyNumberFormat="1" applyFont="1" applyFill="1"/>
    <xf numFmtId="172" fontId="21" fillId="6" borderId="0" xfId="0" applyNumberFormat="1" applyFont="1" applyFill="1"/>
    <xf numFmtId="0" fontId="0" fillId="0" borderId="0" xfId="2" applyFont="1" applyFill="1"/>
    <xf numFmtId="172" fontId="48" fillId="0" borderId="0" xfId="0" applyNumberFormat="1" applyFont="1" applyFill="1" applyAlignment="1">
      <alignment horizontal="center" vertical="center"/>
    </xf>
    <xf numFmtId="0" fontId="8" fillId="9" borderId="11" xfId="0" applyFont="1" applyFill="1" applyBorder="1" applyAlignment="1">
      <alignment vertical="top" wrapText="1"/>
    </xf>
    <xf numFmtId="0" fontId="8" fillId="9" borderId="11" xfId="0" applyFont="1" applyFill="1" applyBorder="1" applyAlignment="1">
      <alignment horizontal="center" vertical="top" wrapText="1"/>
    </xf>
    <xf numFmtId="168" fontId="17" fillId="6" borderId="0" xfId="0" applyNumberFormat="1" applyFont="1" applyFill="1"/>
    <xf numFmtId="172" fontId="11"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distributed" wrapText="1"/>
    </xf>
    <xf numFmtId="49" fontId="12" fillId="0" borderId="1" xfId="0" applyNumberFormat="1" applyFont="1" applyBorder="1" applyAlignment="1">
      <alignment vertical="distributed"/>
    </xf>
    <xf numFmtId="0" fontId="11" fillId="14" borderId="1" xfId="0" applyFont="1" applyFill="1" applyBorder="1" applyAlignment="1">
      <alignment horizontal="left" vertical="top" wrapText="1"/>
    </xf>
    <xf numFmtId="169" fontId="6" fillId="0" borderId="1" xfId="0" applyNumberFormat="1" applyFont="1" applyFill="1" applyBorder="1" applyAlignment="1">
      <alignment horizontal="center" vertical="center" wrapText="1"/>
    </xf>
    <xf numFmtId="172" fontId="1" fillId="0" borderId="1" xfId="0" applyNumberFormat="1" applyFont="1" applyFill="1" applyBorder="1" applyAlignment="1">
      <alignment horizontal="center" vertical="center" wrapText="1"/>
    </xf>
    <xf numFmtId="49" fontId="23" fillId="8" borderId="1" xfId="0" applyNumberFormat="1" applyFont="1" applyFill="1" applyBorder="1" applyAlignment="1">
      <alignment horizontal="center" vertical="center" wrapText="1"/>
    </xf>
    <xf numFmtId="49" fontId="23" fillId="8" borderId="1" xfId="0" applyNumberFormat="1" applyFont="1" applyFill="1" applyBorder="1" applyAlignment="1">
      <alignment horizontal="center" vertical="center" wrapText="1" shrinkToFit="1"/>
    </xf>
    <xf numFmtId="172" fontId="23" fillId="8" borderId="1" xfId="0" applyNumberFormat="1" applyFont="1" applyFill="1" applyBorder="1" applyAlignment="1">
      <alignment horizontal="center" vertical="center"/>
    </xf>
    <xf numFmtId="0" fontId="1" fillId="0" borderId="0" xfId="2" applyFont="1" applyFill="1" applyAlignment="1">
      <alignment horizontal="right"/>
    </xf>
    <xf numFmtId="0" fontId="3" fillId="0" borderId="0" xfId="2" applyFont="1" applyFill="1" applyBorder="1" applyAlignment="1">
      <alignment horizontal="center" vertical="justify" wrapText="1"/>
    </xf>
    <xf numFmtId="0" fontId="11" fillId="0" borderId="1" xfId="2" applyFont="1" applyFill="1" applyBorder="1" applyAlignment="1">
      <alignment horizontal="center" vertical="center" wrapText="1"/>
    </xf>
    <xf numFmtId="0" fontId="13" fillId="0" borderId="0" xfId="0" applyFont="1" applyAlignment="1">
      <alignment horizontal="right"/>
    </xf>
    <xf numFmtId="0" fontId="11" fillId="6" borderId="1" xfId="0" applyFont="1" applyFill="1" applyBorder="1" applyAlignment="1">
      <alignment horizontal="center" vertical="center" wrapText="1"/>
    </xf>
    <xf numFmtId="0" fontId="13" fillId="0" borderId="0" xfId="0" applyFont="1" applyFill="1" applyAlignment="1">
      <alignment horizontal="right"/>
    </xf>
    <xf numFmtId="0" fontId="11" fillId="0" borderId="1" xfId="0" applyFont="1" applyFill="1" applyBorder="1" applyAlignment="1">
      <alignment horizontal="center" vertical="center" wrapText="1"/>
    </xf>
    <xf numFmtId="172" fontId="47" fillId="14" borderId="1" xfId="0" applyNumberFormat="1" applyFont="1" applyFill="1" applyBorder="1" applyAlignment="1">
      <alignment horizontal="center" vertical="center" wrapText="1"/>
    </xf>
    <xf numFmtId="0" fontId="13" fillId="0" borderId="2" xfId="0" applyFont="1" applyFill="1" applyBorder="1" applyAlignment="1">
      <alignment horizontal="center" vertical="top" wrapText="1"/>
    </xf>
    <xf numFmtId="0" fontId="6" fillId="6" borderId="1" xfId="0" applyNumberFormat="1" applyFont="1" applyFill="1" applyBorder="1" applyAlignment="1">
      <alignment vertical="center" wrapText="1"/>
    </xf>
    <xf numFmtId="0" fontId="5" fillId="6" borderId="0" xfId="0" applyFont="1" applyFill="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4" fontId="6" fillId="6" borderId="0" xfId="0" applyNumberFormat="1" applyFont="1" applyFill="1"/>
    <xf numFmtId="4" fontId="17" fillId="6" borderId="0" xfId="0" applyNumberFormat="1" applyFont="1" applyFill="1"/>
    <xf numFmtId="0" fontId="18" fillId="0" borderId="1" xfId="0" applyNumberFormat="1" applyFont="1" applyFill="1" applyBorder="1" applyAlignment="1">
      <alignment vertical="center" wrapText="1"/>
    </xf>
    <xf numFmtId="172" fontId="6" fillId="6" borderId="2" xfId="0" applyNumberFormat="1" applyFont="1" applyFill="1" applyBorder="1" applyAlignment="1">
      <alignment horizontal="center" vertical="center" wrapText="1"/>
    </xf>
    <xf numFmtId="2" fontId="8" fillId="6" borderId="0" xfId="0" applyNumberFormat="1" applyFont="1" applyFill="1"/>
    <xf numFmtId="0" fontId="13"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0" fillId="6" borderId="0" xfId="0" applyFont="1" applyFill="1" applyAlignment="1">
      <alignment horizontal="right"/>
    </xf>
    <xf numFmtId="172" fontId="13" fillId="0" borderId="1" xfId="0" applyNumberFormat="1" applyFont="1" applyFill="1" applyBorder="1" applyAlignment="1">
      <alignment horizontal="center" vertical="center" wrapText="1"/>
    </xf>
    <xf numFmtId="172" fontId="12" fillId="0" borderId="1" xfId="0" applyNumberFormat="1" applyFont="1" applyFill="1" applyBorder="1" applyAlignment="1">
      <alignment horizontal="center" vertical="center"/>
    </xf>
    <xf numFmtId="172" fontId="13" fillId="0" borderId="1" xfId="0" applyNumberFormat="1" applyFont="1" applyFill="1" applyBorder="1" applyAlignment="1">
      <alignment horizontal="center" vertical="center" wrapText="1"/>
    </xf>
    <xf numFmtId="172" fontId="13" fillId="7" borderId="0" xfId="0" applyNumberFormat="1" applyFont="1" applyFill="1" applyBorder="1" applyAlignment="1">
      <alignment horizontal="center" vertical="center"/>
    </xf>
    <xf numFmtId="49" fontId="13" fillId="14" borderId="6" xfId="0" applyNumberFormat="1" applyFont="1" applyFill="1" applyBorder="1" applyAlignment="1">
      <alignment horizontal="center" vertical="center" wrapText="1" shrinkToFit="1"/>
    </xf>
    <xf numFmtId="49" fontId="6" fillId="14" borderId="6" xfId="0" applyNumberFormat="1" applyFont="1" applyFill="1" applyBorder="1" applyAlignment="1">
      <alignment horizontal="center" vertical="center" wrapText="1" shrinkToFit="1"/>
    </xf>
    <xf numFmtId="172" fontId="6" fillId="14" borderId="6" xfId="0" applyNumberFormat="1" applyFont="1" applyFill="1" applyBorder="1" applyAlignment="1">
      <alignment horizontal="center" vertical="center" wrapText="1"/>
    </xf>
    <xf numFmtId="49" fontId="11" fillId="14" borderId="0" xfId="0" applyNumberFormat="1" applyFont="1" applyFill="1" applyAlignment="1">
      <alignment vertical="distributed" shrinkToFit="1"/>
    </xf>
    <xf numFmtId="0" fontId="13" fillId="0" borderId="1" xfId="0"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49" fontId="6" fillId="0" borderId="0" xfId="0" applyNumberFormat="1" applyFont="1" applyFill="1" applyAlignment="1">
      <alignment vertical="distributed"/>
    </xf>
    <xf numFmtId="0" fontId="13" fillId="0" borderId="1" xfId="0"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2" fontId="8" fillId="0" borderId="6"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172" fontId="23" fillId="0" borderId="5" xfId="0" applyNumberFormat="1" applyFont="1" applyFill="1" applyBorder="1" applyAlignment="1">
      <alignment horizontal="center" vertical="center" wrapText="1"/>
    </xf>
    <xf numFmtId="0" fontId="23" fillId="0" borderId="1" xfId="0" applyFont="1" applyFill="1" applyBorder="1" applyAlignment="1">
      <alignment vertical="distributed" wrapText="1"/>
    </xf>
    <xf numFmtId="0" fontId="6" fillId="0" borderId="1" xfId="0" applyFont="1" applyFill="1" applyBorder="1" applyAlignment="1">
      <alignment vertical="distributed" wrapText="1"/>
    </xf>
    <xf numFmtId="172" fontId="13" fillId="0" borderId="1" xfId="0" applyNumberFormat="1" applyFont="1" applyFill="1" applyBorder="1" applyAlignment="1">
      <alignment horizontal="center" vertical="center" wrapText="1"/>
    </xf>
    <xf numFmtId="169" fontId="1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7" fillId="0" borderId="0" xfId="0" applyFont="1" applyFill="1" applyAlignment="1">
      <alignment horizontal="center"/>
    </xf>
    <xf numFmtId="172" fontId="17" fillId="0" borderId="0" xfId="0" applyNumberFormat="1" applyFont="1" applyFill="1"/>
    <xf numFmtId="0" fontId="5" fillId="0" borderId="0" xfId="0" applyFont="1" applyFill="1" applyAlignment="1">
      <alignment horizontal="center" vertical="center" wrapText="1"/>
    </xf>
    <xf numFmtId="172" fontId="5" fillId="0" borderId="0" xfId="0" applyNumberFormat="1" applyFont="1" applyFill="1" applyAlignment="1">
      <alignment horizontal="center" vertical="center" wrapText="1"/>
    </xf>
    <xf numFmtId="49" fontId="17" fillId="0" borderId="0" xfId="0" applyNumberFormat="1" applyFont="1" applyFill="1" applyBorder="1" applyAlignment="1">
      <alignment horizontal="center"/>
    </xf>
    <xf numFmtId="172" fontId="6" fillId="0" borderId="0" xfId="0" applyNumberFormat="1" applyFont="1" applyFill="1" applyAlignment="1">
      <alignment horizontal="right"/>
    </xf>
    <xf numFmtId="3" fontId="8" fillId="0" borderId="1" xfId="0" applyNumberFormat="1" applyFont="1" applyFill="1" applyBorder="1" applyAlignment="1">
      <alignment horizontal="center" vertical="center" wrapText="1"/>
    </xf>
    <xf numFmtId="172" fontId="6" fillId="0" borderId="5"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top"/>
    </xf>
    <xf numFmtId="0" fontId="6" fillId="0" borderId="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top" wrapText="1"/>
    </xf>
    <xf numFmtId="172" fontId="6" fillId="0" borderId="0" xfId="0" applyNumberFormat="1" applyFont="1" applyFill="1"/>
    <xf numFmtId="0" fontId="17" fillId="0" borderId="0" xfId="0" applyFont="1" applyFill="1" applyAlignment="1">
      <alignment horizontal="right"/>
    </xf>
    <xf numFmtId="172" fontId="16" fillId="0" borderId="0" xfId="0" applyNumberFormat="1" applyFont="1" applyFill="1"/>
    <xf numFmtId="0" fontId="17" fillId="0" borderId="0" xfId="0" applyFont="1" applyFill="1" applyAlignment="1">
      <alignment horizontal="left"/>
    </xf>
    <xf numFmtId="0" fontId="25" fillId="0" borderId="0" xfId="0" applyFont="1" applyFill="1" applyAlignment="1">
      <alignment horizontal="left"/>
    </xf>
    <xf numFmtId="172" fontId="25" fillId="0" borderId="0" xfId="0" applyNumberFormat="1" applyFont="1" applyFill="1"/>
    <xf numFmtId="169" fontId="21" fillId="6" borderId="0" xfId="0" applyNumberFormat="1" applyFont="1" applyFill="1"/>
    <xf numFmtId="172" fontId="6" fillId="16" borderId="1" xfId="0" applyNumberFormat="1" applyFont="1" applyFill="1" applyBorder="1" applyAlignment="1">
      <alignment horizontal="center" vertical="center"/>
    </xf>
    <xf numFmtId="169" fontId="13" fillId="0" borderId="1" xfId="0" applyNumberFormat="1"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0" fontId="38" fillId="10" borderId="1" xfId="0" applyFont="1" applyFill="1" applyBorder="1" applyAlignment="1">
      <alignment vertical="center" wrapText="1"/>
    </xf>
    <xf numFmtId="49" fontId="13" fillId="10" borderId="1" xfId="0" applyNumberFormat="1" applyFont="1" applyFill="1" applyBorder="1" applyAlignment="1">
      <alignment horizontal="center" vertical="center" wrapText="1" shrinkToFit="1"/>
    </xf>
    <xf numFmtId="172" fontId="13" fillId="10" borderId="1" xfId="0" applyNumberFormat="1"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49" fontId="6" fillId="8" borderId="1" xfId="0" applyNumberFormat="1" applyFont="1" applyFill="1" applyBorder="1" applyAlignment="1">
      <alignment horizontal="center" vertical="top" wrapText="1"/>
    </xf>
    <xf numFmtId="172" fontId="8" fillId="8" borderId="1" xfId="0" applyNumberFormat="1" applyFont="1" applyFill="1" applyBorder="1" applyAlignment="1">
      <alignment horizontal="center" vertical="top"/>
    </xf>
    <xf numFmtId="49" fontId="8" fillId="11"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172" fontId="13" fillId="0" borderId="1" xfId="0" applyNumberFormat="1" applyFont="1" applyFill="1" applyBorder="1" applyAlignment="1">
      <alignment horizontal="center" vertical="center" wrapText="1"/>
    </xf>
    <xf numFmtId="169" fontId="13" fillId="0" borderId="1" xfId="0" applyNumberFormat="1" applyFont="1" applyFill="1" applyBorder="1" applyAlignment="1">
      <alignment horizontal="center" vertical="center" wrapText="1" shrinkToFit="1"/>
    </xf>
    <xf numFmtId="171" fontId="13" fillId="0" borderId="1" xfId="0" applyNumberFormat="1" applyFont="1" applyFill="1" applyBorder="1" applyAlignment="1">
      <alignment horizontal="center" vertical="center" wrapText="1"/>
    </xf>
    <xf numFmtId="0" fontId="1" fillId="0" borderId="0" xfId="2" applyFont="1" applyFill="1" applyAlignment="1">
      <alignment horizontal="right"/>
    </xf>
    <xf numFmtId="0" fontId="9" fillId="0" borderId="0" xfId="0" applyFont="1" applyFill="1" applyAlignment="1">
      <alignment horizontal="right"/>
    </xf>
    <xf numFmtId="164" fontId="1" fillId="0" borderId="0" xfId="1" applyFont="1" applyFill="1" applyAlignment="1">
      <alignment horizontal="right"/>
    </xf>
    <xf numFmtId="0" fontId="3" fillId="0" borderId="0" xfId="2" applyFont="1" applyFill="1" applyBorder="1" applyAlignment="1">
      <alignment horizontal="center" vertical="justify" wrapText="1"/>
    </xf>
    <xf numFmtId="0" fontId="9" fillId="0" borderId="0" xfId="0" applyFont="1" applyFill="1" applyAlignment="1">
      <alignment horizontal="center" vertical="justify" wrapText="1"/>
    </xf>
    <xf numFmtId="0" fontId="11"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0" xfId="2" applyFont="1" applyFill="1" applyAlignment="1">
      <alignment horizontal="center" vertical="center" wrapText="1"/>
    </xf>
    <xf numFmtId="0" fontId="13" fillId="0" borderId="0" xfId="0" applyFont="1" applyFill="1" applyAlignment="1">
      <alignment horizontal="right"/>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168" fontId="11" fillId="6" borderId="6" xfId="0" applyNumberFormat="1" applyFont="1" applyFill="1" applyBorder="1" applyAlignment="1">
      <alignment horizontal="center" vertical="center" wrapText="1"/>
    </xf>
    <xf numFmtId="168" fontId="11" fillId="6" borderId="7" xfId="0" applyNumberFormat="1"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172" fontId="11" fillId="0" borderId="7" xfId="0" applyNumberFormat="1" applyFont="1" applyFill="1" applyBorder="1" applyAlignment="1">
      <alignment horizontal="center" vertical="center" wrapText="1"/>
    </xf>
    <xf numFmtId="0" fontId="1" fillId="6" borderId="0" xfId="0" applyFont="1" applyFill="1" applyAlignment="1">
      <alignment horizontal="right"/>
    </xf>
    <xf numFmtId="0" fontId="1" fillId="6" borderId="0" xfId="0" applyFont="1" applyFill="1" applyAlignment="1">
      <alignment horizontal="right" wrapText="1"/>
    </xf>
    <xf numFmtId="0" fontId="2" fillId="6" borderId="0" xfId="0" applyFont="1" applyFill="1" applyAlignment="1">
      <alignment horizontal="center" vertical="center" wrapText="1"/>
    </xf>
    <xf numFmtId="0" fontId="11" fillId="6" borderId="1" xfId="0" applyFont="1" applyFill="1" applyBorder="1" applyAlignment="1">
      <alignment horizontal="center" vertical="center" wrapText="1"/>
    </xf>
    <xf numFmtId="0" fontId="20" fillId="6" borderId="0" xfId="0" applyFont="1" applyFill="1" applyAlignment="1">
      <alignment horizontal="right"/>
    </xf>
    <xf numFmtId="0" fontId="6" fillId="6" borderId="0" xfId="0" applyFont="1" applyFill="1" applyAlignment="1">
      <alignment horizontal="right" vertical="center"/>
    </xf>
    <xf numFmtId="0" fontId="7" fillId="6" borderId="0" xfId="0" applyFont="1" applyFill="1" applyAlignment="1">
      <alignment horizontal="right"/>
    </xf>
    <xf numFmtId="0" fontId="5" fillId="6" borderId="0" xfId="0" applyFont="1" applyFill="1" applyAlignment="1">
      <alignment horizontal="center"/>
    </xf>
    <xf numFmtId="0" fontId="5" fillId="6" borderId="0" xfId="0" applyFont="1" applyFill="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left" vertical="top" wrapText="1"/>
    </xf>
    <xf numFmtId="0" fontId="8" fillId="6" borderId="10" xfId="0" applyFont="1" applyFill="1" applyBorder="1" applyAlignment="1">
      <alignment horizontal="left" vertical="top" wrapText="1"/>
    </xf>
    <xf numFmtId="0" fontId="0" fillId="0" borderId="10" xfId="0" applyFont="1" applyBorder="1" applyAlignment="1"/>
    <xf numFmtId="0" fontId="17" fillId="6" borderId="11" xfId="0" applyFont="1" applyFill="1" applyBorder="1" applyAlignment="1">
      <alignment horizontal="center"/>
    </xf>
    <xf numFmtId="0" fontId="8" fillId="6" borderId="1" xfId="0" applyFont="1" applyFill="1" applyBorder="1" applyAlignment="1">
      <alignment horizontal="left" vertical="center" wrapText="1"/>
    </xf>
    <xf numFmtId="0" fontId="13" fillId="0" borderId="1" xfId="0" applyFont="1" applyBorder="1" applyAlignment="1">
      <alignment horizontal="left" vertical="center" wrapText="1"/>
    </xf>
    <xf numFmtId="168" fontId="13" fillId="0" borderId="1" xfId="0" applyNumberFormat="1" applyFont="1" applyFill="1" applyBorder="1" applyAlignment="1">
      <alignment horizontal="center" vertical="center" wrapText="1"/>
    </xf>
    <xf numFmtId="168" fontId="13" fillId="0" borderId="1" xfId="0" applyNumberFormat="1" applyFont="1" applyBorder="1" applyAlignment="1">
      <alignment horizontal="center" vertical="center" wrapText="1"/>
    </xf>
    <xf numFmtId="0" fontId="1" fillId="0" borderId="0" xfId="0" applyFont="1" applyFill="1" applyAlignment="1">
      <alignment horizontal="right"/>
    </xf>
    <xf numFmtId="0" fontId="0" fillId="0" borderId="0" xfId="0" applyAlignment="1">
      <alignment horizontal="right"/>
    </xf>
    <xf numFmtId="0" fontId="11" fillId="0" borderId="0"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Alignment="1">
      <alignment horizontal="right"/>
    </xf>
    <xf numFmtId="0" fontId="0" fillId="0" borderId="0" xfId="0" applyFont="1" applyFill="1" applyAlignment="1">
      <alignment horizontal="center"/>
    </xf>
    <xf numFmtId="0" fontId="1" fillId="0" borderId="0" xfId="0" applyFont="1" applyAlignment="1">
      <alignment horizontal="right" wrapText="1"/>
    </xf>
    <xf numFmtId="0" fontId="2" fillId="0" borderId="0" xfId="0" applyFont="1" applyFill="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cellXfs>
  <cellStyles count="4">
    <cellStyle name="Денежный 2" xfId="1"/>
    <cellStyle name="Обычный" xfId="0" builtinId="0"/>
    <cellStyle name="Обычный 2"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tabSelected="1" view="pageBreakPreview" topLeftCell="A10" zoomScale="70" zoomScaleSheetLayoutView="70" workbookViewId="0">
      <selection activeCell="E14" sqref="E14"/>
    </sheetView>
  </sheetViews>
  <sheetFormatPr defaultColWidth="8.88671875" defaultRowHeight="13.2" x14ac:dyDescent="0.25"/>
  <cols>
    <col min="1" max="1" width="26.6640625" style="243" customWidth="1"/>
    <col min="2" max="2" width="35.6640625" style="243" customWidth="1"/>
    <col min="3" max="3" width="20.33203125" style="243" customWidth="1"/>
    <col min="4" max="5" width="19.6640625" style="243" customWidth="1"/>
    <col min="6" max="6" width="13.6640625" style="243" bestFit="1" customWidth="1"/>
    <col min="7" max="7" width="12.44140625" style="243" bestFit="1" customWidth="1"/>
    <col min="8" max="8" width="8.88671875" style="243"/>
    <col min="9" max="9" width="9.109375" style="243" bestFit="1" customWidth="1"/>
    <col min="10" max="10" width="11.6640625" style="243" bestFit="1" customWidth="1"/>
    <col min="11" max="16384" width="8.88671875" style="243"/>
  </cols>
  <sheetData>
    <row r="1" spans="1:7" ht="15.6" x14ac:dyDescent="0.3">
      <c r="A1" s="82"/>
      <c r="B1" s="83"/>
      <c r="C1" s="545" t="s">
        <v>118</v>
      </c>
      <c r="D1" s="545"/>
      <c r="E1" s="546"/>
    </row>
    <row r="2" spans="1:7" ht="15.6" x14ac:dyDescent="0.3">
      <c r="A2" s="82"/>
      <c r="B2" s="545" t="s">
        <v>220</v>
      </c>
      <c r="C2" s="545"/>
      <c r="D2" s="545"/>
      <c r="E2" s="546"/>
    </row>
    <row r="3" spans="1:7" ht="15.6" x14ac:dyDescent="0.3">
      <c r="A3" s="82"/>
      <c r="B3" s="547" t="s">
        <v>221</v>
      </c>
      <c r="C3" s="547"/>
      <c r="D3" s="547"/>
      <c r="E3" s="546"/>
    </row>
    <row r="4" spans="1:7" ht="15.6" x14ac:dyDescent="0.3">
      <c r="A4" s="82"/>
      <c r="B4" s="545" t="s">
        <v>1152</v>
      </c>
      <c r="C4" s="545"/>
      <c r="D4" s="545"/>
      <c r="E4" s="546"/>
    </row>
    <row r="5" spans="1:7" ht="15.6" x14ac:dyDescent="0.3">
      <c r="A5" s="82"/>
      <c r="B5" s="464"/>
      <c r="C5" s="464"/>
    </row>
    <row r="6" spans="1:7" ht="18.75" customHeight="1" x14ac:dyDescent="0.25">
      <c r="A6" s="548" t="s">
        <v>695</v>
      </c>
      <c r="B6" s="548"/>
      <c r="C6" s="548"/>
      <c r="D6" s="548"/>
      <c r="E6" s="549"/>
    </row>
    <row r="7" spans="1:7" ht="17.399999999999999" x14ac:dyDescent="0.25">
      <c r="A7" s="465"/>
      <c r="B7" s="465"/>
      <c r="C7" s="465"/>
    </row>
    <row r="8" spans="1:7" ht="16.8" x14ac:dyDescent="0.25">
      <c r="A8" s="84"/>
      <c r="B8" s="85"/>
      <c r="C8" s="85"/>
      <c r="D8" s="86"/>
      <c r="E8" s="86" t="s">
        <v>102</v>
      </c>
    </row>
    <row r="9" spans="1:7" ht="14.4" customHeight="1" x14ac:dyDescent="0.25">
      <c r="A9" s="550" t="s">
        <v>103</v>
      </c>
      <c r="B9" s="550" t="s">
        <v>177</v>
      </c>
      <c r="C9" s="550" t="s">
        <v>579</v>
      </c>
      <c r="D9" s="550" t="s">
        <v>580</v>
      </c>
      <c r="E9" s="550" t="s">
        <v>659</v>
      </c>
    </row>
    <row r="10" spans="1:7" ht="16.95" customHeight="1" x14ac:dyDescent="0.25">
      <c r="A10" s="550"/>
      <c r="B10" s="550"/>
      <c r="C10" s="550"/>
      <c r="D10" s="550"/>
      <c r="E10" s="550"/>
    </row>
    <row r="11" spans="1:7" ht="17.399999999999999" customHeight="1" x14ac:dyDescent="0.25">
      <c r="A11" s="550"/>
      <c r="B11" s="550"/>
      <c r="C11" s="550"/>
      <c r="D11" s="550"/>
      <c r="E11" s="550"/>
    </row>
    <row r="12" spans="1:7" ht="55.2" customHeight="1" x14ac:dyDescent="0.25">
      <c r="A12" s="466" t="s">
        <v>178</v>
      </c>
      <c r="B12" s="88" t="s">
        <v>179</v>
      </c>
      <c r="C12" s="89">
        <f>C13+C14</f>
        <v>4266.8633499999996</v>
      </c>
      <c r="D12" s="89">
        <f>D13+D14</f>
        <v>4266.8633499999996</v>
      </c>
      <c r="E12" s="89">
        <f>E13+E14</f>
        <v>4266.8633499999996</v>
      </c>
    </row>
    <row r="13" spans="1:7" ht="46.8" x14ac:dyDescent="0.25">
      <c r="A13" s="90" t="s">
        <v>180</v>
      </c>
      <c r="B13" s="91" t="s">
        <v>181</v>
      </c>
      <c r="C13" s="244">
        <f>(-C17)+2500</f>
        <v>4266.8633499999996</v>
      </c>
      <c r="D13" s="244">
        <f>1766.86335+2500+2500</f>
        <v>6766.8633499999996</v>
      </c>
      <c r="E13" s="244">
        <f>1766.86335+2500+2500</f>
        <v>6766.8633499999996</v>
      </c>
    </row>
    <row r="14" spans="1:7" ht="62.4" x14ac:dyDescent="0.25">
      <c r="A14" s="87" t="s">
        <v>182</v>
      </c>
      <c r="B14" s="92" t="s">
        <v>183</v>
      </c>
      <c r="C14" s="244">
        <v>0</v>
      </c>
      <c r="D14" s="244">
        <v>-2500</v>
      </c>
      <c r="E14" s="244">
        <v>-2500</v>
      </c>
      <c r="G14" s="245"/>
    </row>
    <row r="15" spans="1:7" ht="46.8" x14ac:dyDescent="0.25">
      <c r="A15" s="466" t="s">
        <v>184</v>
      </c>
      <c r="B15" s="88" t="s">
        <v>185</v>
      </c>
      <c r="C15" s="89">
        <f>C16+C17</f>
        <v>-1766.8633500000001</v>
      </c>
      <c r="D15" s="89">
        <f>D16+D17</f>
        <v>-1766.8633500000001</v>
      </c>
      <c r="E15" s="89">
        <f>E16+E17</f>
        <v>-1766.8633500000001</v>
      </c>
      <c r="G15" s="450"/>
    </row>
    <row r="16" spans="1:7" ht="78" x14ac:dyDescent="0.25">
      <c r="A16" s="87" t="s">
        <v>133</v>
      </c>
      <c r="B16" s="93" t="s">
        <v>188</v>
      </c>
      <c r="C16" s="244">
        <v>0</v>
      </c>
      <c r="D16" s="244">
        <v>0</v>
      </c>
      <c r="E16" s="244">
        <v>0</v>
      </c>
    </row>
    <row r="17" spans="1:10" ht="78" x14ac:dyDescent="0.25">
      <c r="A17" s="90" t="s">
        <v>134</v>
      </c>
      <c r="B17" s="91" t="s">
        <v>189</v>
      </c>
      <c r="C17" s="244">
        <f>-(926.86335+840)</f>
        <v>-1766.8633500000001</v>
      </c>
      <c r="D17" s="244">
        <f>-(926.86335+840)</f>
        <v>-1766.8633500000001</v>
      </c>
      <c r="E17" s="244">
        <f>-(926.86335+840)</f>
        <v>-1766.8633500000001</v>
      </c>
      <c r="G17" s="245"/>
    </row>
    <row r="18" spans="1:10" ht="31.2" x14ac:dyDescent="0.25">
      <c r="A18" s="466" t="s">
        <v>208</v>
      </c>
      <c r="B18" s="88" t="s">
        <v>209</v>
      </c>
      <c r="C18" s="89">
        <f>C19+C20</f>
        <v>29649.352840000065</v>
      </c>
      <c r="D18" s="89">
        <f>D19+D20</f>
        <v>0</v>
      </c>
      <c r="E18" s="89">
        <f>E19+E20</f>
        <v>0</v>
      </c>
      <c r="F18" s="243">
        <v>31985.327140000001</v>
      </c>
      <c r="G18" s="245"/>
      <c r="J18" s="245"/>
    </row>
    <row r="19" spans="1:10" ht="46.8" x14ac:dyDescent="0.25">
      <c r="A19" s="90" t="s">
        <v>0</v>
      </c>
      <c r="B19" s="91" t="s">
        <v>1</v>
      </c>
      <c r="C19" s="244">
        <f>-(882733.63979+C13+C16+8940+64.8+30128.66591+2970.98005-1489.302+1718.77754)</f>
        <v>-929334.4246400001</v>
      </c>
      <c r="D19" s="244">
        <f>-(754632.786+D13+D16)</f>
        <v>-761399.64934999996</v>
      </c>
      <c r="E19" s="244">
        <f>-(766856.98444+E13)</f>
        <v>-773623.84779000003</v>
      </c>
      <c r="F19" s="245">
        <f>F18-C18</f>
        <v>2335.9742999999362</v>
      </c>
      <c r="I19" s="246"/>
    </row>
    <row r="20" spans="1:10" ht="46.8" x14ac:dyDescent="0.25">
      <c r="A20" s="90" t="s">
        <v>2</v>
      </c>
      <c r="B20" s="91" t="s">
        <v>3</v>
      </c>
      <c r="C20" s="244">
        <f>(885233.63979+1766.86335+337.08981+29148.23733+8940+64.8+132.37872+2970.98005+30128.66591+31.64698-1489.302+1718.77754)</f>
        <v>958983.77748000016</v>
      </c>
      <c r="D20" s="244">
        <f>(757132.786)+1766.86335+2500</f>
        <v>761399.64934999996</v>
      </c>
      <c r="E20" s="244">
        <f>(769356.98444+1766.86335+2500)</f>
        <v>773623.84779000003</v>
      </c>
      <c r="F20" s="245"/>
      <c r="G20" s="245"/>
    </row>
    <row r="21" spans="1:10" ht="15.6" x14ac:dyDescent="0.25">
      <c r="A21" s="466"/>
      <c r="B21" s="94" t="s">
        <v>190</v>
      </c>
      <c r="C21" s="89">
        <f>C12+C15+C18</f>
        <v>32149.352840000065</v>
      </c>
      <c r="D21" s="89">
        <f>D12+D15+D18</f>
        <v>2499.9999999999995</v>
      </c>
      <c r="E21" s="89">
        <f>E12+E15+E18</f>
        <v>2499.9999999999995</v>
      </c>
    </row>
    <row r="22" spans="1:10" x14ac:dyDescent="0.25">
      <c r="C22" s="245">
        <f>C21-C18</f>
        <v>2500</v>
      </c>
    </row>
    <row r="23" spans="1:10" x14ac:dyDescent="0.25">
      <c r="C23" s="245"/>
      <c r="D23" s="245"/>
    </row>
    <row r="24" spans="1:10" x14ac:dyDescent="0.25">
      <c r="C24" s="245"/>
    </row>
  </sheetData>
  <mergeCells count="10">
    <mergeCell ref="A9:A11"/>
    <mergeCell ref="B9:B11"/>
    <mergeCell ref="C9:C11"/>
    <mergeCell ref="D9:D11"/>
    <mergeCell ref="E9:E11"/>
    <mergeCell ref="C1:E1"/>
    <mergeCell ref="B2:E2"/>
    <mergeCell ref="B3:E3"/>
    <mergeCell ref="B4:E4"/>
    <mergeCell ref="A6:E6"/>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111"/>
  <sheetViews>
    <sheetView view="pageBreakPreview" topLeftCell="A97" zoomScale="72" zoomScaleSheetLayoutView="72" workbookViewId="0">
      <selection activeCell="F12" sqref="F12"/>
    </sheetView>
  </sheetViews>
  <sheetFormatPr defaultColWidth="13.33203125" defaultRowHeight="15.6" x14ac:dyDescent="0.3"/>
  <cols>
    <col min="1" max="1" width="25.88671875" style="140" customWidth="1"/>
    <col min="2" max="2" width="87.88671875" style="141" customWidth="1"/>
    <col min="3" max="3" width="16" style="46" hidden="1" customWidth="1"/>
    <col min="4" max="4" width="17.5546875" style="37" customWidth="1"/>
    <col min="5" max="5" width="20.5546875" style="37" customWidth="1"/>
    <col min="6" max="6" width="20" style="44" customWidth="1"/>
    <col min="7" max="7" width="19.88671875" style="145" customWidth="1"/>
    <col min="8" max="8" width="21.88671875" style="229" customWidth="1"/>
    <col min="9" max="9" width="20.109375" style="229" customWidth="1"/>
    <col min="10" max="10" width="18.33203125" style="230" customWidth="1"/>
    <col min="11" max="11" width="18.6640625" style="230" customWidth="1"/>
    <col min="12" max="12" width="8.88671875" style="230" customWidth="1"/>
    <col min="13" max="13" width="13.88671875" style="230" customWidth="1"/>
    <col min="14" max="246" width="8.88671875" style="230" customWidth="1"/>
    <col min="247" max="247" width="24" style="230" customWidth="1"/>
    <col min="248" max="248" width="9.109375" style="230" customWidth="1"/>
    <col min="249" max="249" width="51.5546875" style="230" customWidth="1"/>
    <col min="250" max="251" width="0" style="230" hidden="1" customWidth="1"/>
    <col min="252" max="252" width="16.6640625" style="230" customWidth="1"/>
    <col min="253" max="253" width="0" style="230" hidden="1" customWidth="1"/>
    <col min="254" max="254" width="16.6640625" style="230" customWidth="1"/>
    <col min="255" max="255" width="0" style="230" hidden="1" customWidth="1"/>
    <col min="256" max="16384" width="13.33203125" style="230"/>
  </cols>
  <sheetData>
    <row r="1" spans="1:7" s="230" customFormat="1" x14ac:dyDescent="0.3">
      <c r="A1" s="140"/>
      <c r="B1" s="141"/>
      <c r="C1" s="142" t="s">
        <v>450</v>
      </c>
      <c r="D1" s="553" t="s">
        <v>1046</v>
      </c>
      <c r="E1" s="553"/>
      <c r="F1" s="553"/>
      <c r="G1" s="145"/>
    </row>
    <row r="2" spans="1:7" s="230" customFormat="1" x14ac:dyDescent="0.3">
      <c r="A2" s="140"/>
      <c r="B2" s="141"/>
      <c r="C2" s="467"/>
      <c r="D2" s="553" t="s">
        <v>642</v>
      </c>
      <c r="E2" s="553"/>
      <c r="F2" s="553"/>
      <c r="G2" s="145"/>
    </row>
    <row r="3" spans="1:7" s="230" customFormat="1" x14ac:dyDescent="0.3">
      <c r="A3" s="140"/>
      <c r="B3" s="141"/>
      <c r="C3" s="469"/>
      <c r="D3" s="553" t="s">
        <v>221</v>
      </c>
      <c r="E3" s="553"/>
      <c r="F3" s="553"/>
      <c r="G3" s="145"/>
    </row>
    <row r="4" spans="1:7" s="230" customFormat="1" x14ac:dyDescent="0.3">
      <c r="A4" s="140"/>
      <c r="B4" s="141"/>
      <c r="C4" s="467"/>
      <c r="D4" s="553" t="s">
        <v>1153</v>
      </c>
      <c r="E4" s="553"/>
      <c r="F4" s="553"/>
      <c r="G4" s="145"/>
    </row>
    <row r="5" spans="1:7" s="230" customFormat="1" x14ac:dyDescent="0.3">
      <c r="A5" s="140"/>
      <c r="B5" s="141"/>
      <c r="C5" s="144"/>
      <c r="D5" s="37"/>
      <c r="E5" s="37"/>
      <c r="F5" s="44"/>
      <c r="G5" s="145"/>
    </row>
    <row r="6" spans="1:7" s="230" customFormat="1" ht="18.75" customHeight="1" x14ac:dyDescent="0.3">
      <c r="A6" s="552" t="s">
        <v>658</v>
      </c>
      <c r="B6" s="552"/>
      <c r="C6" s="552"/>
      <c r="D6" s="552"/>
      <c r="E6" s="552"/>
      <c r="F6" s="552"/>
      <c r="G6" s="231"/>
    </row>
    <row r="7" spans="1:7" s="230" customFormat="1" x14ac:dyDescent="0.3">
      <c r="A7" s="146"/>
      <c r="B7" s="147"/>
      <c r="C7" s="148"/>
      <c r="D7" s="37"/>
      <c r="E7" s="37"/>
      <c r="F7" s="149"/>
      <c r="G7" s="145"/>
    </row>
    <row r="8" spans="1:7" s="230" customFormat="1" ht="15.75" customHeight="1" x14ac:dyDescent="0.3">
      <c r="A8" s="554" t="s">
        <v>103</v>
      </c>
      <c r="B8" s="554" t="s">
        <v>205</v>
      </c>
      <c r="C8" s="556" t="s">
        <v>279</v>
      </c>
      <c r="D8" s="558" t="s">
        <v>504</v>
      </c>
      <c r="E8" s="558" t="s">
        <v>571</v>
      </c>
      <c r="F8" s="558" t="s">
        <v>643</v>
      </c>
      <c r="G8" s="145"/>
    </row>
    <row r="9" spans="1:7" s="230" customFormat="1" x14ac:dyDescent="0.3">
      <c r="A9" s="555"/>
      <c r="B9" s="555"/>
      <c r="C9" s="557"/>
      <c r="D9" s="559"/>
      <c r="E9" s="559"/>
      <c r="F9" s="559"/>
      <c r="G9" s="145"/>
    </row>
    <row r="10" spans="1:7" s="230" customFormat="1" x14ac:dyDescent="0.3">
      <c r="A10" s="468" t="s">
        <v>138</v>
      </c>
      <c r="B10" s="150" t="s">
        <v>139</v>
      </c>
      <c r="C10" s="151">
        <f>C11+C13+C15+C19+C21+C28+C30+C33+C36+C37</f>
        <v>213214.3</v>
      </c>
      <c r="D10" s="38">
        <f>D11+D13+D15+D19+D21+D28+D30+D33+D36+D37</f>
        <v>290770.01592999994</v>
      </c>
      <c r="E10" s="38">
        <f>E11+E13+E15+E19+E21+E28+E30+E33+E36+E37</f>
        <v>274426</v>
      </c>
      <c r="F10" s="38">
        <f>F11+F13+F15+F19+F21+F28+F30+F33+F36+F37</f>
        <v>270765</v>
      </c>
      <c r="G10" s="145"/>
    </row>
    <row r="11" spans="1:7" s="230" customFormat="1" x14ac:dyDescent="0.3">
      <c r="A11" s="468" t="s">
        <v>140</v>
      </c>
      <c r="B11" s="150" t="s">
        <v>144</v>
      </c>
      <c r="C11" s="151">
        <f>SUM(C12)</f>
        <v>178061</v>
      </c>
      <c r="D11" s="38">
        <f>SUM(D12)</f>
        <v>223116</v>
      </c>
      <c r="E11" s="38">
        <f>SUM(E12)</f>
        <v>228349</v>
      </c>
      <c r="F11" s="38">
        <f>SUM(F12)</f>
        <v>223372</v>
      </c>
      <c r="G11" s="145"/>
    </row>
    <row r="12" spans="1:7" s="230" customFormat="1" x14ac:dyDescent="0.3">
      <c r="A12" s="152" t="s">
        <v>218</v>
      </c>
      <c r="B12" s="153" t="s">
        <v>145</v>
      </c>
      <c r="C12" s="154">
        <v>178061</v>
      </c>
      <c r="D12" s="25">
        <v>223116</v>
      </c>
      <c r="E12" s="25">
        <v>228349</v>
      </c>
      <c r="F12" s="25">
        <v>223372</v>
      </c>
      <c r="G12" s="155"/>
    </row>
    <row r="13" spans="1:7" s="230" customFormat="1" ht="31.2" x14ac:dyDescent="0.3">
      <c r="A13" s="468" t="s">
        <v>243</v>
      </c>
      <c r="B13" s="150" t="s">
        <v>244</v>
      </c>
      <c r="C13" s="151">
        <f>SUM(C14)</f>
        <v>15464</v>
      </c>
      <c r="D13" s="38">
        <f>SUM(D14)</f>
        <v>21015</v>
      </c>
      <c r="E13" s="38">
        <f>SUM(E14)</f>
        <v>22508</v>
      </c>
      <c r="F13" s="38">
        <f>SUM(F14)</f>
        <v>23428</v>
      </c>
      <c r="G13" s="145"/>
    </row>
    <row r="14" spans="1:7" s="230" customFormat="1" ht="31.2" x14ac:dyDescent="0.3">
      <c r="A14" s="4" t="s">
        <v>241</v>
      </c>
      <c r="B14" s="96" t="s">
        <v>242</v>
      </c>
      <c r="C14" s="154">
        <v>15464</v>
      </c>
      <c r="D14" s="25">
        <v>21015</v>
      </c>
      <c r="E14" s="25">
        <v>22508</v>
      </c>
      <c r="F14" s="25">
        <v>23428</v>
      </c>
      <c r="G14" s="145"/>
    </row>
    <row r="15" spans="1:7" s="230" customFormat="1" x14ac:dyDescent="0.3">
      <c r="A15" s="468" t="s">
        <v>146</v>
      </c>
      <c r="B15" s="150" t="s">
        <v>148</v>
      </c>
      <c r="C15" s="151">
        <f>SUM(C16:C18)</f>
        <v>1576.4</v>
      </c>
      <c r="D15" s="38">
        <f>SUM(D16:D18)</f>
        <v>6830</v>
      </c>
      <c r="E15" s="38">
        <f>SUM(E16:E18)</f>
        <v>7019</v>
      </c>
      <c r="F15" s="38">
        <f>SUM(F16:F18)</f>
        <v>7213</v>
      </c>
      <c r="G15" s="145"/>
    </row>
    <row r="16" spans="1:7" s="230" customFormat="1" x14ac:dyDescent="0.3">
      <c r="A16" s="152" t="s">
        <v>495</v>
      </c>
      <c r="B16" s="153" t="s">
        <v>358</v>
      </c>
      <c r="C16" s="154">
        <v>293.39999999999998</v>
      </c>
      <c r="D16" s="39">
        <v>503</v>
      </c>
      <c r="E16" s="39">
        <v>523</v>
      </c>
      <c r="F16" s="25">
        <v>544</v>
      </c>
      <c r="G16" s="145"/>
    </row>
    <row r="17" spans="1:256" x14ac:dyDescent="0.3">
      <c r="A17" s="152" t="s">
        <v>229</v>
      </c>
      <c r="B17" s="153" t="s">
        <v>149</v>
      </c>
      <c r="C17" s="154">
        <v>1213</v>
      </c>
      <c r="D17" s="25">
        <v>2749</v>
      </c>
      <c r="E17" s="25">
        <v>2818</v>
      </c>
      <c r="F17" s="25">
        <v>2888</v>
      </c>
    </row>
    <row r="18" spans="1:256" ht="31.2" x14ac:dyDescent="0.3">
      <c r="A18" s="152" t="s">
        <v>245</v>
      </c>
      <c r="B18" s="153" t="s">
        <v>246</v>
      </c>
      <c r="C18" s="154">
        <v>70</v>
      </c>
      <c r="D18" s="25">
        <v>3578</v>
      </c>
      <c r="E18" s="25">
        <v>3678</v>
      </c>
      <c r="F18" s="25">
        <v>3781</v>
      </c>
    </row>
    <row r="19" spans="1:256" x14ac:dyDescent="0.3">
      <c r="A19" s="468" t="s">
        <v>150</v>
      </c>
      <c r="B19" s="150" t="s">
        <v>151</v>
      </c>
      <c r="C19" s="151">
        <f>SUM(C20:C20)</f>
        <v>3052</v>
      </c>
      <c r="D19" s="38">
        <f>SUM(D20:D20)</f>
        <v>2545</v>
      </c>
      <c r="E19" s="38">
        <f>SUM(E20:E20)</f>
        <v>2515</v>
      </c>
      <c r="F19" s="38">
        <f>SUM(F20:F20)</f>
        <v>2515</v>
      </c>
    </row>
    <row r="20" spans="1:256" ht="31.2" x14ac:dyDescent="0.3">
      <c r="A20" s="4" t="s">
        <v>247</v>
      </c>
      <c r="B20" s="96" t="s">
        <v>572</v>
      </c>
      <c r="C20" s="39">
        <v>3052</v>
      </c>
      <c r="D20" s="25">
        <v>2545</v>
      </c>
      <c r="E20" s="25">
        <v>2515</v>
      </c>
      <c r="F20" s="25">
        <v>2515</v>
      </c>
    </row>
    <row r="21" spans="1:256" ht="31.2" x14ac:dyDescent="0.3">
      <c r="A21" s="468" t="s">
        <v>152</v>
      </c>
      <c r="B21" s="150" t="s">
        <v>230</v>
      </c>
      <c r="C21" s="151">
        <f>SUM(C22:C26)</f>
        <v>13196.900000000001</v>
      </c>
      <c r="D21" s="38">
        <f>SUM(D22:D27)</f>
        <v>12251.714</v>
      </c>
      <c r="E21" s="38">
        <f>SUM(E22:E26)</f>
        <v>10299</v>
      </c>
      <c r="F21" s="38">
        <f>SUM(F22:F26)</f>
        <v>10478</v>
      </c>
    </row>
    <row r="22" spans="1:256" ht="62.4" x14ac:dyDescent="0.3">
      <c r="A22" s="4" t="s">
        <v>4</v>
      </c>
      <c r="B22" s="96" t="s">
        <v>262</v>
      </c>
      <c r="C22" s="154">
        <v>2267.1</v>
      </c>
      <c r="D22" s="25">
        <f>1235+144.17</f>
        <v>1379.17</v>
      </c>
      <c r="E22" s="25">
        <v>1235</v>
      </c>
      <c r="F22" s="25">
        <v>1235</v>
      </c>
    </row>
    <row r="23" spans="1:256" ht="63" customHeight="1" x14ac:dyDescent="0.3">
      <c r="A23" s="4" t="s">
        <v>128</v>
      </c>
      <c r="B23" s="96" t="s">
        <v>496</v>
      </c>
      <c r="C23" s="154">
        <v>7300</v>
      </c>
      <c r="D23" s="25">
        <v>5250</v>
      </c>
      <c r="E23" s="25">
        <v>5250</v>
      </c>
      <c r="F23" s="25">
        <v>5250</v>
      </c>
      <c r="J23" s="234">
        <f>D21+D28+D30+D33+D36+D37</f>
        <v>37264.015930000009</v>
      </c>
    </row>
    <row r="24" spans="1:256" ht="62.4" x14ac:dyDescent="0.3">
      <c r="A24" s="4" t="s">
        <v>192</v>
      </c>
      <c r="B24" s="96" t="s">
        <v>131</v>
      </c>
      <c r="C24" s="154">
        <v>116</v>
      </c>
      <c r="D24" s="25">
        <f>210+121.87</f>
        <v>331.87</v>
      </c>
      <c r="E24" s="25">
        <v>210</v>
      </c>
      <c r="F24" s="25">
        <v>210</v>
      </c>
    </row>
    <row r="25" spans="1:256" ht="46.8" x14ac:dyDescent="0.3">
      <c r="A25" s="4" t="s">
        <v>114</v>
      </c>
      <c r="B25" s="96" t="s">
        <v>231</v>
      </c>
      <c r="C25" s="39">
        <v>3203.8</v>
      </c>
      <c r="D25" s="25">
        <v>30</v>
      </c>
      <c r="E25" s="25">
        <v>31</v>
      </c>
      <c r="F25" s="25">
        <v>32</v>
      </c>
    </row>
    <row r="26" spans="1:256" ht="31.2" x14ac:dyDescent="0.3">
      <c r="A26" s="152" t="s">
        <v>199</v>
      </c>
      <c r="B26" s="153" t="s">
        <v>200</v>
      </c>
      <c r="C26" s="154">
        <v>310</v>
      </c>
      <c r="D26" s="25">
        <f>3403+1825.28</f>
        <v>5228.28</v>
      </c>
      <c r="E26" s="25">
        <v>3573</v>
      </c>
      <c r="F26" s="25">
        <v>3751</v>
      </c>
    </row>
    <row r="27" spans="1:256" ht="124.8" x14ac:dyDescent="0.3">
      <c r="A27" s="540" t="s">
        <v>1145</v>
      </c>
      <c r="B27" s="96" t="s">
        <v>1146</v>
      </c>
      <c r="C27" s="154"/>
      <c r="D27" s="25">
        <v>32.393999999999998</v>
      </c>
      <c r="E27" s="25">
        <v>0</v>
      </c>
      <c r="F27" s="25">
        <v>0</v>
      </c>
    </row>
    <row r="28" spans="1:256" x14ac:dyDescent="0.3">
      <c r="A28" s="468" t="s">
        <v>153</v>
      </c>
      <c r="B28" s="150" t="s">
        <v>154</v>
      </c>
      <c r="C28" s="151">
        <f>SUM(C29)</f>
        <v>475</v>
      </c>
      <c r="D28" s="38">
        <f>SUM(D29)</f>
        <v>940</v>
      </c>
      <c r="E28" s="38">
        <f>SUM(E29)</f>
        <v>940</v>
      </c>
      <c r="F28" s="38">
        <f>SUM(F29)</f>
        <v>940</v>
      </c>
    </row>
    <row r="29" spans="1:256" ht="44.25" customHeight="1" x14ac:dyDescent="0.3">
      <c r="A29" s="152" t="s">
        <v>219</v>
      </c>
      <c r="B29" s="153" t="s">
        <v>155</v>
      </c>
      <c r="C29" s="154">
        <v>475</v>
      </c>
      <c r="D29" s="25">
        <v>940</v>
      </c>
      <c r="E29" s="25">
        <v>940</v>
      </c>
      <c r="F29" s="25">
        <v>940</v>
      </c>
    </row>
    <row r="30" spans="1:256" ht="31.2" x14ac:dyDescent="0.3">
      <c r="A30" s="468" t="s">
        <v>156</v>
      </c>
      <c r="B30" s="150" t="s">
        <v>157</v>
      </c>
      <c r="C30" s="151">
        <f>SUM(C32:C32)</f>
        <v>1139</v>
      </c>
      <c r="D30" s="38">
        <f>D32+D31</f>
        <v>1148.6100000000001</v>
      </c>
      <c r="E30" s="38">
        <f>E32+E31</f>
        <v>902</v>
      </c>
      <c r="F30" s="38">
        <f>F32+F31</f>
        <v>935</v>
      </c>
    </row>
    <row r="31" spans="1:256" ht="64.2" customHeight="1" x14ac:dyDescent="0.3">
      <c r="A31" s="4" t="s">
        <v>622</v>
      </c>
      <c r="B31" s="96" t="s">
        <v>623</v>
      </c>
      <c r="C31" s="39">
        <v>1139</v>
      </c>
      <c r="D31" s="25">
        <f>868+58.61</f>
        <v>926.61</v>
      </c>
      <c r="E31" s="25">
        <v>902</v>
      </c>
      <c r="F31" s="25">
        <v>935</v>
      </c>
      <c r="G31" s="157"/>
      <c r="H31" s="232"/>
      <c r="I31" s="232"/>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c r="IO31" s="233"/>
      <c r="IP31" s="233"/>
      <c r="IQ31" s="233"/>
      <c r="IR31" s="233"/>
      <c r="IS31" s="233"/>
      <c r="IT31" s="233"/>
      <c r="IU31" s="233"/>
      <c r="IV31" s="233"/>
    </row>
    <row r="32" spans="1:256" x14ac:dyDescent="0.3">
      <c r="A32" s="152" t="s">
        <v>232</v>
      </c>
      <c r="B32" s="153" t="s">
        <v>233</v>
      </c>
      <c r="C32" s="154">
        <v>1139</v>
      </c>
      <c r="D32" s="25">
        <v>222</v>
      </c>
      <c r="E32" s="25">
        <v>0</v>
      </c>
      <c r="F32" s="25">
        <v>0</v>
      </c>
      <c r="G32" s="157"/>
      <c r="H32" s="232"/>
      <c r="I32" s="232"/>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233"/>
    </row>
    <row r="33" spans="1:16" x14ac:dyDescent="0.3">
      <c r="A33" s="468" t="s">
        <v>158</v>
      </c>
      <c r="B33" s="150" t="s">
        <v>159</v>
      </c>
      <c r="C33" s="151">
        <f>SUM(C34:C35)</f>
        <v>250</v>
      </c>
      <c r="D33" s="38">
        <f>SUM(D34:D35)</f>
        <v>21264.891930000002</v>
      </c>
      <c r="E33" s="38">
        <f>SUM(E34:E35)</f>
        <v>300</v>
      </c>
      <c r="F33" s="38">
        <f>SUM(F34:F35)</f>
        <v>300</v>
      </c>
    </row>
    <row r="34" spans="1:16" ht="62.4" x14ac:dyDescent="0.3">
      <c r="A34" s="152" t="s">
        <v>234</v>
      </c>
      <c r="B34" s="153" t="s">
        <v>239</v>
      </c>
      <c r="C34" s="154">
        <v>0</v>
      </c>
      <c r="D34" s="25">
        <f>3250.05834+16621.51667</f>
        <v>19871.57501</v>
      </c>
      <c r="E34" s="25">
        <v>0</v>
      </c>
      <c r="F34" s="25">
        <v>0</v>
      </c>
      <c r="H34" s="234"/>
    </row>
    <row r="35" spans="1:16" ht="38.25" customHeight="1" x14ac:dyDescent="0.3">
      <c r="A35" s="152" t="s">
        <v>269</v>
      </c>
      <c r="B35" s="153" t="s">
        <v>270</v>
      </c>
      <c r="C35" s="154">
        <v>250</v>
      </c>
      <c r="D35" s="25">
        <f>350+821.05005+222.26687</f>
        <v>1393.31692</v>
      </c>
      <c r="E35" s="25">
        <v>300</v>
      </c>
      <c r="F35" s="25">
        <v>300</v>
      </c>
    </row>
    <row r="36" spans="1:16" x14ac:dyDescent="0.3">
      <c r="A36" s="470" t="s">
        <v>160</v>
      </c>
      <c r="B36" s="95" t="s">
        <v>161</v>
      </c>
      <c r="C36" s="38">
        <v>0</v>
      </c>
      <c r="D36" s="40">
        <v>1170</v>
      </c>
      <c r="E36" s="40">
        <v>1170</v>
      </c>
      <c r="F36" s="40">
        <v>1160</v>
      </c>
    </row>
    <row r="37" spans="1:16" x14ac:dyDescent="0.3">
      <c r="A37" s="468" t="s">
        <v>193</v>
      </c>
      <c r="B37" s="150" t="s">
        <v>194</v>
      </c>
      <c r="C37" s="151">
        <f>SUM(C38)</f>
        <v>0</v>
      </c>
      <c r="D37" s="38">
        <f>SUM(D38)</f>
        <v>488.8</v>
      </c>
      <c r="E37" s="38">
        <f>SUM(E38)</f>
        <v>424</v>
      </c>
      <c r="F37" s="38">
        <f>SUM(F38)</f>
        <v>424</v>
      </c>
    </row>
    <row r="38" spans="1:16" x14ac:dyDescent="0.3">
      <c r="A38" s="152" t="s">
        <v>196</v>
      </c>
      <c r="B38" s="153" t="s">
        <v>197</v>
      </c>
      <c r="C38" s="154">
        <v>0</v>
      </c>
      <c r="D38" s="39">
        <f>424+64.8</f>
        <v>488.8</v>
      </c>
      <c r="E38" s="39">
        <v>424</v>
      </c>
      <c r="F38" s="39">
        <v>424</v>
      </c>
    </row>
    <row r="39" spans="1:16" x14ac:dyDescent="0.3">
      <c r="A39" s="470" t="s">
        <v>162</v>
      </c>
      <c r="B39" s="95" t="s">
        <v>363</v>
      </c>
      <c r="C39" s="38" t="e">
        <f>C40</f>
        <v>#REF!</v>
      </c>
      <c r="D39" s="38">
        <f>D40</f>
        <v>634297.54535999987</v>
      </c>
      <c r="E39" s="38">
        <f>E40</f>
        <v>480206.78599999991</v>
      </c>
      <c r="F39" s="38">
        <f>F40</f>
        <v>496091.98444000003</v>
      </c>
      <c r="G39" s="158">
        <f>424+64.8</f>
        <v>488.8</v>
      </c>
      <c r="H39" s="158"/>
      <c r="I39" s="158"/>
      <c r="J39" s="234"/>
    </row>
    <row r="40" spans="1:16" ht="31.2" x14ac:dyDescent="0.3">
      <c r="A40" s="4" t="s">
        <v>163</v>
      </c>
      <c r="B40" s="96" t="s">
        <v>364</v>
      </c>
      <c r="C40" s="38" t="e">
        <f>C41+C44+C69+#REF!</f>
        <v>#REF!</v>
      </c>
      <c r="D40" s="38">
        <f>D41+D44+D69+D94</f>
        <v>634297.54535999987</v>
      </c>
      <c r="E40" s="38">
        <f>E41+E44+E69+E94</f>
        <v>480206.78599999991</v>
      </c>
      <c r="F40" s="38">
        <f>F41+F44+F69+F94</f>
        <v>496091.98444000003</v>
      </c>
      <c r="G40" s="158"/>
      <c r="H40" s="159"/>
      <c r="I40" s="159"/>
      <c r="J40" s="234"/>
    </row>
    <row r="41" spans="1:16" x14ac:dyDescent="0.3">
      <c r="A41" s="470" t="s">
        <v>352</v>
      </c>
      <c r="B41" s="95" t="s">
        <v>164</v>
      </c>
      <c r="C41" s="38">
        <f>C42+C43</f>
        <v>0</v>
      </c>
      <c r="D41" s="40">
        <f>D42+D43</f>
        <v>100764.423</v>
      </c>
      <c r="E41" s="40">
        <f>E42+E43</f>
        <v>22770.538</v>
      </c>
      <c r="F41" s="40">
        <f>F42+F43</f>
        <v>22770.538</v>
      </c>
      <c r="G41" s="160"/>
      <c r="H41" s="160"/>
      <c r="I41" s="160"/>
      <c r="J41" s="161"/>
    </row>
    <row r="42" spans="1:16" ht="31.2" x14ac:dyDescent="0.3">
      <c r="A42" s="4" t="s">
        <v>359</v>
      </c>
      <c r="B42" s="96" t="s">
        <v>115</v>
      </c>
      <c r="C42" s="39"/>
      <c r="D42" s="25">
        <v>90588.362999999998</v>
      </c>
      <c r="E42" s="25">
        <v>22770.538</v>
      </c>
      <c r="F42" s="25">
        <v>22770.538</v>
      </c>
      <c r="G42" s="161"/>
      <c r="H42" s="161"/>
      <c r="I42" s="161"/>
      <c r="J42" s="161"/>
      <c r="L42" s="234"/>
      <c r="M42" s="229"/>
      <c r="N42" s="229"/>
      <c r="O42" s="229"/>
      <c r="P42" s="229"/>
    </row>
    <row r="43" spans="1:16" ht="31.2" x14ac:dyDescent="0.3">
      <c r="A43" s="4" t="s">
        <v>304</v>
      </c>
      <c r="B43" s="96" t="s">
        <v>203</v>
      </c>
      <c r="C43" s="39"/>
      <c r="D43" s="25">
        <v>10176.06</v>
      </c>
      <c r="E43" s="25">
        <v>0</v>
      </c>
      <c r="F43" s="25">
        <v>0</v>
      </c>
      <c r="G43" s="161"/>
      <c r="H43" s="161"/>
      <c r="I43" s="161"/>
      <c r="J43" s="161"/>
      <c r="L43" s="234"/>
      <c r="M43" s="229"/>
      <c r="N43" s="229"/>
      <c r="O43" s="229"/>
      <c r="P43" s="229"/>
    </row>
    <row r="44" spans="1:16" ht="31.2" x14ac:dyDescent="0.3">
      <c r="A44" s="470" t="s">
        <v>497</v>
      </c>
      <c r="B44" s="95" t="s">
        <v>147</v>
      </c>
      <c r="C44" s="38" t="e">
        <f>C54+#REF!</f>
        <v>#REF!</v>
      </c>
      <c r="D44" s="40">
        <f>D54+D45+D50+D49+D51+D52+D53+D46+D47+D48</f>
        <v>113297.12228999998</v>
      </c>
      <c r="E44" s="40">
        <f>E54+E45+E50+E49+E51+E52+E53</f>
        <v>8132.3484100000005</v>
      </c>
      <c r="F44" s="40">
        <f>F54+F45+F50+F49+F51+F52+F53</f>
        <v>4144.6785300000001</v>
      </c>
      <c r="G44" s="160"/>
      <c r="H44" s="160"/>
      <c r="I44" s="160"/>
      <c r="J44" s="161"/>
      <c r="L44" s="234"/>
      <c r="M44" s="229"/>
      <c r="N44" s="229"/>
      <c r="O44" s="229"/>
      <c r="P44" s="229"/>
    </row>
    <row r="45" spans="1:16" ht="46.8" x14ac:dyDescent="0.3">
      <c r="A45" s="4" t="s">
        <v>575</v>
      </c>
      <c r="B45" s="96" t="s">
        <v>1100</v>
      </c>
      <c r="C45" s="39"/>
      <c r="D45" s="25">
        <v>714.87494000000004</v>
      </c>
      <c r="E45" s="25">
        <v>0</v>
      </c>
      <c r="F45" s="25">
        <v>0</v>
      </c>
      <c r="G45" s="161"/>
      <c r="H45" s="161"/>
      <c r="I45" s="161"/>
      <c r="J45" s="161"/>
      <c r="L45" s="234"/>
      <c r="M45" s="229"/>
      <c r="N45" s="229"/>
      <c r="O45" s="229"/>
      <c r="P45" s="229"/>
    </row>
    <row r="46" spans="1:16" ht="46.8" x14ac:dyDescent="0.3">
      <c r="A46" s="4" t="s">
        <v>646</v>
      </c>
      <c r="B46" s="96" t="s">
        <v>1070</v>
      </c>
      <c r="C46" s="39"/>
      <c r="D46" s="486">
        <v>102.04082</v>
      </c>
      <c r="E46" s="25">
        <v>0</v>
      </c>
      <c r="F46" s="25">
        <v>0</v>
      </c>
      <c r="G46" s="161"/>
      <c r="H46" s="161"/>
      <c r="I46" s="161"/>
      <c r="J46" s="161"/>
      <c r="L46" s="234"/>
      <c r="M46" s="229"/>
      <c r="N46" s="229"/>
      <c r="O46" s="229"/>
      <c r="P46" s="229"/>
    </row>
    <row r="47" spans="1:16" ht="46.8" x14ac:dyDescent="0.3">
      <c r="A47" s="4" t="s">
        <v>646</v>
      </c>
      <c r="B47" s="96" t="s">
        <v>1070</v>
      </c>
      <c r="C47" s="39"/>
      <c r="D47" s="25">
        <v>51.020409999999998</v>
      </c>
      <c r="E47" s="25">
        <v>0</v>
      </c>
      <c r="F47" s="25">
        <v>0</v>
      </c>
      <c r="G47" s="161"/>
      <c r="H47" s="161"/>
      <c r="I47" s="161"/>
      <c r="J47" s="161"/>
      <c r="L47" s="234"/>
      <c r="M47" s="229"/>
      <c r="N47" s="229"/>
      <c r="O47" s="229"/>
      <c r="P47" s="229"/>
    </row>
    <row r="48" spans="1:16" ht="54" hidden="1" customHeight="1" x14ac:dyDescent="0.3">
      <c r="A48" s="498" t="s">
        <v>1071</v>
      </c>
      <c r="B48" s="472" t="s">
        <v>1074</v>
      </c>
      <c r="C48" s="132"/>
      <c r="D48" s="25">
        <f>45918.36735-45918.36735</f>
        <v>0</v>
      </c>
      <c r="E48" s="25">
        <v>0</v>
      </c>
      <c r="F48" s="25">
        <v>0</v>
      </c>
      <c r="G48" s="161"/>
      <c r="H48" s="161"/>
      <c r="I48" s="161"/>
      <c r="J48" s="161"/>
      <c r="L48" s="234"/>
      <c r="M48" s="229"/>
      <c r="N48" s="229"/>
      <c r="O48" s="229"/>
      <c r="P48" s="229"/>
    </row>
    <row r="49" spans="1:16" ht="46.2" customHeight="1" x14ac:dyDescent="0.3">
      <c r="A49" s="4" t="s">
        <v>644</v>
      </c>
      <c r="B49" s="96" t="s">
        <v>645</v>
      </c>
      <c r="C49" s="39"/>
      <c r="D49" s="25">
        <v>911.27089999999998</v>
      </c>
      <c r="E49" s="486">
        <v>2815.68487</v>
      </c>
      <c r="F49" s="486">
        <v>2976.67353</v>
      </c>
      <c r="G49" s="161"/>
      <c r="H49" s="161"/>
      <c r="I49" s="161"/>
      <c r="J49" s="161"/>
      <c r="L49" s="234"/>
      <c r="M49" s="229"/>
      <c r="N49" s="229"/>
      <c r="O49" s="229"/>
      <c r="P49" s="229"/>
    </row>
    <row r="50" spans="1:16" ht="62.4" x14ac:dyDescent="0.3">
      <c r="A50" s="4" t="s">
        <v>646</v>
      </c>
      <c r="B50" s="96" t="s">
        <v>647</v>
      </c>
      <c r="C50" s="39"/>
      <c r="D50" s="25">
        <v>1608.7142899999999</v>
      </c>
      <c r="E50" s="25">
        <v>0</v>
      </c>
      <c r="F50" s="25">
        <v>0</v>
      </c>
      <c r="G50" s="161"/>
      <c r="H50" s="161"/>
      <c r="I50" s="161"/>
      <c r="J50" s="161"/>
      <c r="L50" s="234"/>
      <c r="M50" s="229"/>
      <c r="N50" s="229"/>
      <c r="O50" s="229"/>
      <c r="P50" s="229"/>
    </row>
    <row r="51" spans="1:16" ht="31.5" hidden="1" customHeight="1" x14ac:dyDescent="0.3">
      <c r="A51" s="162"/>
      <c r="B51" s="163" t="s">
        <v>648</v>
      </c>
      <c r="C51" s="132"/>
      <c r="D51" s="25"/>
      <c r="E51" s="25"/>
      <c r="F51" s="25"/>
      <c r="G51" s="161"/>
      <c r="H51" s="161"/>
      <c r="I51" s="161"/>
      <c r="J51" s="161"/>
      <c r="L51" s="234"/>
      <c r="M51" s="229"/>
      <c r="N51" s="229"/>
      <c r="O51" s="229"/>
      <c r="P51" s="229"/>
    </row>
    <row r="52" spans="1:16" ht="47.25" hidden="1" customHeight="1" x14ac:dyDescent="0.3">
      <c r="A52" s="162"/>
      <c r="B52" s="163" t="s">
        <v>649</v>
      </c>
      <c r="C52" s="132"/>
      <c r="D52" s="25"/>
      <c r="E52" s="25"/>
      <c r="F52" s="25"/>
      <c r="G52" s="161"/>
      <c r="H52" s="161"/>
      <c r="I52" s="161"/>
      <c r="J52" s="161"/>
      <c r="L52" s="234"/>
      <c r="M52" s="229"/>
      <c r="N52" s="229"/>
      <c r="O52" s="229"/>
      <c r="P52" s="229"/>
    </row>
    <row r="53" spans="1:16" ht="63" hidden="1" customHeight="1" x14ac:dyDescent="0.3">
      <c r="A53" s="162"/>
      <c r="B53" s="163" t="s">
        <v>650</v>
      </c>
      <c r="C53" s="132"/>
      <c r="D53" s="25"/>
      <c r="E53" s="25"/>
      <c r="F53" s="25"/>
      <c r="G53" s="161"/>
      <c r="H53" s="161"/>
      <c r="I53" s="161"/>
      <c r="J53" s="161"/>
      <c r="L53" s="234"/>
      <c r="M53" s="229"/>
      <c r="N53" s="229"/>
      <c r="O53" s="229"/>
      <c r="P53" s="229"/>
    </row>
    <row r="54" spans="1:16" ht="16.2" x14ac:dyDescent="0.3">
      <c r="A54" s="41" t="s">
        <v>353</v>
      </c>
      <c r="B54" s="164" t="s">
        <v>204</v>
      </c>
      <c r="C54" s="165" t="e">
        <f>#REF!</f>
        <v>#REF!</v>
      </c>
      <c r="D54" s="43">
        <f>SUM(D55:D68)</f>
        <v>109909.20092999999</v>
      </c>
      <c r="E54" s="43">
        <f t="shared" ref="E54:F54" si="0">SUM(E56:E68)</f>
        <v>5316.6635400000005</v>
      </c>
      <c r="F54" s="43">
        <f t="shared" si="0"/>
        <v>1168.0050000000001</v>
      </c>
      <c r="G54" s="161"/>
      <c r="H54" s="161"/>
      <c r="I54" s="161"/>
      <c r="J54" s="161"/>
      <c r="L54" s="234"/>
      <c r="M54" s="229"/>
      <c r="N54" s="229"/>
      <c r="O54" s="229"/>
      <c r="P54" s="229"/>
    </row>
    <row r="55" spans="1:16" ht="76.2" customHeight="1" x14ac:dyDescent="0.3">
      <c r="A55" s="539" t="s">
        <v>353</v>
      </c>
      <c r="B55" s="96" t="s">
        <v>1140</v>
      </c>
      <c r="C55" s="42"/>
      <c r="D55" s="25">
        <f>45918.36735+14030.61225</f>
        <v>59948.979599999999</v>
      </c>
      <c r="E55" s="43">
        <v>0</v>
      </c>
      <c r="F55" s="43">
        <v>0</v>
      </c>
      <c r="G55" s="161">
        <v>59948.979599999999</v>
      </c>
      <c r="H55" s="161">
        <f>G55-D55</f>
        <v>0</v>
      </c>
      <c r="I55" s="161"/>
      <c r="J55" s="161"/>
      <c r="L55" s="234"/>
      <c r="M55" s="229"/>
      <c r="N55" s="229"/>
      <c r="O55" s="229"/>
      <c r="P55" s="229"/>
    </row>
    <row r="56" spans="1:16" ht="46.8" x14ac:dyDescent="0.3">
      <c r="A56" s="493" t="s">
        <v>353</v>
      </c>
      <c r="B56" s="153" t="s">
        <v>538</v>
      </c>
      <c r="C56" s="165"/>
      <c r="D56" s="25">
        <v>5940</v>
      </c>
      <c r="E56" s="25">
        <v>0</v>
      </c>
      <c r="F56" s="25">
        <v>0</v>
      </c>
      <c r="G56" s="161"/>
      <c r="H56" s="161"/>
      <c r="I56" s="161"/>
      <c r="J56" s="161"/>
      <c r="L56" s="234"/>
      <c r="M56" s="229"/>
      <c r="N56" s="229"/>
      <c r="O56" s="229"/>
      <c r="P56" s="229"/>
    </row>
    <row r="57" spans="1:16" ht="46.8" x14ac:dyDescent="0.3">
      <c r="A57" s="493" t="s">
        <v>353</v>
      </c>
      <c r="B57" s="153" t="s">
        <v>1095</v>
      </c>
      <c r="C57" s="165"/>
      <c r="D57" s="25">
        <v>3000</v>
      </c>
      <c r="E57" s="25">
        <v>0</v>
      </c>
      <c r="F57" s="25">
        <v>0</v>
      </c>
      <c r="G57" s="161"/>
      <c r="H57" s="161"/>
      <c r="I57" s="161"/>
      <c r="J57" s="161"/>
      <c r="L57" s="234"/>
      <c r="M57" s="229"/>
      <c r="N57" s="229"/>
      <c r="O57" s="229"/>
      <c r="P57" s="229"/>
    </row>
    <row r="58" spans="1:16" ht="46.8" x14ac:dyDescent="0.3">
      <c r="A58" s="4" t="s">
        <v>353</v>
      </c>
      <c r="B58" s="96" t="s">
        <v>1047</v>
      </c>
      <c r="C58" s="42"/>
      <c r="D58" s="25">
        <v>1980</v>
      </c>
      <c r="E58" s="25">
        <v>0</v>
      </c>
      <c r="F58" s="25">
        <v>0</v>
      </c>
      <c r="G58" s="161"/>
      <c r="H58" s="161"/>
      <c r="I58" s="161"/>
      <c r="J58" s="161"/>
      <c r="L58" s="234"/>
      <c r="M58" s="229"/>
      <c r="N58" s="229"/>
      <c r="O58" s="229"/>
      <c r="P58" s="229"/>
    </row>
    <row r="59" spans="1:16" ht="37.950000000000003" customHeight="1" x14ac:dyDescent="0.3">
      <c r="A59" s="4" t="s">
        <v>353</v>
      </c>
      <c r="B59" s="96" t="s">
        <v>1134</v>
      </c>
      <c r="C59" s="42"/>
      <c r="D59" s="25">
        <v>5000</v>
      </c>
      <c r="E59" s="25">
        <v>0</v>
      </c>
      <c r="F59" s="25">
        <v>0</v>
      </c>
      <c r="G59" s="161"/>
      <c r="H59" s="161"/>
      <c r="I59" s="161"/>
      <c r="J59" s="161"/>
      <c r="L59" s="234"/>
      <c r="M59" s="229"/>
      <c r="N59" s="229"/>
      <c r="O59" s="229"/>
      <c r="P59" s="229"/>
    </row>
    <row r="60" spans="1:16" ht="46.8" x14ac:dyDescent="0.3">
      <c r="A60" s="4" t="s">
        <v>353</v>
      </c>
      <c r="B60" s="96" t="s">
        <v>649</v>
      </c>
      <c r="C60" s="42"/>
      <c r="D60" s="25">
        <v>7277.1593800000001</v>
      </c>
      <c r="E60" s="25">
        <v>0</v>
      </c>
      <c r="F60" s="25">
        <v>0</v>
      </c>
      <c r="G60" s="161"/>
      <c r="H60" s="161"/>
      <c r="I60" s="161"/>
      <c r="J60" s="161"/>
      <c r="L60" s="234"/>
      <c r="M60" s="229"/>
      <c r="N60" s="229"/>
      <c r="O60" s="229"/>
      <c r="P60" s="229"/>
    </row>
    <row r="61" spans="1:16" ht="62.4" x14ac:dyDescent="0.3">
      <c r="A61" s="4" t="s">
        <v>353</v>
      </c>
      <c r="B61" s="96" t="s">
        <v>650</v>
      </c>
      <c r="C61" s="42"/>
      <c r="D61" s="25">
        <f>340.5295+55.3755</f>
        <v>395.90499999999997</v>
      </c>
      <c r="E61" s="25">
        <v>0</v>
      </c>
      <c r="F61" s="25">
        <v>0</v>
      </c>
      <c r="G61" s="161"/>
      <c r="H61" s="161"/>
      <c r="I61" s="161"/>
      <c r="J61" s="161"/>
      <c r="L61" s="234"/>
      <c r="M61" s="229"/>
      <c r="N61" s="229"/>
      <c r="O61" s="229"/>
      <c r="P61" s="229"/>
    </row>
    <row r="62" spans="1:16" ht="31.2" x14ac:dyDescent="0.3">
      <c r="A62" s="4" t="s">
        <v>353</v>
      </c>
      <c r="B62" s="96" t="s">
        <v>651</v>
      </c>
      <c r="C62" s="39"/>
      <c r="D62" s="25">
        <v>9192.9670999999998</v>
      </c>
      <c r="E62" s="25">
        <v>0</v>
      </c>
      <c r="F62" s="25">
        <v>0</v>
      </c>
      <c r="G62" s="161"/>
      <c r="H62" s="161"/>
      <c r="I62" s="161"/>
      <c r="J62" s="161"/>
      <c r="L62" s="234"/>
      <c r="M62" s="229"/>
      <c r="N62" s="229"/>
      <c r="O62" s="229"/>
      <c r="P62" s="229"/>
    </row>
    <row r="63" spans="1:16" ht="46.8" x14ac:dyDescent="0.3">
      <c r="A63" s="4" t="s">
        <v>353</v>
      </c>
      <c r="B63" s="96" t="s">
        <v>573</v>
      </c>
      <c r="C63" s="39"/>
      <c r="D63" s="25">
        <v>1000</v>
      </c>
      <c r="E63" s="25">
        <v>1000</v>
      </c>
      <c r="F63" s="25">
        <v>1000</v>
      </c>
      <c r="G63" s="161"/>
      <c r="H63" s="161"/>
      <c r="I63" s="161"/>
      <c r="J63" s="161"/>
      <c r="L63" s="234"/>
      <c r="M63" s="229"/>
      <c r="N63" s="229"/>
      <c r="O63" s="229"/>
      <c r="P63" s="229"/>
    </row>
    <row r="64" spans="1:16" ht="45.6" customHeight="1" x14ac:dyDescent="0.3">
      <c r="A64" s="4" t="s">
        <v>353</v>
      </c>
      <c r="B64" s="96" t="s">
        <v>574</v>
      </c>
      <c r="C64" s="39"/>
      <c r="D64" s="25">
        <v>168.005</v>
      </c>
      <c r="E64" s="25">
        <v>168.005</v>
      </c>
      <c r="F64" s="25">
        <v>168.005</v>
      </c>
      <c r="G64" s="161"/>
      <c r="H64" s="161"/>
      <c r="I64" s="161"/>
      <c r="J64" s="161"/>
      <c r="L64" s="234"/>
      <c r="M64" s="229"/>
      <c r="N64" s="229"/>
      <c r="O64" s="229"/>
      <c r="P64" s="229"/>
    </row>
    <row r="65" spans="1:16" ht="45" customHeight="1" x14ac:dyDescent="0.3">
      <c r="A65" s="4" t="s">
        <v>353</v>
      </c>
      <c r="B65" s="153" t="s">
        <v>652</v>
      </c>
      <c r="C65" s="154"/>
      <c r="D65" s="25">
        <v>511.18484999999998</v>
      </c>
      <c r="E65" s="25">
        <v>0</v>
      </c>
      <c r="F65" s="25">
        <v>0</v>
      </c>
      <c r="G65" s="161"/>
      <c r="H65" s="161"/>
      <c r="I65" s="161"/>
      <c r="J65" s="161"/>
      <c r="L65" s="234"/>
      <c r="M65" s="229"/>
      <c r="N65" s="229"/>
      <c r="O65" s="229"/>
      <c r="P65" s="229"/>
    </row>
    <row r="66" spans="1:16" ht="45" customHeight="1" x14ac:dyDescent="0.3">
      <c r="A66" s="4" t="s">
        <v>353</v>
      </c>
      <c r="B66" s="551" t="s">
        <v>1072</v>
      </c>
      <c r="C66" s="551"/>
      <c r="D66" s="25">
        <f>12000+8000-5000</f>
        <v>15000</v>
      </c>
      <c r="E66" s="25">
        <v>0</v>
      </c>
      <c r="F66" s="25">
        <v>0</v>
      </c>
      <c r="G66" s="161"/>
      <c r="H66" s="161"/>
      <c r="I66" s="161"/>
      <c r="J66" s="161"/>
      <c r="L66" s="234"/>
      <c r="M66" s="229"/>
      <c r="N66" s="229"/>
      <c r="O66" s="229"/>
      <c r="P66" s="229"/>
    </row>
    <row r="67" spans="1:16" ht="31.5" customHeight="1" x14ac:dyDescent="0.3">
      <c r="A67" s="4" t="s">
        <v>353</v>
      </c>
      <c r="B67" s="96" t="s">
        <v>498</v>
      </c>
      <c r="C67" s="39"/>
      <c r="D67" s="25">
        <v>495</v>
      </c>
      <c r="E67" s="25">
        <v>0</v>
      </c>
      <c r="F67" s="25">
        <v>0</v>
      </c>
      <c r="G67" s="161"/>
      <c r="H67" s="161"/>
      <c r="I67" s="161"/>
      <c r="J67" s="161"/>
      <c r="L67" s="234"/>
      <c r="M67" s="229"/>
      <c r="N67" s="229"/>
      <c r="O67" s="229"/>
      <c r="P67" s="229"/>
    </row>
    <row r="68" spans="1:16" ht="64.5" customHeight="1" x14ac:dyDescent="0.3">
      <c r="A68" s="482" t="s">
        <v>1085</v>
      </c>
      <c r="B68" s="96" t="s">
        <v>1073</v>
      </c>
      <c r="C68" s="39"/>
      <c r="D68" s="25">
        <v>0</v>
      </c>
      <c r="E68" s="25">
        <v>4148.6585400000004</v>
      </c>
      <c r="F68" s="25">
        <v>0</v>
      </c>
      <c r="G68" s="161"/>
      <c r="H68" s="161"/>
      <c r="I68" s="161"/>
      <c r="J68" s="161"/>
      <c r="L68" s="234"/>
      <c r="M68" s="229"/>
      <c r="N68" s="229"/>
      <c r="O68" s="229"/>
      <c r="P68" s="229"/>
    </row>
    <row r="69" spans="1:16" ht="40.5" customHeight="1" x14ac:dyDescent="0.3">
      <c r="A69" s="470" t="s">
        <v>303</v>
      </c>
      <c r="B69" s="95" t="s">
        <v>215</v>
      </c>
      <c r="C69" s="38" t="e">
        <f>C88+#REF!+C86+C70+#REF!</f>
        <v>#REF!</v>
      </c>
      <c r="D69" s="38">
        <f>D70+D92</f>
        <v>393734.81226999999</v>
      </c>
      <c r="E69" s="38">
        <f>E70+E92</f>
        <v>424510.04294999992</v>
      </c>
      <c r="F69" s="38">
        <f>F70+F92</f>
        <v>443537.19711000007</v>
      </c>
      <c r="G69" s="160"/>
      <c r="H69" s="160"/>
      <c r="I69" s="160"/>
      <c r="J69" s="161"/>
      <c r="L69" s="234"/>
      <c r="M69" s="229"/>
      <c r="N69" s="229"/>
      <c r="O69" s="229"/>
      <c r="P69" s="229"/>
    </row>
    <row r="70" spans="1:16" ht="39.75" customHeight="1" x14ac:dyDescent="0.3">
      <c r="A70" s="41" t="s">
        <v>306</v>
      </c>
      <c r="B70" s="97" t="s">
        <v>137</v>
      </c>
      <c r="C70" s="42" t="e">
        <f>#REF!+C87+#REF!+C72+C74+C75+#REF!+C78+C79+C80+C71+C82+C76+#REF!</f>
        <v>#REF!</v>
      </c>
      <c r="D70" s="42">
        <f>SUM(D71:D89)</f>
        <v>393289.58526999998</v>
      </c>
      <c r="E70" s="42">
        <f>SUM(E71:E89)</f>
        <v>424060.80394999991</v>
      </c>
      <c r="F70" s="42">
        <f>SUM(F71:F89)</f>
        <v>443071.74811000004</v>
      </c>
      <c r="G70" s="161"/>
      <c r="H70" s="161"/>
      <c r="I70" s="161"/>
      <c r="J70" s="161"/>
      <c r="L70" s="234"/>
      <c r="M70" s="229"/>
      <c r="N70" s="229"/>
      <c r="O70" s="229"/>
      <c r="P70" s="229"/>
    </row>
    <row r="71" spans="1:16" ht="46.8" x14ac:dyDescent="0.3">
      <c r="A71" s="4" t="s">
        <v>306</v>
      </c>
      <c r="B71" s="96" t="s">
        <v>355</v>
      </c>
      <c r="C71" s="39">
        <v>2375</v>
      </c>
      <c r="D71" s="25">
        <v>1470</v>
      </c>
      <c r="E71" s="25">
        <v>1130</v>
      </c>
      <c r="F71" s="25">
        <v>0</v>
      </c>
      <c r="G71" s="161"/>
      <c r="H71" s="161"/>
      <c r="I71" s="161"/>
      <c r="J71" s="161"/>
      <c r="L71" s="234"/>
      <c r="M71" s="229"/>
      <c r="N71" s="229"/>
      <c r="O71" s="229"/>
      <c r="P71" s="229"/>
    </row>
    <row r="72" spans="1:16" ht="62.4" x14ac:dyDescent="0.3">
      <c r="A72" s="4" t="s">
        <v>306</v>
      </c>
      <c r="B72" s="96" t="s">
        <v>577</v>
      </c>
      <c r="C72" s="39">
        <v>48045.527999999998</v>
      </c>
      <c r="D72" s="25">
        <v>51964.42</v>
      </c>
      <c r="E72" s="25">
        <v>55123.663999999997</v>
      </c>
      <c r="F72" s="25">
        <v>58333.048000000003</v>
      </c>
      <c r="G72" s="161"/>
      <c r="H72" s="161"/>
      <c r="I72" s="161"/>
      <c r="J72" s="161"/>
      <c r="L72" s="234"/>
      <c r="M72" s="229"/>
      <c r="N72" s="229"/>
      <c r="O72" s="229"/>
      <c r="P72" s="229"/>
    </row>
    <row r="73" spans="1:16" ht="62.4" x14ac:dyDescent="0.3">
      <c r="A73" s="4" t="s">
        <v>306</v>
      </c>
      <c r="B73" s="96" t="s">
        <v>578</v>
      </c>
      <c r="C73" s="39"/>
      <c r="D73" s="25">
        <v>251389.158</v>
      </c>
      <c r="E73" s="25">
        <v>267175.44</v>
      </c>
      <c r="F73" s="25">
        <v>283183.27899999998</v>
      </c>
      <c r="G73" s="161"/>
      <c r="H73" s="161"/>
      <c r="I73" s="161"/>
      <c r="J73" s="161"/>
      <c r="L73" s="234"/>
      <c r="M73" s="229"/>
      <c r="N73" s="229"/>
      <c r="O73" s="229"/>
      <c r="P73" s="229"/>
    </row>
    <row r="74" spans="1:16" ht="46.8" x14ac:dyDescent="0.3">
      <c r="A74" s="4" t="s">
        <v>306</v>
      </c>
      <c r="B74" s="96" t="s">
        <v>653</v>
      </c>
      <c r="C74" s="39">
        <v>3064.058</v>
      </c>
      <c r="D74" s="25">
        <v>3671.3712</v>
      </c>
      <c r="E74" s="25">
        <v>6112.8</v>
      </c>
      <c r="F74" s="25">
        <v>6112.8</v>
      </c>
      <c r="G74" s="161"/>
      <c r="H74" s="161"/>
      <c r="I74" s="161"/>
      <c r="J74" s="161"/>
      <c r="L74" s="234"/>
      <c r="M74" s="229"/>
      <c r="N74" s="229"/>
      <c r="O74" s="229"/>
      <c r="P74" s="229"/>
    </row>
    <row r="75" spans="1:16" ht="47.25" customHeight="1" x14ac:dyDescent="0.3">
      <c r="A75" s="4" t="s">
        <v>306</v>
      </c>
      <c r="B75" s="96" t="s">
        <v>237</v>
      </c>
      <c r="C75" s="39">
        <v>768.47400000000005</v>
      </c>
      <c r="D75" s="25">
        <v>1101.2190000000001</v>
      </c>
      <c r="E75" s="25">
        <v>1111.5809999999999</v>
      </c>
      <c r="F75" s="25">
        <v>1153.444</v>
      </c>
      <c r="G75" s="161"/>
      <c r="H75" s="161"/>
      <c r="I75" s="161"/>
      <c r="J75" s="161"/>
      <c r="K75" s="234"/>
      <c r="L75" s="234"/>
      <c r="M75" s="229"/>
      <c r="N75" s="229"/>
      <c r="O75" s="229"/>
      <c r="P75" s="229"/>
    </row>
    <row r="76" spans="1:16" ht="46.8" x14ac:dyDescent="0.3">
      <c r="A76" s="4" t="s">
        <v>354</v>
      </c>
      <c r="B76" s="96" t="s">
        <v>501</v>
      </c>
      <c r="C76" s="39">
        <v>1804.088</v>
      </c>
      <c r="D76" s="25">
        <v>2582.8829999999998</v>
      </c>
      <c r="E76" s="25">
        <v>2607.136</v>
      </c>
      <c r="F76" s="25">
        <v>2705.1170000000002</v>
      </c>
      <c r="G76" s="161"/>
      <c r="H76" s="161"/>
      <c r="I76" s="161"/>
      <c r="J76" s="161"/>
      <c r="K76" s="234"/>
      <c r="L76" s="234"/>
      <c r="M76" s="229"/>
      <c r="N76" s="229"/>
      <c r="O76" s="229"/>
      <c r="P76" s="229"/>
    </row>
    <row r="77" spans="1:16" ht="46.8" x14ac:dyDescent="0.3">
      <c r="A77" s="4" t="s">
        <v>306</v>
      </c>
      <c r="B77" s="96" t="s">
        <v>654</v>
      </c>
      <c r="C77" s="39">
        <f>13848.602</f>
        <v>13848.602000000001</v>
      </c>
      <c r="D77" s="25">
        <v>11734.25</v>
      </c>
      <c r="E77" s="25">
        <v>11734.25</v>
      </c>
      <c r="F77" s="25">
        <v>11734.25</v>
      </c>
      <c r="G77" s="161"/>
      <c r="H77" s="161"/>
      <c r="I77" s="161"/>
      <c r="J77" s="161"/>
      <c r="K77" s="234"/>
      <c r="L77" s="234"/>
      <c r="M77" s="229"/>
      <c r="N77" s="229"/>
      <c r="O77" s="229"/>
      <c r="P77" s="229"/>
    </row>
    <row r="78" spans="1:16" ht="46.8" x14ac:dyDescent="0.3">
      <c r="A78" s="4" t="s">
        <v>306</v>
      </c>
      <c r="B78" s="96" t="s">
        <v>502</v>
      </c>
      <c r="C78" s="39">
        <v>11501.933999999999</v>
      </c>
      <c r="D78" s="25">
        <v>11041.041999999999</v>
      </c>
      <c r="E78" s="25">
        <v>11041.041999999999</v>
      </c>
      <c r="F78" s="25">
        <v>11041.041999999999</v>
      </c>
      <c r="G78" s="161"/>
      <c r="H78" s="161"/>
      <c r="I78" s="161"/>
      <c r="J78" s="161"/>
      <c r="K78" s="234"/>
      <c r="L78" s="234"/>
      <c r="M78" s="229"/>
      <c r="N78" s="229"/>
      <c r="O78" s="229"/>
      <c r="P78" s="229"/>
    </row>
    <row r="79" spans="1:16" ht="46.8" x14ac:dyDescent="0.3">
      <c r="A79" s="4" t="s">
        <v>306</v>
      </c>
      <c r="B79" s="96" t="s">
        <v>503</v>
      </c>
      <c r="C79" s="39">
        <v>1.6952400000000001</v>
      </c>
      <c r="D79" s="25">
        <v>2.31474</v>
      </c>
      <c r="E79" s="25">
        <v>2.4073199999999999</v>
      </c>
      <c r="F79" s="25">
        <v>2.5036200000000002</v>
      </c>
      <c r="G79" s="161"/>
      <c r="H79" s="161"/>
      <c r="I79" s="161"/>
      <c r="J79" s="161"/>
      <c r="K79" s="234"/>
      <c r="L79" s="234"/>
      <c r="M79" s="229"/>
      <c r="N79" s="229"/>
      <c r="O79" s="229"/>
      <c r="P79" s="229"/>
    </row>
    <row r="80" spans="1:16" ht="47.25" customHeight="1" x14ac:dyDescent="0.3">
      <c r="A80" s="4" t="s">
        <v>306</v>
      </c>
      <c r="B80" s="96" t="s">
        <v>655</v>
      </c>
      <c r="C80" s="39">
        <v>316.23500000000001</v>
      </c>
      <c r="D80" s="25">
        <v>1485.3911900000001</v>
      </c>
      <c r="E80" s="25">
        <v>1485.3911900000001</v>
      </c>
      <c r="F80" s="25">
        <v>1485.3911900000001</v>
      </c>
      <c r="G80" s="161"/>
      <c r="H80" s="161"/>
      <c r="I80" s="161"/>
      <c r="J80" s="161"/>
      <c r="K80" s="234"/>
      <c r="L80" s="234"/>
      <c r="M80" s="229"/>
      <c r="N80" s="229"/>
      <c r="O80" s="229"/>
      <c r="P80" s="229"/>
    </row>
    <row r="81" spans="1:256" ht="58.2" customHeight="1" x14ac:dyDescent="0.3">
      <c r="A81" s="4" t="s">
        <v>306</v>
      </c>
      <c r="B81" s="96" t="s">
        <v>506</v>
      </c>
      <c r="C81" s="39"/>
      <c r="D81" s="25">
        <f>16987.40035-1489.302</f>
        <v>15498.09835</v>
      </c>
      <c r="E81" s="25">
        <v>10793.35435</v>
      </c>
      <c r="F81" s="25">
        <v>10793.35434</v>
      </c>
      <c r="G81" s="161"/>
      <c r="H81" s="161"/>
      <c r="I81" s="161"/>
      <c r="J81" s="161"/>
      <c r="K81" s="234"/>
      <c r="L81" s="234"/>
      <c r="M81" s="229"/>
      <c r="N81" s="229"/>
      <c r="O81" s="229"/>
      <c r="P81" s="229"/>
    </row>
    <row r="82" spans="1:256" ht="52.5" customHeight="1" x14ac:dyDescent="0.3">
      <c r="A82" s="4" t="s">
        <v>354</v>
      </c>
      <c r="B82" s="96" t="s">
        <v>419</v>
      </c>
      <c r="C82" s="39">
        <v>22005.496800000001</v>
      </c>
      <c r="D82" s="25">
        <f>15399.59071</f>
        <v>15399.59071</v>
      </c>
      <c r="E82" s="25">
        <v>15787.855009999999</v>
      </c>
      <c r="F82" s="25">
        <v>16369.454879999999</v>
      </c>
      <c r="G82" s="161"/>
      <c r="H82" s="161"/>
      <c r="I82" s="161"/>
      <c r="J82" s="161"/>
      <c r="L82" s="234"/>
      <c r="M82" s="229"/>
      <c r="N82" s="229"/>
      <c r="O82" s="229"/>
      <c r="P82" s="229"/>
    </row>
    <row r="83" spans="1:256" ht="77.400000000000006" customHeight="1" x14ac:dyDescent="0.3">
      <c r="A83" s="4" t="s">
        <v>354</v>
      </c>
      <c r="B83" s="96" t="s">
        <v>795</v>
      </c>
      <c r="C83" s="39"/>
      <c r="D83" s="25">
        <v>3.3870800000000001</v>
      </c>
      <c r="E83" s="25">
        <v>3.3870800000000001</v>
      </c>
      <c r="F83" s="25">
        <v>3.3870800000000001</v>
      </c>
      <c r="G83" s="161"/>
      <c r="H83" s="161"/>
      <c r="I83" s="161"/>
      <c r="J83" s="161"/>
      <c r="L83" s="234"/>
      <c r="M83" s="229"/>
      <c r="N83" s="229"/>
      <c r="O83" s="229"/>
      <c r="P83" s="229"/>
    </row>
    <row r="84" spans="1:256" ht="82.95" customHeight="1" x14ac:dyDescent="0.3">
      <c r="A84" s="496" t="s">
        <v>1086</v>
      </c>
      <c r="B84" s="96" t="s">
        <v>191</v>
      </c>
      <c r="C84" s="39">
        <v>4647.3230000000003</v>
      </c>
      <c r="D84" s="39">
        <v>5743.3270000000002</v>
      </c>
      <c r="E84" s="39">
        <v>5971.61</v>
      </c>
      <c r="F84" s="25">
        <v>6210.7650000000003</v>
      </c>
      <c r="G84" s="161"/>
      <c r="H84" s="161"/>
      <c r="I84" s="161"/>
      <c r="J84" s="161"/>
      <c r="L84" s="234"/>
      <c r="M84" s="229"/>
      <c r="N84" s="229"/>
      <c r="O84" s="229"/>
      <c r="P84" s="229"/>
    </row>
    <row r="85" spans="1:256" ht="66.75" customHeight="1" x14ac:dyDescent="0.3">
      <c r="A85" s="4" t="s">
        <v>576</v>
      </c>
      <c r="B85" s="96" t="s">
        <v>656</v>
      </c>
      <c r="C85" s="39"/>
      <c r="D85" s="25">
        <f>13550.4-13550.4</f>
        <v>0</v>
      </c>
      <c r="E85" s="25">
        <v>13550.4</v>
      </c>
      <c r="F85" s="25">
        <v>13550.4</v>
      </c>
      <c r="G85" s="161"/>
      <c r="H85" s="161"/>
      <c r="I85" s="161"/>
      <c r="O85" s="229"/>
      <c r="P85" s="229"/>
    </row>
    <row r="86" spans="1:256" ht="54.6" customHeight="1" x14ac:dyDescent="0.3">
      <c r="A86" s="4" t="s">
        <v>305</v>
      </c>
      <c r="B86" s="96" t="s">
        <v>500</v>
      </c>
      <c r="C86" s="39">
        <v>18.268000000000001</v>
      </c>
      <c r="D86" s="25">
        <v>11.829000000000001</v>
      </c>
      <c r="E86" s="25">
        <v>12.269</v>
      </c>
      <c r="F86" s="25">
        <v>151.56200000000001</v>
      </c>
      <c r="G86" s="161"/>
      <c r="H86" s="161"/>
      <c r="I86" s="161"/>
      <c r="J86" s="161"/>
      <c r="L86" s="234"/>
      <c r="M86" s="229"/>
      <c r="N86" s="229"/>
      <c r="O86" s="229"/>
      <c r="P86" s="229"/>
    </row>
    <row r="87" spans="1:256" ht="46.8" x14ac:dyDescent="0.3">
      <c r="A87" s="4" t="s">
        <v>410</v>
      </c>
      <c r="B87" s="96" t="s">
        <v>411</v>
      </c>
      <c r="C87" s="39">
        <v>13848.602000000001</v>
      </c>
      <c r="D87" s="25">
        <v>15880.55</v>
      </c>
      <c r="E87" s="25">
        <v>15880.55</v>
      </c>
      <c r="F87" s="25">
        <v>15533.75</v>
      </c>
      <c r="G87" s="161"/>
      <c r="H87" s="161"/>
      <c r="I87" s="161"/>
      <c r="J87" s="161"/>
      <c r="L87" s="234"/>
      <c r="M87" s="229"/>
      <c r="N87" s="229"/>
      <c r="O87" s="229"/>
      <c r="P87" s="229"/>
    </row>
    <row r="88" spans="1:256" ht="47.25" customHeight="1" x14ac:dyDescent="0.3">
      <c r="A88" s="4" t="s">
        <v>302</v>
      </c>
      <c r="B88" s="96" t="s">
        <v>499</v>
      </c>
      <c r="C88" s="39">
        <v>1331</v>
      </c>
      <c r="D88" s="25">
        <v>1447.646</v>
      </c>
      <c r="E88" s="25">
        <v>1641.578</v>
      </c>
      <c r="F88" s="25">
        <v>1696.2670000000001</v>
      </c>
      <c r="G88" s="161"/>
      <c r="H88" s="161"/>
      <c r="I88" s="161"/>
      <c r="J88" s="161"/>
      <c r="L88" s="234"/>
      <c r="M88" s="229"/>
      <c r="N88" s="229"/>
      <c r="O88" s="229"/>
      <c r="P88" s="229"/>
    </row>
    <row r="89" spans="1:256" ht="52.2" customHeight="1" x14ac:dyDescent="0.3">
      <c r="A89" s="235" t="s">
        <v>443</v>
      </c>
      <c r="B89" s="164" t="s">
        <v>444</v>
      </c>
      <c r="C89" s="165" t="e">
        <f>#REF!+#REF!</f>
        <v>#REF!</v>
      </c>
      <c r="D89" s="43">
        <f>D90+D91</f>
        <v>2863.1080000000002</v>
      </c>
      <c r="E89" s="43">
        <f t="shared" ref="E89:F89" si="1">E90+E91</f>
        <v>2896.0889999999999</v>
      </c>
      <c r="F89" s="43">
        <f t="shared" si="1"/>
        <v>3011.933</v>
      </c>
      <c r="G89" s="161"/>
      <c r="H89" s="161"/>
      <c r="I89" s="161"/>
      <c r="J89" s="161"/>
      <c r="L89" s="234"/>
      <c r="M89" s="229"/>
      <c r="N89" s="229"/>
      <c r="O89" s="229"/>
      <c r="P89" s="229"/>
    </row>
    <row r="90" spans="1:256" ht="47.25" customHeight="1" x14ac:dyDescent="0.3">
      <c r="A90" s="166" t="s">
        <v>443</v>
      </c>
      <c r="B90" s="167" t="s">
        <v>238</v>
      </c>
      <c r="C90" s="168"/>
      <c r="D90" s="136">
        <f>1017+165.141</f>
        <v>1182.1410000000001</v>
      </c>
      <c r="E90" s="136">
        <v>1052.0730000000001</v>
      </c>
      <c r="F90" s="136">
        <v>1094.155</v>
      </c>
      <c r="G90" s="161"/>
      <c r="H90" s="161"/>
      <c r="I90" s="161"/>
      <c r="J90" s="161"/>
      <c r="L90" s="234"/>
      <c r="M90" s="229"/>
      <c r="N90" s="229"/>
      <c r="O90" s="229"/>
      <c r="P90" s="229"/>
    </row>
    <row r="91" spans="1:256" ht="47.25" customHeight="1" x14ac:dyDescent="0.3">
      <c r="A91" s="166" t="s">
        <v>443</v>
      </c>
      <c r="B91" s="167" t="s">
        <v>187</v>
      </c>
      <c r="C91" s="168"/>
      <c r="D91" s="136">
        <f>1846.108-165.141</f>
        <v>1680.9669999999999</v>
      </c>
      <c r="E91" s="136">
        <v>1844.0160000000001</v>
      </c>
      <c r="F91" s="136">
        <v>1917.778</v>
      </c>
      <c r="G91" s="161"/>
      <c r="H91" s="161"/>
      <c r="I91" s="161"/>
      <c r="J91" s="161"/>
      <c r="L91" s="234"/>
      <c r="M91" s="229"/>
      <c r="N91" s="229"/>
      <c r="O91" s="229"/>
      <c r="P91" s="229"/>
    </row>
    <row r="92" spans="1:256" ht="53.4" customHeight="1" x14ac:dyDescent="0.3">
      <c r="A92" s="41" t="s">
        <v>470</v>
      </c>
      <c r="B92" s="97" t="s">
        <v>471</v>
      </c>
      <c r="C92" s="42"/>
      <c r="D92" s="43">
        <f>D93</f>
        <v>445.22699999999998</v>
      </c>
      <c r="E92" s="43">
        <f>E93</f>
        <v>449.23899999999998</v>
      </c>
      <c r="F92" s="43">
        <f>F93</f>
        <v>465.44900000000001</v>
      </c>
      <c r="G92" s="161"/>
      <c r="H92" s="161"/>
      <c r="I92" s="161"/>
      <c r="J92" s="161"/>
      <c r="K92" s="234"/>
      <c r="L92" s="234"/>
      <c r="M92" s="229"/>
      <c r="N92" s="229"/>
      <c r="O92" s="229"/>
      <c r="P92" s="229"/>
    </row>
    <row r="93" spans="1:256" ht="53.4" customHeight="1" x14ac:dyDescent="0.3">
      <c r="A93" s="4" t="s">
        <v>470</v>
      </c>
      <c r="B93" s="96" t="s">
        <v>694</v>
      </c>
      <c r="C93" s="39"/>
      <c r="D93" s="25">
        <v>445.22699999999998</v>
      </c>
      <c r="E93" s="25">
        <v>449.23899999999998</v>
      </c>
      <c r="F93" s="25">
        <v>465.44900000000001</v>
      </c>
      <c r="G93" s="161"/>
      <c r="H93" s="161"/>
      <c r="I93" s="161"/>
      <c r="J93" s="161"/>
      <c r="K93" s="234"/>
      <c r="L93" s="234"/>
      <c r="M93" s="229"/>
      <c r="N93" s="229"/>
      <c r="O93" s="229"/>
      <c r="P93" s="229"/>
    </row>
    <row r="94" spans="1:256" x14ac:dyDescent="0.3">
      <c r="A94" s="470" t="s">
        <v>356</v>
      </c>
      <c r="B94" s="95" t="s">
        <v>365</v>
      </c>
      <c r="C94" s="38">
        <v>0</v>
      </c>
      <c r="D94" s="40">
        <f>D97+D96+D95</f>
        <v>26501.1878</v>
      </c>
      <c r="E94" s="40">
        <f>E97+E96+E95</f>
        <v>24793.856639999998</v>
      </c>
      <c r="F94" s="40">
        <f>F97+F96+F95</f>
        <v>25639.570800000001</v>
      </c>
      <c r="G94" s="160"/>
      <c r="H94" s="160"/>
      <c r="I94" s="160"/>
      <c r="J94" s="236"/>
      <c r="K94" s="37"/>
      <c r="L94" s="37"/>
      <c r="M94" s="237"/>
      <c r="N94" s="237"/>
      <c r="O94" s="237"/>
      <c r="P94" s="237"/>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1:256" ht="47.4" customHeight="1" x14ac:dyDescent="0.3">
      <c r="A95" s="4" t="s">
        <v>357</v>
      </c>
      <c r="B95" s="96" t="s">
        <v>657</v>
      </c>
      <c r="C95" s="39"/>
      <c r="D95" s="25">
        <v>447.71300000000002</v>
      </c>
      <c r="E95" s="25">
        <v>0</v>
      </c>
      <c r="F95" s="25">
        <v>0</v>
      </c>
      <c r="G95" s="161"/>
      <c r="H95" s="236"/>
      <c r="I95" s="236"/>
      <c r="J95" s="236"/>
      <c r="K95" s="37"/>
      <c r="L95" s="37"/>
      <c r="M95" s="237"/>
      <c r="N95" s="237"/>
      <c r="O95" s="237"/>
      <c r="P95" s="237"/>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1:256" ht="62.4" x14ac:dyDescent="0.3">
      <c r="A96" s="4" t="s">
        <v>602</v>
      </c>
      <c r="B96" s="96" t="s">
        <v>603</v>
      </c>
      <c r="C96" s="39"/>
      <c r="D96" s="25">
        <f>3382.85664-2133.38184</f>
        <v>1249.4748</v>
      </c>
      <c r="E96" s="25">
        <v>3382.85664</v>
      </c>
      <c r="F96" s="25">
        <v>4228.5708000000004</v>
      </c>
      <c r="G96" s="161">
        <v>1249.4748</v>
      </c>
      <c r="H96" s="161">
        <f>D96-G96</f>
        <v>0</v>
      </c>
      <c r="I96" s="161"/>
      <c r="J96" s="236"/>
      <c r="K96" s="37"/>
      <c r="L96" s="37"/>
      <c r="M96" s="237"/>
      <c r="N96" s="237"/>
      <c r="O96" s="237"/>
      <c r="P96" s="237"/>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1:256" ht="46.8" x14ac:dyDescent="0.3">
      <c r="A97" s="4" t="s">
        <v>409</v>
      </c>
      <c r="B97" s="96" t="s">
        <v>412</v>
      </c>
      <c r="C97" s="39">
        <v>0</v>
      </c>
      <c r="D97" s="25">
        <f>21411+3393</f>
        <v>24804</v>
      </c>
      <c r="E97" s="25">
        <v>21411</v>
      </c>
      <c r="F97" s="25">
        <v>21411</v>
      </c>
      <c r="G97" s="161"/>
      <c r="H97" s="236"/>
      <c r="I97" s="236"/>
      <c r="J97" s="236"/>
      <c r="K97" s="37"/>
      <c r="L97" s="37"/>
      <c r="M97" s="237"/>
      <c r="N97" s="237"/>
      <c r="O97" s="237"/>
      <c r="P97" s="237"/>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1:256" x14ac:dyDescent="0.3">
      <c r="A98" s="4"/>
      <c r="B98" s="95" t="s">
        <v>176</v>
      </c>
      <c r="C98" s="38" t="e">
        <f>C10+C39</f>
        <v>#REF!</v>
      </c>
      <c r="D98" s="38">
        <f>D10+D39</f>
        <v>925067.56128999987</v>
      </c>
      <c r="E98" s="38">
        <f>E10+E39</f>
        <v>754632.78599999985</v>
      </c>
      <c r="F98" s="38">
        <f>F10+F39</f>
        <v>766856.98444000003</v>
      </c>
      <c r="G98" s="161"/>
      <c r="H98" s="236"/>
      <c r="I98" s="236"/>
      <c r="J98" s="236"/>
      <c r="K98" s="37"/>
      <c r="L98" s="37"/>
      <c r="M98" s="237"/>
      <c r="N98" s="237"/>
      <c r="O98" s="237"/>
      <c r="P98" s="237"/>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1:256" ht="49.2" customHeight="1" x14ac:dyDescent="0.3">
      <c r="B99" s="141" t="s">
        <v>1098</v>
      </c>
      <c r="C99" s="238"/>
      <c r="D99" s="451">
        <v>923348.78374999994</v>
      </c>
      <c r="G99" s="239"/>
      <c r="H99" s="37"/>
      <c r="I99" s="234"/>
      <c r="J99" s="234"/>
      <c r="K99" s="234"/>
      <c r="L99" s="234"/>
      <c r="M99" s="229"/>
      <c r="N99" s="229"/>
      <c r="O99" s="229"/>
      <c r="P99" s="229"/>
    </row>
    <row r="100" spans="1:256" ht="51" customHeight="1" x14ac:dyDescent="0.3">
      <c r="B100" s="141" t="s">
        <v>1099</v>
      </c>
      <c r="C100" s="144"/>
      <c r="D100" s="37">
        <v>925067.56128999998</v>
      </c>
      <c r="F100" s="37"/>
      <c r="G100" s="157"/>
      <c r="J100" s="234"/>
      <c r="K100" s="234"/>
      <c r="L100" s="234"/>
      <c r="M100" s="229"/>
      <c r="N100" s="229"/>
      <c r="O100" s="229"/>
      <c r="P100" s="229"/>
    </row>
    <row r="101" spans="1:256" x14ac:dyDescent="0.3">
      <c r="A101" s="240"/>
      <c r="B101" s="44"/>
      <c r="C101" s="241"/>
      <c r="D101" s="37">
        <f>D100-D99</f>
        <v>1718.7775400000392</v>
      </c>
      <c r="J101" s="234"/>
      <c r="K101" s="234"/>
      <c r="L101" s="234"/>
      <c r="M101" s="229"/>
      <c r="N101" s="229"/>
      <c r="O101" s="229"/>
      <c r="P101" s="229"/>
    </row>
    <row r="102" spans="1:256" x14ac:dyDescent="0.3">
      <c r="A102" s="240"/>
      <c r="B102" s="44"/>
      <c r="C102" s="241"/>
      <c r="L102" s="234"/>
      <c r="M102" s="229"/>
      <c r="N102" s="229"/>
      <c r="O102" s="229"/>
      <c r="P102" s="229"/>
    </row>
    <row r="103" spans="1:256" x14ac:dyDescent="0.3">
      <c r="K103" s="242"/>
    </row>
    <row r="106" spans="1:256" ht="67.95" customHeight="1" x14ac:dyDescent="0.3"/>
    <row r="107" spans="1:256" ht="54" customHeight="1" x14ac:dyDescent="0.3"/>
    <row r="109" spans="1:256" ht="51.6" customHeight="1" x14ac:dyDescent="0.3"/>
    <row r="110" spans="1:256" ht="65.400000000000006" customHeight="1" x14ac:dyDescent="0.3"/>
    <row r="111" spans="1:256" ht="50.4" customHeight="1" x14ac:dyDescent="0.3"/>
  </sheetData>
  <mergeCells count="12">
    <mergeCell ref="B66:C66"/>
    <mergeCell ref="A6:F6"/>
    <mergeCell ref="D1:F1"/>
    <mergeCell ref="D2:F2"/>
    <mergeCell ref="D3:F3"/>
    <mergeCell ref="A8:A9"/>
    <mergeCell ref="B8:B9"/>
    <mergeCell ref="C8:C9"/>
    <mergeCell ref="D8:D9"/>
    <mergeCell ref="E8:E9"/>
    <mergeCell ref="F8:F9"/>
    <mergeCell ref="D4:F4"/>
  </mergeCells>
  <pageMargins left="0.25" right="0.25" top="0.75" bottom="0.75" header="0.3" footer="0.3"/>
  <pageSetup paperSize="9" scale="59" fitToHeight="0" orientation="portrait" r:id="rId1"/>
  <rowBreaks count="1" manualBreakCount="1">
    <brk id="4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69"/>
  <sheetViews>
    <sheetView view="pageBreakPreview" topLeftCell="A939" zoomScale="65" zoomScaleSheetLayoutView="65" workbookViewId="0">
      <selection activeCell="F42" sqref="F42"/>
    </sheetView>
  </sheetViews>
  <sheetFormatPr defaultColWidth="8.6640625" defaultRowHeight="15.6" x14ac:dyDescent="0.3"/>
  <cols>
    <col min="1" max="1" width="46" style="47" customWidth="1"/>
    <col min="2" max="2" width="4.6640625" style="46" customWidth="1"/>
    <col min="3" max="3" width="5.44140625" style="46" customWidth="1"/>
    <col min="4" max="4" width="14.6640625" style="46" customWidth="1"/>
    <col min="5" max="5" width="5.5546875" style="46" customWidth="1"/>
    <col min="6" max="6" width="18.88671875" style="247" customWidth="1"/>
    <col min="7" max="7" width="20" style="247" customWidth="1"/>
    <col min="8" max="8" width="18.88671875" style="247" customWidth="1"/>
    <col min="9" max="9" width="23" style="247" customWidth="1"/>
    <col min="10" max="10" width="16.33203125" style="247" customWidth="1"/>
    <col min="11" max="11" width="19.88671875" style="247" customWidth="1"/>
    <col min="12" max="12" width="12.88671875" style="247" customWidth="1"/>
    <col min="13" max="16384" width="8.6640625" style="247"/>
  </cols>
  <sheetData>
    <row r="1" spans="1:11" x14ac:dyDescent="0.3">
      <c r="A1" s="560" t="s">
        <v>696</v>
      </c>
      <c r="B1" s="560"/>
      <c r="C1" s="560"/>
      <c r="D1" s="560"/>
      <c r="E1" s="560"/>
      <c r="F1" s="560"/>
      <c r="G1" s="560"/>
      <c r="H1" s="560"/>
    </row>
    <row r="2" spans="1:11" x14ac:dyDescent="0.3">
      <c r="A2" s="560" t="s">
        <v>220</v>
      </c>
      <c r="B2" s="560"/>
      <c r="C2" s="560"/>
      <c r="D2" s="560"/>
      <c r="E2" s="560"/>
      <c r="F2" s="560"/>
      <c r="G2" s="560"/>
      <c r="H2" s="560"/>
    </row>
    <row r="3" spans="1:11" x14ac:dyDescent="0.3">
      <c r="A3" s="560" t="s">
        <v>221</v>
      </c>
      <c r="B3" s="560"/>
      <c r="C3" s="560"/>
      <c r="D3" s="560"/>
      <c r="E3" s="560"/>
      <c r="F3" s="560"/>
      <c r="G3" s="560"/>
      <c r="H3" s="560"/>
    </row>
    <row r="4" spans="1:11" ht="15.75" customHeight="1" x14ac:dyDescent="0.3">
      <c r="A4" s="561" t="s">
        <v>1154</v>
      </c>
      <c r="B4" s="561"/>
      <c r="C4" s="561"/>
      <c r="D4" s="561"/>
      <c r="E4" s="561"/>
      <c r="F4" s="561"/>
      <c r="G4" s="561"/>
      <c r="H4" s="561"/>
    </row>
    <row r="5" spans="1:11" ht="4.5" customHeight="1" x14ac:dyDescent="0.3"/>
    <row r="6" spans="1:11" x14ac:dyDescent="0.25">
      <c r="A6" s="562" t="s">
        <v>222</v>
      </c>
      <c r="B6" s="562"/>
      <c r="C6" s="562"/>
      <c r="D6" s="562"/>
      <c r="E6" s="562"/>
      <c r="F6" s="562"/>
      <c r="G6" s="562"/>
      <c r="H6" s="562"/>
    </row>
    <row r="7" spans="1:11" ht="16.5" customHeight="1" x14ac:dyDescent="0.25">
      <c r="A7" s="562" t="s">
        <v>959</v>
      </c>
      <c r="B7" s="562"/>
      <c r="C7" s="562"/>
      <c r="D7" s="562"/>
      <c r="E7" s="562"/>
      <c r="F7" s="562"/>
      <c r="G7" s="562"/>
      <c r="H7" s="562"/>
    </row>
    <row r="8" spans="1:11" ht="15.75" customHeight="1" x14ac:dyDescent="0.25">
      <c r="A8" s="562" t="s">
        <v>697</v>
      </c>
      <c r="B8" s="562"/>
      <c r="C8" s="562"/>
      <c r="D8" s="562"/>
      <c r="E8" s="562"/>
      <c r="F8" s="562"/>
      <c r="G8" s="562"/>
      <c r="H8" s="562"/>
    </row>
    <row r="9" spans="1:11" ht="29.4" customHeight="1" x14ac:dyDescent="0.25">
      <c r="A9" s="248"/>
      <c r="B9" s="248"/>
      <c r="C9" s="249"/>
      <c r="D9" s="249"/>
      <c r="E9" s="249"/>
      <c r="F9" s="249"/>
      <c r="G9" s="249"/>
      <c r="H9" s="250" t="s">
        <v>102</v>
      </c>
    </row>
    <row r="10" spans="1:11" ht="12" customHeight="1" x14ac:dyDescent="0.25">
      <c r="A10" s="563" t="s">
        <v>205</v>
      </c>
      <c r="B10" s="563" t="s">
        <v>105</v>
      </c>
      <c r="C10" s="563" t="s">
        <v>106</v>
      </c>
      <c r="D10" s="563" t="s">
        <v>206</v>
      </c>
      <c r="E10" s="563" t="s">
        <v>107</v>
      </c>
      <c r="F10" s="563" t="s">
        <v>505</v>
      </c>
      <c r="G10" s="563" t="s">
        <v>566</v>
      </c>
      <c r="H10" s="563" t="s">
        <v>687</v>
      </c>
    </row>
    <row r="11" spans="1:11" ht="52.5" customHeight="1" x14ac:dyDescent="0.25">
      <c r="A11" s="563"/>
      <c r="B11" s="563"/>
      <c r="C11" s="563"/>
      <c r="D11" s="563"/>
      <c r="E11" s="563"/>
      <c r="F11" s="563"/>
      <c r="G11" s="563"/>
      <c r="H11" s="563"/>
    </row>
    <row r="12" spans="1:11" s="251" customFormat="1" ht="15.6" customHeight="1" x14ac:dyDescent="0.25">
      <c r="A12" s="483">
        <v>1</v>
      </c>
      <c r="B12" s="483">
        <v>2</v>
      </c>
      <c r="C12" s="483">
        <v>3</v>
      </c>
      <c r="D12" s="483">
        <v>4</v>
      </c>
      <c r="E12" s="483">
        <v>5</v>
      </c>
      <c r="F12" s="483">
        <v>6</v>
      </c>
      <c r="G12" s="483">
        <v>7</v>
      </c>
      <c r="H12" s="483">
        <v>8</v>
      </c>
    </row>
    <row r="13" spans="1:11" s="255" customFormat="1" ht="18.75" customHeight="1" x14ac:dyDescent="0.25">
      <c r="A13" s="252" t="s">
        <v>698</v>
      </c>
      <c r="B13" s="253" t="s">
        <v>108</v>
      </c>
      <c r="C13" s="253" t="s">
        <v>109</v>
      </c>
      <c r="D13" s="253" t="s">
        <v>699</v>
      </c>
      <c r="E13" s="253" t="s">
        <v>223</v>
      </c>
      <c r="F13" s="254">
        <f>F14+F20+F35+F48+F68+F72+F78+F84+F45</f>
        <v>88968.190260000003</v>
      </c>
      <c r="G13" s="254">
        <f>G14+G20+G35+G48+G68+G72+G78+G84+G45</f>
        <v>86561.024349999992</v>
      </c>
      <c r="H13" s="254">
        <f>H14+H20+H35+H48+H68+H72+H78+H84+H45</f>
        <v>86908.923340000008</v>
      </c>
    </row>
    <row r="14" spans="1:11" s="260" customFormat="1" ht="54" customHeight="1" x14ac:dyDescent="0.25">
      <c r="A14" s="256" t="s">
        <v>700</v>
      </c>
      <c r="B14" s="257" t="s">
        <v>108</v>
      </c>
      <c r="C14" s="257" t="s">
        <v>701</v>
      </c>
      <c r="D14" s="257" t="s">
        <v>699</v>
      </c>
      <c r="E14" s="257" t="s">
        <v>223</v>
      </c>
      <c r="F14" s="258">
        <f t="shared" ref="F14:H18" si="0">F15</f>
        <v>3257.7</v>
      </c>
      <c r="G14" s="258">
        <f t="shared" si="0"/>
        <v>3257.7</v>
      </c>
      <c r="H14" s="258">
        <f t="shared" si="0"/>
        <v>3257.7</v>
      </c>
      <c r="I14" s="259"/>
      <c r="J14" s="259"/>
      <c r="K14" s="259"/>
    </row>
    <row r="15" spans="1:11" ht="33" customHeight="1" x14ac:dyDescent="0.25">
      <c r="A15" s="261" t="s">
        <v>702</v>
      </c>
      <c r="B15" s="262" t="s">
        <v>108</v>
      </c>
      <c r="C15" s="262" t="s">
        <v>701</v>
      </c>
      <c r="D15" s="262" t="s">
        <v>5</v>
      </c>
      <c r="E15" s="262" t="s">
        <v>223</v>
      </c>
      <c r="F15" s="263">
        <f t="shared" si="0"/>
        <v>3257.7</v>
      </c>
      <c r="G15" s="263">
        <f t="shared" si="0"/>
        <v>3257.7</v>
      </c>
      <c r="H15" s="263">
        <f t="shared" si="0"/>
        <v>3257.7</v>
      </c>
    </row>
    <row r="16" spans="1:11" ht="48" customHeight="1" x14ac:dyDescent="0.25">
      <c r="A16" s="261" t="s">
        <v>110</v>
      </c>
      <c r="B16" s="262" t="s">
        <v>108</v>
      </c>
      <c r="C16" s="262" t="s">
        <v>701</v>
      </c>
      <c r="D16" s="262" t="s">
        <v>6</v>
      </c>
      <c r="E16" s="262" t="s">
        <v>223</v>
      </c>
      <c r="F16" s="263">
        <f t="shared" si="0"/>
        <v>3257.7</v>
      </c>
      <c r="G16" s="263">
        <f t="shared" si="0"/>
        <v>3257.7</v>
      </c>
      <c r="H16" s="263">
        <f t="shared" si="0"/>
        <v>3257.7</v>
      </c>
    </row>
    <row r="17" spans="1:11" s="266" customFormat="1" ht="16.5" customHeight="1" x14ac:dyDescent="0.3">
      <c r="A17" s="264" t="s">
        <v>228</v>
      </c>
      <c r="B17" s="13" t="s">
        <v>108</v>
      </c>
      <c r="C17" s="13" t="s">
        <v>701</v>
      </c>
      <c r="D17" s="13" t="s">
        <v>7</v>
      </c>
      <c r="E17" s="13" t="s">
        <v>223</v>
      </c>
      <c r="F17" s="265">
        <f>F18</f>
        <v>3257.7</v>
      </c>
      <c r="G17" s="265">
        <f t="shared" si="0"/>
        <v>3257.7</v>
      </c>
      <c r="H17" s="265">
        <f t="shared" si="0"/>
        <v>3257.7</v>
      </c>
    </row>
    <row r="18" spans="1:11" ht="95.25" customHeight="1" x14ac:dyDescent="0.25">
      <c r="A18" s="261" t="s">
        <v>703</v>
      </c>
      <c r="B18" s="262" t="s">
        <v>108</v>
      </c>
      <c r="C18" s="262" t="s">
        <v>701</v>
      </c>
      <c r="D18" s="262" t="s">
        <v>7</v>
      </c>
      <c r="E18" s="262" t="s">
        <v>704</v>
      </c>
      <c r="F18" s="263">
        <f>F19</f>
        <v>3257.7</v>
      </c>
      <c r="G18" s="263">
        <f t="shared" si="0"/>
        <v>3257.7</v>
      </c>
      <c r="H18" s="263">
        <f t="shared" si="0"/>
        <v>3257.7</v>
      </c>
    </row>
    <row r="19" spans="1:11" ht="33.75" customHeight="1" x14ac:dyDescent="0.25">
      <c r="A19" s="261" t="s">
        <v>705</v>
      </c>
      <c r="B19" s="262" t="s">
        <v>108</v>
      </c>
      <c r="C19" s="262" t="s">
        <v>701</v>
      </c>
      <c r="D19" s="262" t="s">
        <v>7</v>
      </c>
      <c r="E19" s="262" t="s">
        <v>706</v>
      </c>
      <c r="F19" s="485">
        <f>'5'!D257</f>
        <v>3257.7</v>
      </c>
      <c r="G19" s="485">
        <f>'5'!E257</f>
        <v>3257.7</v>
      </c>
      <c r="H19" s="485">
        <f>'5'!F257</f>
        <v>3257.7</v>
      </c>
    </row>
    <row r="20" spans="1:11" s="260" customFormat="1" ht="83.4" customHeight="1" x14ac:dyDescent="0.25">
      <c r="A20" s="256" t="s">
        <v>707</v>
      </c>
      <c r="B20" s="257" t="s">
        <v>108</v>
      </c>
      <c r="C20" s="257" t="s">
        <v>111</v>
      </c>
      <c r="D20" s="257" t="s">
        <v>699</v>
      </c>
      <c r="E20" s="257" t="s">
        <v>223</v>
      </c>
      <c r="F20" s="258">
        <f t="shared" ref="F20:H21" si="1">F21</f>
        <v>6959.4689999999991</v>
      </c>
      <c r="G20" s="258">
        <f t="shared" si="1"/>
        <v>6959.4689999999991</v>
      </c>
      <c r="H20" s="258">
        <f t="shared" si="1"/>
        <v>6959.4689999999991</v>
      </c>
    </row>
    <row r="21" spans="1:11" ht="33" customHeight="1" x14ac:dyDescent="0.25">
      <c r="A21" s="261" t="s">
        <v>702</v>
      </c>
      <c r="B21" s="262" t="s">
        <v>108</v>
      </c>
      <c r="C21" s="262" t="s">
        <v>111</v>
      </c>
      <c r="D21" s="262" t="s">
        <v>5</v>
      </c>
      <c r="E21" s="262" t="s">
        <v>223</v>
      </c>
      <c r="F21" s="263">
        <f t="shared" si="1"/>
        <v>6959.4689999999991</v>
      </c>
      <c r="G21" s="263">
        <f t="shared" si="1"/>
        <v>6959.4689999999991</v>
      </c>
      <c r="H21" s="263">
        <f t="shared" si="1"/>
        <v>6959.4689999999991</v>
      </c>
    </row>
    <row r="22" spans="1:11" ht="47.25" customHeight="1" x14ac:dyDescent="0.25">
      <c r="A22" s="261" t="s">
        <v>110</v>
      </c>
      <c r="B22" s="262" t="s">
        <v>108</v>
      </c>
      <c r="C22" s="262" t="s">
        <v>111</v>
      </c>
      <c r="D22" s="262" t="s">
        <v>6</v>
      </c>
      <c r="E22" s="262" t="s">
        <v>223</v>
      </c>
      <c r="F22" s="263">
        <f>F28+F23</f>
        <v>6959.4689999999991</v>
      </c>
      <c r="G22" s="263">
        <f>G28+G23</f>
        <v>6959.4689999999991</v>
      </c>
      <c r="H22" s="263">
        <f>H28+H23</f>
        <v>6959.4689999999991</v>
      </c>
    </row>
    <row r="23" spans="1:11" s="266" customFormat="1" ht="33.75" customHeight="1" x14ac:dyDescent="0.3">
      <c r="A23" s="264" t="s">
        <v>708</v>
      </c>
      <c r="B23" s="13" t="s">
        <v>108</v>
      </c>
      <c r="C23" s="13" t="s">
        <v>111</v>
      </c>
      <c r="D23" s="13" t="s">
        <v>8</v>
      </c>
      <c r="E23" s="13" t="s">
        <v>223</v>
      </c>
      <c r="F23" s="265">
        <f>F24+F26</f>
        <v>3044.43</v>
      </c>
      <c r="G23" s="265">
        <f>G24+G26</f>
        <v>3044.43</v>
      </c>
      <c r="H23" s="265">
        <f>H24+H26</f>
        <v>3044.43</v>
      </c>
    </row>
    <row r="24" spans="1:11" ht="98.25" customHeight="1" x14ac:dyDescent="0.25">
      <c r="A24" s="261" t="s">
        <v>703</v>
      </c>
      <c r="B24" s="262" t="s">
        <v>108</v>
      </c>
      <c r="C24" s="262" t="s">
        <v>111</v>
      </c>
      <c r="D24" s="262" t="s">
        <v>8</v>
      </c>
      <c r="E24" s="262" t="s">
        <v>704</v>
      </c>
      <c r="F24" s="263">
        <f>F25</f>
        <v>3029.43</v>
      </c>
      <c r="G24" s="263">
        <f>G25</f>
        <v>3029.43</v>
      </c>
      <c r="H24" s="263">
        <f>H25</f>
        <v>3029.43</v>
      </c>
    </row>
    <row r="25" spans="1:11" ht="35.25" customHeight="1" x14ac:dyDescent="0.25">
      <c r="A25" s="261" t="s">
        <v>705</v>
      </c>
      <c r="B25" s="262" t="s">
        <v>108</v>
      </c>
      <c r="C25" s="262" t="s">
        <v>111</v>
      </c>
      <c r="D25" s="262" t="s">
        <v>8</v>
      </c>
      <c r="E25" s="262" t="s">
        <v>706</v>
      </c>
      <c r="F25" s="485">
        <f>'5'!D258-F27</f>
        <v>3029.43</v>
      </c>
      <c r="G25" s="485">
        <f>'5'!E258-G27</f>
        <v>3029.43</v>
      </c>
      <c r="H25" s="485">
        <f>'5'!F258-H27</f>
        <v>3029.43</v>
      </c>
    </row>
    <row r="26" spans="1:11" ht="35.25" customHeight="1" x14ac:dyDescent="0.25">
      <c r="A26" s="261" t="s">
        <v>709</v>
      </c>
      <c r="B26" s="262" t="s">
        <v>108</v>
      </c>
      <c r="C26" s="262" t="s">
        <v>111</v>
      </c>
      <c r="D26" s="262" t="s">
        <v>8</v>
      </c>
      <c r="E26" s="262" t="s">
        <v>710</v>
      </c>
      <c r="F26" s="485">
        <f>F27</f>
        <v>15</v>
      </c>
      <c r="G26" s="263">
        <f>G27</f>
        <v>15</v>
      </c>
      <c r="H26" s="263">
        <f>H27</f>
        <v>15</v>
      </c>
    </row>
    <row r="27" spans="1:11" ht="48.6" customHeight="1" x14ac:dyDescent="0.25">
      <c r="A27" s="261" t="s">
        <v>711</v>
      </c>
      <c r="B27" s="262" t="s">
        <v>108</v>
      </c>
      <c r="C27" s="262" t="s">
        <v>111</v>
      </c>
      <c r="D27" s="262" t="s">
        <v>8</v>
      </c>
      <c r="E27" s="262" t="s">
        <v>712</v>
      </c>
      <c r="F27" s="485">
        <v>15</v>
      </c>
      <c r="G27" s="263">
        <v>15</v>
      </c>
      <c r="H27" s="263">
        <v>15</v>
      </c>
    </row>
    <row r="28" spans="1:11" s="266" customFormat="1" ht="48.75" customHeight="1" x14ac:dyDescent="0.3">
      <c r="A28" s="264" t="s">
        <v>112</v>
      </c>
      <c r="B28" s="13" t="s">
        <v>108</v>
      </c>
      <c r="C28" s="13" t="s">
        <v>111</v>
      </c>
      <c r="D28" s="13" t="s">
        <v>9</v>
      </c>
      <c r="E28" s="13" t="s">
        <v>223</v>
      </c>
      <c r="F28" s="267">
        <f>F29+F31+F33</f>
        <v>3915.0389999999998</v>
      </c>
      <c r="G28" s="265">
        <f>G29+G31+G33</f>
        <v>3915.0389999999998</v>
      </c>
      <c r="H28" s="265">
        <f>H29+H31+H33</f>
        <v>3915.0389999999998</v>
      </c>
      <c r="I28" s="266">
        <v>3915.0390000000002</v>
      </c>
      <c r="J28" s="309">
        <f>I28-F30</f>
        <v>1752.0390000000002</v>
      </c>
    </row>
    <row r="29" spans="1:11" ht="94.5" customHeight="1" x14ac:dyDescent="0.25">
      <c r="A29" s="261" t="s">
        <v>703</v>
      </c>
      <c r="B29" s="262" t="s">
        <v>108</v>
      </c>
      <c r="C29" s="262" t="s">
        <v>111</v>
      </c>
      <c r="D29" s="262" t="s">
        <v>9</v>
      </c>
      <c r="E29" s="262" t="s">
        <v>704</v>
      </c>
      <c r="F29" s="485">
        <f>F30</f>
        <v>2163</v>
      </c>
      <c r="G29" s="263">
        <f>G30</f>
        <v>3293</v>
      </c>
      <c r="H29" s="263">
        <f>H30</f>
        <v>3293</v>
      </c>
      <c r="I29" s="268">
        <f>I28-F28</f>
        <v>0</v>
      </c>
      <c r="J29" s="268">
        <f>J28-5</f>
        <v>1747.0390000000002</v>
      </c>
    </row>
    <row r="30" spans="1:11" ht="35.25" customHeight="1" x14ac:dyDescent="0.25">
      <c r="A30" s="261" t="s">
        <v>705</v>
      </c>
      <c r="B30" s="262" t="s">
        <v>108</v>
      </c>
      <c r="C30" s="262" t="s">
        <v>111</v>
      </c>
      <c r="D30" s="262" t="s">
        <v>9</v>
      </c>
      <c r="E30" s="262" t="s">
        <v>706</v>
      </c>
      <c r="F30" s="508">
        <f>2529.2+763.8-1130</f>
        <v>2163</v>
      </c>
      <c r="G30" s="485">
        <f t="shared" ref="G30:H30" si="2">2529.2+763.8</f>
        <v>3293</v>
      </c>
      <c r="H30" s="485">
        <f t="shared" si="2"/>
        <v>3293</v>
      </c>
    </row>
    <row r="31" spans="1:11" ht="33" customHeight="1" x14ac:dyDescent="0.25">
      <c r="A31" s="261" t="s">
        <v>709</v>
      </c>
      <c r="B31" s="262" t="s">
        <v>108</v>
      </c>
      <c r="C31" s="262" t="s">
        <v>111</v>
      </c>
      <c r="D31" s="262" t="s">
        <v>9</v>
      </c>
      <c r="E31" s="262" t="s">
        <v>710</v>
      </c>
      <c r="F31" s="508">
        <f>F32</f>
        <v>1747.039</v>
      </c>
      <c r="G31" s="263">
        <f>G32</f>
        <v>617.03899999999999</v>
      </c>
      <c r="H31" s="263">
        <f>H32</f>
        <v>617.03899999999999</v>
      </c>
    </row>
    <row r="32" spans="1:11" ht="50.25" customHeight="1" x14ac:dyDescent="0.25">
      <c r="A32" s="261" t="s">
        <v>711</v>
      </c>
      <c r="B32" s="262" t="s">
        <v>108</v>
      </c>
      <c r="C32" s="262" t="s">
        <v>111</v>
      </c>
      <c r="D32" s="262" t="s">
        <v>9</v>
      </c>
      <c r="E32" s="262" t="s">
        <v>712</v>
      </c>
      <c r="F32" s="508">
        <f>617.039+1130</f>
        <v>1747.039</v>
      </c>
      <c r="G32" s="485">
        <v>617.03899999999999</v>
      </c>
      <c r="H32" s="485">
        <v>617.03899999999999</v>
      </c>
      <c r="I32" s="268"/>
      <c r="K32" s="268"/>
    </row>
    <row r="33" spans="1:9" ht="19.5" customHeight="1" x14ac:dyDescent="0.25">
      <c r="A33" s="261" t="s">
        <v>713</v>
      </c>
      <c r="B33" s="262" t="s">
        <v>108</v>
      </c>
      <c r="C33" s="262" t="s">
        <v>111</v>
      </c>
      <c r="D33" s="262" t="s">
        <v>9</v>
      </c>
      <c r="E33" s="262" t="s">
        <v>714</v>
      </c>
      <c r="F33" s="263">
        <f>F34</f>
        <v>5</v>
      </c>
      <c r="G33" s="263">
        <f>G34</f>
        <v>5</v>
      </c>
      <c r="H33" s="263">
        <f>H34</f>
        <v>5</v>
      </c>
    </row>
    <row r="34" spans="1:9" ht="18.75" customHeight="1" x14ac:dyDescent="0.25">
      <c r="A34" s="261" t="s">
        <v>715</v>
      </c>
      <c r="B34" s="262" t="s">
        <v>108</v>
      </c>
      <c r="C34" s="262" t="s">
        <v>111</v>
      </c>
      <c r="D34" s="262" t="s">
        <v>9</v>
      </c>
      <c r="E34" s="262" t="s">
        <v>716</v>
      </c>
      <c r="F34" s="263">
        <v>5</v>
      </c>
      <c r="G34" s="263">
        <v>5</v>
      </c>
      <c r="H34" s="263">
        <v>5</v>
      </c>
    </row>
    <row r="35" spans="1:9" s="260" customFormat="1" ht="82.5" customHeight="1" x14ac:dyDescent="0.25">
      <c r="A35" s="256" t="s">
        <v>717</v>
      </c>
      <c r="B35" s="257" t="s">
        <v>108</v>
      </c>
      <c r="C35" s="257" t="s">
        <v>113</v>
      </c>
      <c r="D35" s="257" t="s">
        <v>699</v>
      </c>
      <c r="E35" s="257" t="s">
        <v>223</v>
      </c>
      <c r="F35" s="258">
        <f t="shared" ref="F35:H37" si="3">F36</f>
        <v>44495.488999999994</v>
      </c>
      <c r="G35" s="258">
        <f t="shared" si="3"/>
        <v>42495.899999999994</v>
      </c>
      <c r="H35" s="258">
        <f t="shared" si="3"/>
        <v>42495.899999999994</v>
      </c>
    </row>
    <row r="36" spans="1:9" ht="33.75" customHeight="1" x14ac:dyDescent="0.25">
      <c r="A36" s="261" t="s">
        <v>702</v>
      </c>
      <c r="B36" s="262" t="s">
        <v>108</v>
      </c>
      <c r="C36" s="262" t="s">
        <v>113</v>
      </c>
      <c r="D36" s="262" t="s">
        <v>5</v>
      </c>
      <c r="E36" s="262" t="s">
        <v>223</v>
      </c>
      <c r="F36" s="263">
        <f t="shared" si="3"/>
        <v>44495.488999999994</v>
      </c>
      <c r="G36" s="263">
        <f t="shared" si="3"/>
        <v>42495.899999999994</v>
      </c>
      <c r="H36" s="263">
        <f t="shared" si="3"/>
        <v>42495.899999999994</v>
      </c>
    </row>
    <row r="37" spans="1:9" ht="47.25" customHeight="1" x14ac:dyDescent="0.25">
      <c r="A37" s="261" t="s">
        <v>110</v>
      </c>
      <c r="B37" s="262" t="s">
        <v>108</v>
      </c>
      <c r="C37" s="262" t="s">
        <v>113</v>
      </c>
      <c r="D37" s="262" t="s">
        <v>6</v>
      </c>
      <c r="E37" s="262" t="s">
        <v>223</v>
      </c>
      <c r="F37" s="263">
        <f t="shared" si="3"/>
        <v>44495.488999999994</v>
      </c>
      <c r="G37" s="263">
        <f t="shared" si="3"/>
        <v>42495.899999999994</v>
      </c>
      <c r="H37" s="263">
        <f t="shared" si="3"/>
        <v>42495.899999999994</v>
      </c>
    </row>
    <row r="38" spans="1:9" s="266" customFormat="1" ht="48.75" customHeight="1" x14ac:dyDescent="0.3">
      <c r="A38" s="264" t="s">
        <v>112</v>
      </c>
      <c r="B38" s="13" t="s">
        <v>108</v>
      </c>
      <c r="C38" s="13" t="s">
        <v>113</v>
      </c>
      <c r="D38" s="13" t="s">
        <v>9</v>
      </c>
      <c r="E38" s="13" t="s">
        <v>223</v>
      </c>
      <c r="F38" s="265">
        <f>F39+F41+F43</f>
        <v>44495.488999999994</v>
      </c>
      <c r="G38" s="265">
        <f>G39+G41+G43</f>
        <v>42495.899999999994</v>
      </c>
      <c r="H38" s="265">
        <f>H39+H41+H43</f>
        <v>42495.899999999994</v>
      </c>
    </row>
    <row r="39" spans="1:9" ht="96" customHeight="1" x14ac:dyDescent="0.25">
      <c r="A39" s="261" t="s">
        <v>703</v>
      </c>
      <c r="B39" s="262" t="s">
        <v>108</v>
      </c>
      <c r="C39" s="262" t="s">
        <v>113</v>
      </c>
      <c r="D39" s="262" t="s">
        <v>9</v>
      </c>
      <c r="E39" s="262" t="s">
        <v>704</v>
      </c>
      <c r="F39" s="485">
        <f>F40</f>
        <v>35507.799999999996</v>
      </c>
      <c r="G39" s="263">
        <f>G40</f>
        <v>35507.799999999996</v>
      </c>
      <c r="H39" s="263">
        <f>H40</f>
        <v>35507.799999999996</v>
      </c>
    </row>
    <row r="40" spans="1:9" ht="39" customHeight="1" x14ac:dyDescent="0.25">
      <c r="A40" s="261" t="s">
        <v>705</v>
      </c>
      <c r="B40" s="262" t="s">
        <v>108</v>
      </c>
      <c r="C40" s="262" t="s">
        <v>113</v>
      </c>
      <c r="D40" s="269" t="s">
        <v>9</v>
      </c>
      <c r="E40" s="269" t="s">
        <v>706</v>
      </c>
      <c r="F40" s="485">
        <f>27042.1+299+8166.7</f>
        <v>35507.799999999996</v>
      </c>
      <c r="G40" s="485">
        <f t="shared" ref="G40:H40" si="4">27042.1+299+8166.7</f>
        <v>35507.799999999996</v>
      </c>
      <c r="H40" s="485">
        <f t="shared" si="4"/>
        <v>35507.799999999996</v>
      </c>
    </row>
    <row r="41" spans="1:9" ht="33" customHeight="1" x14ac:dyDescent="0.25">
      <c r="A41" s="261" t="s">
        <v>709</v>
      </c>
      <c r="B41" s="262" t="s">
        <v>108</v>
      </c>
      <c r="C41" s="262" t="s">
        <v>113</v>
      </c>
      <c r="D41" s="269" t="s">
        <v>9</v>
      </c>
      <c r="E41" s="269" t="s">
        <v>710</v>
      </c>
      <c r="F41" s="485">
        <f>F42</f>
        <v>8482.5889999999999</v>
      </c>
      <c r="G41" s="485">
        <f>G42</f>
        <v>6483</v>
      </c>
      <c r="H41" s="485">
        <f>H42</f>
        <v>6483</v>
      </c>
      <c r="I41" s="268">
        <v>42495.9</v>
      </c>
    </row>
    <row r="42" spans="1:9" ht="49.5" customHeight="1" x14ac:dyDescent="0.25">
      <c r="A42" s="261" t="s">
        <v>711</v>
      </c>
      <c r="B42" s="262" t="s">
        <v>108</v>
      </c>
      <c r="C42" s="262" t="s">
        <v>113</v>
      </c>
      <c r="D42" s="269" t="s">
        <v>9</v>
      </c>
      <c r="E42" s="269" t="s">
        <v>712</v>
      </c>
      <c r="F42" s="542">
        <f>6483+273+145.989+1580.6</f>
        <v>8482.5889999999999</v>
      </c>
      <c r="G42" s="485">
        <v>6483</v>
      </c>
      <c r="H42" s="485">
        <v>6483</v>
      </c>
      <c r="I42" s="268">
        <f>I41-F40</f>
        <v>6988.1000000000058</v>
      </c>
    </row>
    <row r="43" spans="1:9" ht="18" customHeight="1" x14ac:dyDescent="0.25">
      <c r="A43" s="261" t="s">
        <v>713</v>
      </c>
      <c r="B43" s="262" t="s">
        <v>108</v>
      </c>
      <c r="C43" s="262" t="s">
        <v>113</v>
      </c>
      <c r="D43" s="262" t="s">
        <v>9</v>
      </c>
      <c r="E43" s="262" t="s">
        <v>714</v>
      </c>
      <c r="F43" s="263">
        <f>F44</f>
        <v>505.1</v>
      </c>
      <c r="G43" s="263">
        <f>G44</f>
        <v>505.1</v>
      </c>
      <c r="H43" s="263">
        <f>H44</f>
        <v>505.1</v>
      </c>
      <c r="I43" s="268">
        <f>I42-F43</f>
        <v>6483.0000000000055</v>
      </c>
    </row>
    <row r="44" spans="1:9" ht="17.25" customHeight="1" x14ac:dyDescent="0.25">
      <c r="A44" s="270" t="s">
        <v>715</v>
      </c>
      <c r="B44" s="262" t="s">
        <v>108</v>
      </c>
      <c r="C44" s="262" t="s">
        <v>113</v>
      </c>
      <c r="D44" s="262" t="s">
        <v>9</v>
      </c>
      <c r="E44" s="262" t="s">
        <v>716</v>
      </c>
      <c r="F44" s="263">
        <v>505.1</v>
      </c>
      <c r="G44" s="263">
        <v>505.1</v>
      </c>
      <c r="H44" s="263">
        <v>505.1</v>
      </c>
    </row>
    <row r="45" spans="1:9" s="260" customFormat="1" ht="49.5" customHeight="1" x14ac:dyDescent="0.25">
      <c r="A45" s="458" t="s">
        <v>395</v>
      </c>
      <c r="B45" s="257" t="s">
        <v>108</v>
      </c>
      <c r="C45" s="257" t="s">
        <v>718</v>
      </c>
      <c r="D45" s="257" t="s">
        <v>249</v>
      </c>
      <c r="E45" s="257" t="s">
        <v>223</v>
      </c>
      <c r="F45" s="258">
        <f t="shared" ref="F45:H46" si="5">F46</f>
        <v>11.829000000000001</v>
      </c>
      <c r="G45" s="258">
        <f t="shared" si="5"/>
        <v>12.269</v>
      </c>
      <c r="H45" s="258">
        <f t="shared" si="5"/>
        <v>151.56200000000001</v>
      </c>
    </row>
    <row r="46" spans="1:9" ht="33.75" customHeight="1" x14ac:dyDescent="0.25">
      <c r="A46" s="261" t="s">
        <v>709</v>
      </c>
      <c r="B46" s="262" t="s">
        <v>108</v>
      </c>
      <c r="C46" s="262" t="s">
        <v>718</v>
      </c>
      <c r="D46" s="262" t="s">
        <v>249</v>
      </c>
      <c r="E46" s="262" t="s">
        <v>710</v>
      </c>
      <c r="F46" s="263">
        <f t="shared" si="5"/>
        <v>11.829000000000001</v>
      </c>
      <c r="G46" s="263">
        <f t="shared" si="5"/>
        <v>12.269</v>
      </c>
      <c r="H46" s="263">
        <f t="shared" si="5"/>
        <v>151.56200000000001</v>
      </c>
    </row>
    <row r="47" spans="1:9" ht="52.5" customHeight="1" x14ac:dyDescent="0.25">
      <c r="A47" s="261" t="s">
        <v>711</v>
      </c>
      <c r="B47" s="262" t="s">
        <v>108</v>
      </c>
      <c r="C47" s="262" t="s">
        <v>718</v>
      </c>
      <c r="D47" s="262" t="s">
        <v>249</v>
      </c>
      <c r="E47" s="262" t="s">
        <v>712</v>
      </c>
      <c r="F47" s="25">
        <f>'5'!D311</f>
        <v>11.829000000000001</v>
      </c>
      <c r="G47" s="25">
        <f>'5'!E311</f>
        <v>12.269</v>
      </c>
      <c r="H47" s="25">
        <f>'5'!F311</f>
        <v>151.56200000000001</v>
      </c>
    </row>
    <row r="48" spans="1:9" s="260" customFormat="1" ht="63" customHeight="1" x14ac:dyDescent="0.25">
      <c r="A48" s="256" t="s">
        <v>719</v>
      </c>
      <c r="B48" s="257" t="s">
        <v>108</v>
      </c>
      <c r="C48" s="257" t="s">
        <v>720</v>
      </c>
      <c r="D48" s="257" t="s">
        <v>699</v>
      </c>
      <c r="E48" s="257" t="s">
        <v>223</v>
      </c>
      <c r="F48" s="258">
        <f t="shared" ref="F48:H49" si="6">F49</f>
        <v>13749.335000000001</v>
      </c>
      <c r="G48" s="258">
        <f t="shared" si="6"/>
        <v>13592.835000000001</v>
      </c>
      <c r="H48" s="258">
        <f t="shared" si="6"/>
        <v>13592.835000000001</v>
      </c>
    </row>
    <row r="49" spans="1:9" ht="33.75" customHeight="1" x14ac:dyDescent="0.25">
      <c r="A49" s="261" t="s">
        <v>207</v>
      </c>
      <c r="B49" s="262" t="s">
        <v>108</v>
      </c>
      <c r="C49" s="262" t="s">
        <v>720</v>
      </c>
      <c r="D49" s="262" t="s">
        <v>5</v>
      </c>
      <c r="E49" s="262" t="s">
        <v>223</v>
      </c>
      <c r="F49" s="263">
        <f t="shared" si="6"/>
        <v>13749.335000000001</v>
      </c>
      <c r="G49" s="263">
        <f t="shared" si="6"/>
        <v>13592.835000000001</v>
      </c>
      <c r="H49" s="263">
        <f t="shared" si="6"/>
        <v>13592.835000000001</v>
      </c>
    </row>
    <row r="50" spans="1:9" ht="47.25" customHeight="1" x14ac:dyDescent="0.25">
      <c r="A50" s="261" t="s">
        <v>110</v>
      </c>
      <c r="B50" s="262" t="s">
        <v>108</v>
      </c>
      <c r="C50" s="262" t="s">
        <v>720</v>
      </c>
      <c r="D50" s="262" t="s">
        <v>6</v>
      </c>
      <c r="E50" s="262" t="s">
        <v>223</v>
      </c>
      <c r="F50" s="263">
        <f>F51+F58+F65</f>
        <v>13749.335000000001</v>
      </c>
      <c r="G50" s="263">
        <f>G51+G58+G65</f>
        <v>13592.835000000001</v>
      </c>
      <c r="H50" s="263">
        <f>H51+H58+H65</f>
        <v>13592.835000000001</v>
      </c>
    </row>
    <row r="51" spans="1:9" s="266" customFormat="1" ht="48.75" customHeight="1" x14ac:dyDescent="0.3">
      <c r="A51" s="264" t="s">
        <v>721</v>
      </c>
      <c r="B51" s="13" t="s">
        <v>108</v>
      </c>
      <c r="C51" s="13" t="s">
        <v>720</v>
      </c>
      <c r="D51" s="13" t="s">
        <v>9</v>
      </c>
      <c r="E51" s="13" t="s">
        <v>223</v>
      </c>
      <c r="F51" s="265">
        <f>F52+F54+F56</f>
        <v>10645.2</v>
      </c>
      <c r="G51" s="265">
        <f>G52+G54+G56</f>
        <v>10645.2</v>
      </c>
      <c r="H51" s="265">
        <f>H52+H54+H56</f>
        <v>10645.2</v>
      </c>
    </row>
    <row r="52" spans="1:9" ht="95.25" customHeight="1" x14ac:dyDescent="0.25">
      <c r="A52" s="261" t="s">
        <v>703</v>
      </c>
      <c r="B52" s="262" t="s">
        <v>108</v>
      </c>
      <c r="C52" s="262" t="s">
        <v>720</v>
      </c>
      <c r="D52" s="262" t="s">
        <v>9</v>
      </c>
      <c r="E52" s="262" t="s">
        <v>704</v>
      </c>
      <c r="F52" s="263">
        <f>F53</f>
        <v>9647.3000000000011</v>
      </c>
      <c r="G52" s="263">
        <f>G53</f>
        <v>9647.3000000000011</v>
      </c>
      <c r="H52" s="263">
        <f>H53</f>
        <v>9647.3000000000011</v>
      </c>
      <c r="I52" s="268"/>
    </row>
    <row r="53" spans="1:9" ht="33" customHeight="1" x14ac:dyDescent="0.25">
      <c r="A53" s="261" t="s">
        <v>705</v>
      </c>
      <c r="B53" s="262" t="s">
        <v>108</v>
      </c>
      <c r="C53" s="262" t="s">
        <v>720</v>
      </c>
      <c r="D53" s="262" t="s">
        <v>9</v>
      </c>
      <c r="E53" s="262" t="s">
        <v>706</v>
      </c>
      <c r="F53" s="485">
        <f>7398.8+14.1+2234.4</f>
        <v>9647.3000000000011</v>
      </c>
      <c r="G53" s="485">
        <f t="shared" ref="G53:H53" si="7">7398.8+14.1+2234.4</f>
        <v>9647.3000000000011</v>
      </c>
      <c r="H53" s="485">
        <f t="shared" si="7"/>
        <v>9647.3000000000011</v>
      </c>
      <c r="I53" s="268"/>
    </row>
    <row r="54" spans="1:9" ht="33" customHeight="1" x14ac:dyDescent="0.25">
      <c r="A54" s="261" t="s">
        <v>709</v>
      </c>
      <c r="B54" s="262" t="s">
        <v>108</v>
      </c>
      <c r="C54" s="262" t="s">
        <v>720</v>
      </c>
      <c r="D54" s="262" t="s">
        <v>9</v>
      </c>
      <c r="E54" s="262" t="s">
        <v>710</v>
      </c>
      <c r="F54" s="263">
        <f>F55</f>
        <v>995.9</v>
      </c>
      <c r="G54" s="263">
        <f>G55</f>
        <v>995.9</v>
      </c>
      <c r="H54" s="263">
        <f>H55</f>
        <v>995.9</v>
      </c>
      <c r="I54" s="247">
        <v>10645.2</v>
      </c>
    </row>
    <row r="55" spans="1:9" ht="48" customHeight="1" x14ac:dyDescent="0.25">
      <c r="A55" s="261" t="s">
        <v>711</v>
      </c>
      <c r="B55" s="262" t="s">
        <v>108</v>
      </c>
      <c r="C55" s="262" t="s">
        <v>720</v>
      </c>
      <c r="D55" s="262" t="s">
        <v>9</v>
      </c>
      <c r="E55" s="262" t="s">
        <v>712</v>
      </c>
      <c r="F55" s="263">
        <v>995.9</v>
      </c>
      <c r="G55" s="263">
        <v>995.9</v>
      </c>
      <c r="H55" s="263">
        <v>995.9</v>
      </c>
      <c r="I55" s="268">
        <f>I54-F53-F56</f>
        <v>995.89999999999964</v>
      </c>
    </row>
    <row r="56" spans="1:9" ht="17.25" customHeight="1" x14ac:dyDescent="0.25">
      <c r="A56" s="261" t="s">
        <v>713</v>
      </c>
      <c r="B56" s="262" t="s">
        <v>108</v>
      </c>
      <c r="C56" s="262" t="s">
        <v>720</v>
      </c>
      <c r="D56" s="262" t="s">
        <v>9</v>
      </c>
      <c r="E56" s="262" t="s">
        <v>714</v>
      </c>
      <c r="F56" s="263">
        <f>F57</f>
        <v>2</v>
      </c>
      <c r="G56" s="263">
        <f>G57</f>
        <v>2</v>
      </c>
      <c r="H56" s="263">
        <f>H57</f>
        <v>2</v>
      </c>
    </row>
    <row r="57" spans="1:9" ht="17.25" customHeight="1" x14ac:dyDescent="0.25">
      <c r="A57" s="261" t="s">
        <v>715</v>
      </c>
      <c r="B57" s="262" t="s">
        <v>108</v>
      </c>
      <c r="C57" s="262" t="s">
        <v>720</v>
      </c>
      <c r="D57" s="262" t="s">
        <v>9</v>
      </c>
      <c r="E57" s="262" t="s">
        <v>716</v>
      </c>
      <c r="F57" s="485">
        <v>2</v>
      </c>
      <c r="G57" s="263">
        <v>2</v>
      </c>
      <c r="H57" s="263">
        <v>2</v>
      </c>
    </row>
    <row r="58" spans="1:9" s="266" customFormat="1" ht="48" customHeight="1" x14ac:dyDescent="0.3">
      <c r="A58" s="264" t="s">
        <v>722</v>
      </c>
      <c r="B58" s="13" t="s">
        <v>108</v>
      </c>
      <c r="C58" s="13" t="s">
        <v>720</v>
      </c>
      <c r="D58" s="13" t="s">
        <v>9</v>
      </c>
      <c r="E58" s="13" t="s">
        <v>223</v>
      </c>
      <c r="F58" s="265">
        <f>F61+F63+F59</f>
        <v>344</v>
      </c>
      <c r="G58" s="265">
        <f>G61+G63+G59</f>
        <v>344</v>
      </c>
      <c r="H58" s="265">
        <f>H61+H63+H59</f>
        <v>344</v>
      </c>
    </row>
    <row r="59" spans="1:9" s="266" customFormat="1" ht="100.95" hidden="1" customHeight="1" x14ac:dyDescent="0.3">
      <c r="A59" s="261" t="s">
        <v>703</v>
      </c>
      <c r="B59" s="262" t="s">
        <v>108</v>
      </c>
      <c r="C59" s="262" t="s">
        <v>720</v>
      </c>
      <c r="D59" s="13" t="s">
        <v>9</v>
      </c>
      <c r="E59" s="262" t="s">
        <v>704</v>
      </c>
      <c r="F59" s="263">
        <f>F60</f>
        <v>0</v>
      </c>
      <c r="G59" s="263">
        <f>G60</f>
        <v>0</v>
      </c>
      <c r="H59" s="263">
        <f>H60</f>
        <v>0</v>
      </c>
      <c r="I59" s="309"/>
    </row>
    <row r="60" spans="1:9" s="266" customFormat="1" ht="48" hidden="1" customHeight="1" x14ac:dyDescent="0.3">
      <c r="A60" s="261" t="s">
        <v>705</v>
      </c>
      <c r="B60" s="262" t="s">
        <v>108</v>
      </c>
      <c r="C60" s="262" t="s">
        <v>720</v>
      </c>
      <c r="D60" s="13" t="s">
        <v>9</v>
      </c>
      <c r="E60" s="262" t="s">
        <v>706</v>
      </c>
      <c r="F60" s="485"/>
      <c r="G60" s="485"/>
      <c r="H60" s="485"/>
      <c r="I60" s="309"/>
    </row>
    <row r="61" spans="1:9" ht="34.5" customHeight="1" x14ac:dyDescent="0.25">
      <c r="A61" s="261" t="s">
        <v>709</v>
      </c>
      <c r="B61" s="262" t="s">
        <v>108</v>
      </c>
      <c r="C61" s="262" t="s">
        <v>720</v>
      </c>
      <c r="D61" s="262" t="s">
        <v>9</v>
      </c>
      <c r="E61" s="262" t="s">
        <v>710</v>
      </c>
      <c r="F61" s="485">
        <f>F62</f>
        <v>342</v>
      </c>
      <c r="G61" s="263">
        <f>G62</f>
        <v>342</v>
      </c>
      <c r="H61" s="263">
        <f>H62</f>
        <v>342</v>
      </c>
      <c r="I61" s="247">
        <v>344</v>
      </c>
    </row>
    <row r="62" spans="1:9" ht="45.75" customHeight="1" x14ac:dyDescent="0.25">
      <c r="A62" s="261" t="s">
        <v>711</v>
      </c>
      <c r="B62" s="262" t="s">
        <v>108</v>
      </c>
      <c r="C62" s="262" t="s">
        <v>720</v>
      </c>
      <c r="D62" s="262" t="s">
        <v>9</v>
      </c>
      <c r="E62" s="262" t="s">
        <v>712</v>
      </c>
      <c r="F62" s="485">
        <v>342</v>
      </c>
      <c r="G62" s="485">
        <v>342</v>
      </c>
      <c r="H62" s="485">
        <v>342</v>
      </c>
      <c r="I62" s="247">
        <f>I61-2</f>
        <v>342</v>
      </c>
    </row>
    <row r="63" spans="1:9" ht="16.5" customHeight="1" x14ac:dyDescent="0.25">
      <c r="A63" s="261" t="s">
        <v>713</v>
      </c>
      <c r="B63" s="262" t="s">
        <v>108</v>
      </c>
      <c r="C63" s="262" t="s">
        <v>720</v>
      </c>
      <c r="D63" s="262" t="s">
        <v>9</v>
      </c>
      <c r="E63" s="262" t="s">
        <v>714</v>
      </c>
      <c r="F63" s="485">
        <f>F64</f>
        <v>2</v>
      </c>
      <c r="G63" s="263">
        <f>G64</f>
        <v>2</v>
      </c>
      <c r="H63" s="263">
        <f>H64</f>
        <v>2</v>
      </c>
    </row>
    <row r="64" spans="1:9" ht="17.25" customHeight="1" x14ac:dyDescent="0.25">
      <c r="A64" s="270" t="s">
        <v>715</v>
      </c>
      <c r="B64" s="262" t="s">
        <v>108</v>
      </c>
      <c r="C64" s="262" t="s">
        <v>720</v>
      </c>
      <c r="D64" s="262" t="s">
        <v>9</v>
      </c>
      <c r="E64" s="262" t="s">
        <v>716</v>
      </c>
      <c r="F64" s="485">
        <v>2</v>
      </c>
      <c r="G64" s="263">
        <v>2</v>
      </c>
      <c r="H64" s="263">
        <v>2</v>
      </c>
    </row>
    <row r="65" spans="1:8" s="266" customFormat="1" ht="16.5" customHeight="1" x14ac:dyDescent="0.3">
      <c r="A65" s="264" t="s">
        <v>723</v>
      </c>
      <c r="B65" s="13" t="s">
        <v>108</v>
      </c>
      <c r="C65" s="13" t="s">
        <v>720</v>
      </c>
      <c r="D65" s="13" t="s">
        <v>10</v>
      </c>
      <c r="E65" s="13" t="s">
        <v>223</v>
      </c>
      <c r="F65" s="267">
        <f>F67</f>
        <v>2760.1350000000002</v>
      </c>
      <c r="G65" s="265">
        <f>G67</f>
        <v>2603.6350000000002</v>
      </c>
      <c r="H65" s="265">
        <f>H67</f>
        <v>2603.6350000000002</v>
      </c>
    </row>
    <row r="66" spans="1:8" ht="94.5" customHeight="1" x14ac:dyDescent="0.25">
      <c r="A66" s="261" t="s">
        <v>703</v>
      </c>
      <c r="B66" s="262" t="s">
        <v>108</v>
      </c>
      <c r="C66" s="262" t="s">
        <v>720</v>
      </c>
      <c r="D66" s="262" t="s">
        <v>10</v>
      </c>
      <c r="E66" s="262" t="s">
        <v>704</v>
      </c>
      <c r="F66" s="485">
        <f>F67</f>
        <v>2760.1350000000002</v>
      </c>
      <c r="G66" s="263">
        <f>G67</f>
        <v>2603.6350000000002</v>
      </c>
      <c r="H66" s="263">
        <f>H67</f>
        <v>2603.6350000000002</v>
      </c>
    </row>
    <row r="67" spans="1:8" ht="34.5" customHeight="1" x14ac:dyDescent="0.25">
      <c r="A67" s="261" t="s">
        <v>705</v>
      </c>
      <c r="B67" s="262" t="s">
        <v>108</v>
      </c>
      <c r="C67" s="262" t="s">
        <v>720</v>
      </c>
      <c r="D67" s="262" t="s">
        <v>10</v>
      </c>
      <c r="E67" s="262" t="s">
        <v>706</v>
      </c>
      <c r="F67" s="542">
        <f>'5'!D261</f>
        <v>2760.1350000000002</v>
      </c>
      <c r="G67" s="485">
        <f>'5'!E261</f>
        <v>2603.6350000000002</v>
      </c>
      <c r="H67" s="485">
        <f>'5'!F261</f>
        <v>2603.6350000000002</v>
      </c>
    </row>
    <row r="68" spans="1:8" ht="18.75" hidden="1" customHeight="1" x14ac:dyDescent="0.25">
      <c r="A68" s="261" t="s">
        <v>724</v>
      </c>
      <c r="B68" s="262" t="s">
        <v>108</v>
      </c>
      <c r="C68" s="262" t="s">
        <v>725</v>
      </c>
      <c r="D68" s="262" t="s">
        <v>726</v>
      </c>
      <c r="E68" s="262" t="s">
        <v>223</v>
      </c>
      <c r="F68" s="263">
        <f>F69</f>
        <v>0</v>
      </c>
      <c r="G68" s="263">
        <f>G69</f>
        <v>0</v>
      </c>
      <c r="H68" s="263">
        <f>H69</f>
        <v>0</v>
      </c>
    </row>
    <row r="69" spans="1:8" ht="33" hidden="1" customHeight="1" x14ac:dyDescent="0.25">
      <c r="A69" s="261" t="s">
        <v>727</v>
      </c>
      <c r="B69" s="262" t="s">
        <v>108</v>
      </c>
      <c r="C69" s="262" t="s">
        <v>725</v>
      </c>
      <c r="D69" s="262" t="s">
        <v>728</v>
      </c>
      <c r="E69" s="262" t="s">
        <v>223</v>
      </c>
      <c r="F69" s="263">
        <f>F71</f>
        <v>0</v>
      </c>
      <c r="G69" s="263">
        <f>G71</f>
        <v>0</v>
      </c>
      <c r="H69" s="263">
        <f>H71</f>
        <v>0</v>
      </c>
    </row>
    <row r="70" spans="1:8" ht="16.5" hidden="1" customHeight="1" x14ac:dyDescent="0.25">
      <c r="A70" s="261" t="s">
        <v>713</v>
      </c>
      <c r="B70" s="262" t="s">
        <v>108</v>
      </c>
      <c r="C70" s="262" t="s">
        <v>725</v>
      </c>
      <c r="D70" s="262" t="s">
        <v>728</v>
      </c>
      <c r="E70" s="262" t="s">
        <v>714</v>
      </c>
      <c r="F70" s="263">
        <f>F71</f>
        <v>0</v>
      </c>
      <c r="G70" s="263">
        <f>G71</f>
        <v>0</v>
      </c>
      <c r="H70" s="263">
        <f>H71</f>
        <v>0</v>
      </c>
    </row>
    <row r="71" spans="1:8" ht="18.75" hidden="1" customHeight="1" x14ac:dyDescent="0.25">
      <c r="A71" s="261" t="s">
        <v>729</v>
      </c>
      <c r="B71" s="262" t="s">
        <v>108</v>
      </c>
      <c r="C71" s="262" t="s">
        <v>725</v>
      </c>
      <c r="D71" s="262" t="s">
        <v>728</v>
      </c>
      <c r="E71" s="262" t="s">
        <v>730</v>
      </c>
      <c r="F71" s="263"/>
      <c r="G71" s="263"/>
      <c r="H71" s="263"/>
    </row>
    <row r="72" spans="1:8" ht="39" hidden="1" customHeight="1" x14ac:dyDescent="0.25">
      <c r="A72" s="271" t="s">
        <v>731</v>
      </c>
      <c r="B72" s="272" t="s">
        <v>108</v>
      </c>
      <c r="C72" s="272" t="s">
        <v>212</v>
      </c>
      <c r="D72" s="272" t="s">
        <v>699</v>
      </c>
      <c r="E72" s="272" t="s">
        <v>223</v>
      </c>
      <c r="F72" s="273">
        <f t="shared" ref="F72:H76" si="8">F73</f>
        <v>0</v>
      </c>
      <c r="G72" s="273">
        <f t="shared" si="8"/>
        <v>0</v>
      </c>
      <c r="H72" s="273">
        <f t="shared" si="8"/>
        <v>0</v>
      </c>
    </row>
    <row r="73" spans="1:8" ht="39" hidden="1" customHeight="1" x14ac:dyDescent="0.25">
      <c r="A73" s="261" t="s">
        <v>732</v>
      </c>
      <c r="B73" s="262" t="s">
        <v>108</v>
      </c>
      <c r="C73" s="262" t="s">
        <v>212</v>
      </c>
      <c r="D73" s="262" t="s">
        <v>5</v>
      </c>
      <c r="E73" s="262" t="s">
        <v>223</v>
      </c>
      <c r="F73" s="263">
        <f t="shared" si="8"/>
        <v>0</v>
      </c>
      <c r="G73" s="263">
        <f t="shared" si="8"/>
        <v>0</v>
      </c>
      <c r="H73" s="263">
        <f t="shared" si="8"/>
        <v>0</v>
      </c>
    </row>
    <row r="74" spans="1:8" ht="39" hidden="1" customHeight="1" x14ac:dyDescent="0.25">
      <c r="A74" s="261" t="s">
        <v>110</v>
      </c>
      <c r="B74" s="262" t="s">
        <v>108</v>
      </c>
      <c r="C74" s="262" t="s">
        <v>212</v>
      </c>
      <c r="D74" s="262" t="s">
        <v>6</v>
      </c>
      <c r="E74" s="262" t="s">
        <v>223</v>
      </c>
      <c r="F74" s="263">
        <f t="shared" si="8"/>
        <v>0</v>
      </c>
      <c r="G74" s="263">
        <f t="shared" si="8"/>
        <v>0</v>
      </c>
      <c r="H74" s="263">
        <f t="shared" si="8"/>
        <v>0</v>
      </c>
    </row>
    <row r="75" spans="1:8" ht="39" hidden="1" customHeight="1" x14ac:dyDescent="0.25">
      <c r="A75" s="261" t="s">
        <v>267</v>
      </c>
      <c r="B75" s="262" t="s">
        <v>108</v>
      </c>
      <c r="C75" s="262" t="s">
        <v>212</v>
      </c>
      <c r="D75" s="262" t="s">
        <v>268</v>
      </c>
      <c r="E75" s="262" t="s">
        <v>223</v>
      </c>
      <c r="F75" s="263">
        <f t="shared" si="8"/>
        <v>0</v>
      </c>
      <c r="G75" s="263">
        <f t="shared" si="8"/>
        <v>0</v>
      </c>
      <c r="H75" s="263">
        <f t="shared" si="8"/>
        <v>0</v>
      </c>
    </row>
    <row r="76" spans="1:8" ht="39" hidden="1" customHeight="1" x14ac:dyDescent="0.25">
      <c r="A76" s="261" t="s">
        <v>713</v>
      </c>
      <c r="B76" s="262" t="s">
        <v>108</v>
      </c>
      <c r="C76" s="262" t="s">
        <v>212</v>
      </c>
      <c r="D76" s="262" t="s">
        <v>268</v>
      </c>
      <c r="E76" s="262" t="s">
        <v>714</v>
      </c>
      <c r="F76" s="263">
        <f t="shared" si="8"/>
        <v>0</v>
      </c>
      <c r="G76" s="263">
        <f t="shared" si="8"/>
        <v>0</v>
      </c>
      <c r="H76" s="263">
        <f t="shared" si="8"/>
        <v>0</v>
      </c>
    </row>
    <row r="77" spans="1:8" ht="17.25" hidden="1" customHeight="1" x14ac:dyDescent="0.3">
      <c r="A77" s="274" t="s">
        <v>733</v>
      </c>
      <c r="B77" s="262" t="s">
        <v>108</v>
      </c>
      <c r="C77" s="262" t="s">
        <v>212</v>
      </c>
      <c r="D77" s="262" t="s">
        <v>268</v>
      </c>
      <c r="E77" s="262" t="s">
        <v>734</v>
      </c>
      <c r="F77" s="263"/>
      <c r="G77" s="263"/>
      <c r="H77" s="263"/>
    </row>
    <row r="78" spans="1:8" s="260" customFormat="1" ht="19.5" customHeight="1" x14ac:dyDescent="0.25">
      <c r="A78" s="275" t="s">
        <v>724</v>
      </c>
      <c r="B78" s="257" t="s">
        <v>108</v>
      </c>
      <c r="C78" s="257" t="s">
        <v>725</v>
      </c>
      <c r="D78" s="257" t="s">
        <v>699</v>
      </c>
      <c r="E78" s="257" t="s">
        <v>223</v>
      </c>
      <c r="F78" s="258">
        <f>F79</f>
        <v>1609.511</v>
      </c>
      <c r="G78" s="258">
        <f t="shared" ref="F78:H82" si="9">G79</f>
        <v>2000</v>
      </c>
      <c r="H78" s="258">
        <f t="shared" si="9"/>
        <v>2000</v>
      </c>
    </row>
    <row r="79" spans="1:8" ht="33.75" customHeight="1" x14ac:dyDescent="0.25">
      <c r="A79" s="276" t="s">
        <v>702</v>
      </c>
      <c r="B79" s="262" t="s">
        <v>108</v>
      </c>
      <c r="C79" s="262" t="s">
        <v>725</v>
      </c>
      <c r="D79" s="277" t="s">
        <v>5</v>
      </c>
      <c r="E79" s="277" t="s">
        <v>223</v>
      </c>
      <c r="F79" s="263">
        <f t="shared" si="9"/>
        <v>1609.511</v>
      </c>
      <c r="G79" s="263">
        <f t="shared" si="9"/>
        <v>2000</v>
      </c>
      <c r="H79" s="263">
        <f t="shared" si="9"/>
        <v>2000</v>
      </c>
    </row>
    <row r="80" spans="1:8" ht="49.5" customHeight="1" x14ac:dyDescent="0.25">
      <c r="A80" s="276" t="s">
        <v>110</v>
      </c>
      <c r="B80" s="262" t="s">
        <v>108</v>
      </c>
      <c r="C80" s="262" t="s">
        <v>725</v>
      </c>
      <c r="D80" s="277" t="s">
        <v>6</v>
      </c>
      <c r="E80" s="277" t="s">
        <v>223</v>
      </c>
      <c r="F80" s="263">
        <f t="shared" si="9"/>
        <v>1609.511</v>
      </c>
      <c r="G80" s="263">
        <f t="shared" si="9"/>
        <v>2000</v>
      </c>
      <c r="H80" s="263">
        <f t="shared" si="9"/>
        <v>2000</v>
      </c>
    </row>
    <row r="81" spans="1:13" ht="33" customHeight="1" x14ac:dyDescent="0.25">
      <c r="A81" s="276" t="s">
        <v>307</v>
      </c>
      <c r="B81" s="262" t="s">
        <v>108</v>
      </c>
      <c r="C81" s="262" t="s">
        <v>725</v>
      </c>
      <c r="D81" s="262" t="s">
        <v>308</v>
      </c>
      <c r="E81" s="277" t="s">
        <v>223</v>
      </c>
      <c r="F81" s="263">
        <f t="shared" si="9"/>
        <v>1609.511</v>
      </c>
      <c r="G81" s="263">
        <f t="shared" si="9"/>
        <v>2000</v>
      </c>
      <c r="H81" s="263">
        <f t="shared" si="9"/>
        <v>2000</v>
      </c>
    </row>
    <row r="82" spans="1:13" ht="20.25" customHeight="1" x14ac:dyDescent="0.25">
      <c r="A82" s="276" t="s">
        <v>713</v>
      </c>
      <c r="B82" s="262" t="s">
        <v>108</v>
      </c>
      <c r="C82" s="262" t="s">
        <v>725</v>
      </c>
      <c r="D82" s="262" t="s">
        <v>308</v>
      </c>
      <c r="E82" s="277" t="s">
        <v>714</v>
      </c>
      <c r="F82" s="263">
        <f t="shared" si="9"/>
        <v>1609.511</v>
      </c>
      <c r="G82" s="263">
        <f t="shared" si="9"/>
        <v>2000</v>
      </c>
      <c r="H82" s="263">
        <f t="shared" si="9"/>
        <v>2000</v>
      </c>
    </row>
    <row r="83" spans="1:13" ht="18" customHeight="1" x14ac:dyDescent="0.25">
      <c r="A83" s="276" t="s">
        <v>729</v>
      </c>
      <c r="B83" s="262" t="s">
        <v>108</v>
      </c>
      <c r="C83" s="262" t="s">
        <v>725</v>
      </c>
      <c r="D83" s="262" t="s">
        <v>308</v>
      </c>
      <c r="E83" s="277" t="s">
        <v>730</v>
      </c>
      <c r="F83" s="542">
        <f>'5'!D286</f>
        <v>1609.511</v>
      </c>
      <c r="G83" s="485">
        <f>'5'!E286</f>
        <v>2000</v>
      </c>
      <c r="H83" s="485">
        <f>'5'!F286</f>
        <v>2000</v>
      </c>
    </row>
    <row r="84" spans="1:13" s="260" customFormat="1" ht="18.75" customHeight="1" x14ac:dyDescent="0.25">
      <c r="A84" s="256" t="s">
        <v>735</v>
      </c>
      <c r="B84" s="257" t="s">
        <v>108</v>
      </c>
      <c r="C84" s="257" t="s">
        <v>736</v>
      </c>
      <c r="D84" s="257" t="s">
        <v>699</v>
      </c>
      <c r="E84" s="257" t="s">
        <v>223</v>
      </c>
      <c r="F84" s="258">
        <f>F85+F123+F176+F194+F112+F197+F200+F214+F217+F225+F133</f>
        <v>18884.857259999997</v>
      </c>
      <c r="G84" s="258">
        <f>G85+G123+G176+G194+G112+G197+G200+G214+G217+G225+G133</f>
        <v>18242.851350000001</v>
      </c>
      <c r="H84" s="258">
        <f>H85+H123+H176+H194+H112+H197+H200+H214+H217+H225+H133</f>
        <v>18451.457340000001</v>
      </c>
    </row>
    <row r="85" spans="1:13" ht="17.25" customHeight="1" x14ac:dyDescent="0.25">
      <c r="A85" s="261" t="s">
        <v>737</v>
      </c>
      <c r="B85" s="262" t="s">
        <v>108</v>
      </c>
      <c r="C85" s="262" t="s">
        <v>736</v>
      </c>
      <c r="D85" s="262" t="s">
        <v>699</v>
      </c>
      <c r="E85" s="262" t="s">
        <v>223</v>
      </c>
      <c r="F85" s="263">
        <f>F86+F91+F96+F101+F106+F148+F110</f>
        <v>7804.8983499999995</v>
      </c>
      <c r="G85" s="263">
        <f>G86+G91+G96+G101+G106+G148+G110</f>
        <v>7858.2413499999993</v>
      </c>
      <c r="H85" s="263">
        <f>H86+H91+H96+H101+H106+H148+H110</f>
        <v>8086.8473399999984</v>
      </c>
      <c r="I85" s="268">
        <f>F84+F78+F48+F45+F35+F20+F14</f>
        <v>88968.190259999974</v>
      </c>
      <c r="J85" s="268">
        <f t="shared" ref="J85:K85" si="10">G84+G78+G48+G45+G35+G20+G14</f>
        <v>86561.024349999992</v>
      </c>
      <c r="K85" s="268">
        <f t="shared" si="10"/>
        <v>86908.923339999979</v>
      </c>
      <c r="L85" s="268"/>
    </row>
    <row r="86" spans="1:13" s="266" customFormat="1" ht="64.5" customHeight="1" x14ac:dyDescent="0.3">
      <c r="A86" s="264" t="s">
        <v>738</v>
      </c>
      <c r="B86" s="13" t="s">
        <v>108</v>
      </c>
      <c r="C86" s="13" t="s">
        <v>736</v>
      </c>
      <c r="D86" s="13" t="s">
        <v>11</v>
      </c>
      <c r="E86" s="13" t="s">
        <v>223</v>
      </c>
      <c r="F86" s="265">
        <f>F87+F89</f>
        <v>1101.2190000000001</v>
      </c>
      <c r="G86" s="265">
        <f>G87+G89</f>
        <v>1111.5810000000001</v>
      </c>
      <c r="H86" s="265">
        <f>H87+H89</f>
        <v>1153.444</v>
      </c>
      <c r="I86" s="266">
        <f>'5'!D306</f>
        <v>1101.2190000000001</v>
      </c>
      <c r="J86" s="266">
        <f>'5'!E306</f>
        <v>1111.5809999999999</v>
      </c>
      <c r="K86" s="266">
        <f>'5'!F306</f>
        <v>1153.444</v>
      </c>
    </row>
    <row r="87" spans="1:13" ht="96" customHeight="1" x14ac:dyDescent="0.25">
      <c r="A87" s="261" t="s">
        <v>703</v>
      </c>
      <c r="B87" s="262" t="s">
        <v>108</v>
      </c>
      <c r="C87" s="262" t="s">
        <v>736</v>
      </c>
      <c r="D87" s="262" t="s">
        <v>11</v>
      </c>
      <c r="E87" s="262" t="s">
        <v>704</v>
      </c>
      <c r="F87" s="542">
        <f>F88</f>
        <v>1067.0640000000001</v>
      </c>
      <c r="G87" s="263">
        <f>G88</f>
        <v>952.80700000000002</v>
      </c>
      <c r="H87" s="263">
        <f>H88</f>
        <v>952.80700000000002</v>
      </c>
      <c r="I87" s="268">
        <f>I86-F86</f>
        <v>0</v>
      </c>
      <c r="J87" s="268">
        <f t="shared" ref="J87:K87" si="11">J86-G86</f>
        <v>0</v>
      </c>
      <c r="K87" s="268">
        <f t="shared" si="11"/>
        <v>0</v>
      </c>
    </row>
    <row r="88" spans="1:13" ht="33" customHeight="1" x14ac:dyDescent="0.25">
      <c r="A88" s="278" t="s">
        <v>705</v>
      </c>
      <c r="B88" s="262" t="s">
        <v>108</v>
      </c>
      <c r="C88" s="262" t="s">
        <v>736</v>
      </c>
      <c r="D88" s="262" t="s">
        <v>11</v>
      </c>
      <c r="E88" s="262" t="s">
        <v>706</v>
      </c>
      <c r="F88" s="542">
        <f>714.291+1.8+21+215.716+114.257</f>
        <v>1067.0640000000001</v>
      </c>
      <c r="G88" s="485">
        <f>714.291+1.8+21+215.716</f>
        <v>952.80700000000002</v>
      </c>
      <c r="H88" s="485">
        <f>714.291+1.8+21+215.716</f>
        <v>952.80700000000002</v>
      </c>
    </row>
    <row r="89" spans="1:13" ht="33.75" customHeight="1" x14ac:dyDescent="0.25">
      <c r="A89" s="261" t="s">
        <v>709</v>
      </c>
      <c r="B89" s="262" t="s">
        <v>108</v>
      </c>
      <c r="C89" s="262" t="s">
        <v>736</v>
      </c>
      <c r="D89" s="262" t="s">
        <v>11</v>
      </c>
      <c r="E89" s="262" t="s">
        <v>710</v>
      </c>
      <c r="F89" s="542">
        <f>F90</f>
        <v>34.154999999999973</v>
      </c>
      <c r="G89" s="263">
        <f>G90</f>
        <v>158.774</v>
      </c>
      <c r="H89" s="263">
        <f>H90</f>
        <v>200.637</v>
      </c>
    </row>
    <row r="90" spans="1:13" ht="48.75" customHeight="1" x14ac:dyDescent="0.25">
      <c r="A90" s="278" t="s">
        <v>711</v>
      </c>
      <c r="B90" s="262" t="s">
        <v>108</v>
      </c>
      <c r="C90" s="262" t="s">
        <v>736</v>
      </c>
      <c r="D90" s="262" t="s">
        <v>11</v>
      </c>
      <c r="E90" s="262" t="s">
        <v>712</v>
      </c>
      <c r="F90" s="542">
        <f>158.783-10.371-114.257</f>
        <v>34.154999999999973</v>
      </c>
      <c r="G90" s="263">
        <f>200.647-41.873</f>
        <v>158.774</v>
      </c>
      <c r="H90" s="263">
        <f>244.186-43.549</f>
        <v>200.637</v>
      </c>
    </row>
    <row r="91" spans="1:13" s="281" customFormat="1" ht="48" customHeight="1" x14ac:dyDescent="0.3">
      <c r="A91" s="264" t="s">
        <v>739</v>
      </c>
      <c r="B91" s="13" t="s">
        <v>108</v>
      </c>
      <c r="C91" s="13" t="s">
        <v>736</v>
      </c>
      <c r="D91" s="279" t="s">
        <v>436</v>
      </c>
      <c r="E91" s="13" t="s">
        <v>223</v>
      </c>
      <c r="F91" s="267">
        <f>F92+F94</f>
        <v>1680.9669999999999</v>
      </c>
      <c r="G91" s="265">
        <f>G92+G94</f>
        <v>1844.0160000000001</v>
      </c>
      <c r="H91" s="265">
        <f>H92+H94</f>
        <v>1917.778</v>
      </c>
      <c r="I91" s="247">
        <f>'5'!D303</f>
        <v>1680.9669999999999</v>
      </c>
      <c r="J91" s="247">
        <f>'5'!E303</f>
        <v>1844.0160000000001</v>
      </c>
      <c r="K91" s="247">
        <f>'5'!F303</f>
        <v>1917.778</v>
      </c>
      <c r="L91" s="280"/>
      <c r="M91" s="280"/>
    </row>
    <row r="92" spans="1:13" s="283" customFormat="1" ht="96.75" customHeight="1" x14ac:dyDescent="0.3">
      <c r="A92" s="261" t="s">
        <v>703</v>
      </c>
      <c r="B92" s="262" t="s">
        <v>108</v>
      </c>
      <c r="C92" s="262" t="s">
        <v>736</v>
      </c>
      <c r="D92" s="262" t="s">
        <v>436</v>
      </c>
      <c r="E92" s="262" t="s">
        <v>704</v>
      </c>
      <c r="F92" s="485">
        <f>F93</f>
        <v>1680.9669999999999</v>
      </c>
      <c r="G92" s="263">
        <f>G93</f>
        <v>1844.0160000000001</v>
      </c>
      <c r="H92" s="263">
        <f>H93</f>
        <v>1917.778</v>
      </c>
      <c r="I92" s="282"/>
      <c r="J92" s="282"/>
      <c r="K92" s="282"/>
    </row>
    <row r="93" spans="1:13" ht="31.5" customHeight="1" x14ac:dyDescent="0.25">
      <c r="A93" s="278" t="s">
        <v>705</v>
      </c>
      <c r="B93" s="262" t="s">
        <v>108</v>
      </c>
      <c r="C93" s="262" t="s">
        <v>736</v>
      </c>
      <c r="D93" s="262" t="s">
        <v>436</v>
      </c>
      <c r="E93" s="262" t="s">
        <v>706</v>
      </c>
      <c r="F93" s="541">
        <f>'5'!D303</f>
        <v>1680.9669999999999</v>
      </c>
      <c r="G93" s="485">
        <f>'5'!E303</f>
        <v>1844.0160000000001</v>
      </c>
      <c r="H93" s="485">
        <f>'5'!F303</f>
        <v>1917.778</v>
      </c>
      <c r="I93" s="268"/>
      <c r="J93" s="268"/>
      <c r="K93" s="268"/>
    </row>
    <row r="94" spans="1:13" ht="33.75" hidden="1" customHeight="1" x14ac:dyDescent="0.25">
      <c r="A94" s="261" t="s">
        <v>709</v>
      </c>
      <c r="B94" s="262" t="s">
        <v>108</v>
      </c>
      <c r="C94" s="262" t="s">
        <v>736</v>
      </c>
      <c r="D94" s="262" t="s">
        <v>436</v>
      </c>
      <c r="E94" s="262" t="s">
        <v>710</v>
      </c>
      <c r="F94" s="485">
        <f>F95</f>
        <v>0</v>
      </c>
      <c r="G94" s="263">
        <f>G95</f>
        <v>0</v>
      </c>
      <c r="H94" s="263">
        <f>H95</f>
        <v>0</v>
      </c>
    </row>
    <row r="95" spans="1:13" ht="49.5" hidden="1" customHeight="1" x14ac:dyDescent="0.25">
      <c r="A95" s="278" t="s">
        <v>711</v>
      </c>
      <c r="B95" s="262" t="s">
        <v>108</v>
      </c>
      <c r="C95" s="262" t="s">
        <v>736</v>
      </c>
      <c r="D95" s="262" t="s">
        <v>436</v>
      </c>
      <c r="E95" s="262" t="s">
        <v>712</v>
      </c>
      <c r="F95" s="485"/>
      <c r="G95" s="485"/>
      <c r="H95" s="485"/>
    </row>
    <row r="96" spans="1:13" s="266" customFormat="1" ht="49.5" customHeight="1" x14ac:dyDescent="0.3">
      <c r="A96" s="264" t="s">
        <v>740</v>
      </c>
      <c r="B96" s="13" t="s">
        <v>108</v>
      </c>
      <c r="C96" s="13" t="s">
        <v>736</v>
      </c>
      <c r="D96" s="13" t="s">
        <v>436</v>
      </c>
      <c r="E96" s="13" t="s">
        <v>223</v>
      </c>
      <c r="F96" s="267">
        <f>F97+F99</f>
        <v>1182.1410000000001</v>
      </c>
      <c r="G96" s="265">
        <f>G97+G99</f>
        <v>1052.0730000000001</v>
      </c>
      <c r="H96" s="265">
        <f>H97+H99</f>
        <v>1094.155</v>
      </c>
      <c r="I96" s="266">
        <f>'5'!D304</f>
        <v>1182.1410000000001</v>
      </c>
      <c r="J96" s="266">
        <f>'5'!E304</f>
        <v>1052.0730000000001</v>
      </c>
      <c r="K96" s="266">
        <f>'5'!F304</f>
        <v>1094.155</v>
      </c>
    </row>
    <row r="97" spans="1:11" ht="97.5" customHeight="1" x14ac:dyDescent="0.25">
      <c r="A97" s="261" t="s">
        <v>703</v>
      </c>
      <c r="B97" s="262" t="s">
        <v>108</v>
      </c>
      <c r="C97" s="262" t="s">
        <v>736</v>
      </c>
      <c r="D97" s="262" t="s">
        <v>436</v>
      </c>
      <c r="E97" s="262" t="s">
        <v>704</v>
      </c>
      <c r="F97" s="485">
        <f>F98</f>
        <v>1182.1410000000001</v>
      </c>
      <c r="G97" s="263">
        <f>G98</f>
        <v>1052.0730000000001</v>
      </c>
      <c r="H97" s="263">
        <f>H98</f>
        <v>1094.155</v>
      </c>
    </row>
    <row r="98" spans="1:11" ht="31.5" customHeight="1" x14ac:dyDescent="0.25">
      <c r="A98" s="278" t="s">
        <v>705</v>
      </c>
      <c r="B98" s="262" t="s">
        <v>108</v>
      </c>
      <c r="C98" s="262" t="s">
        <v>736</v>
      </c>
      <c r="D98" s="262" t="s">
        <v>436</v>
      </c>
      <c r="E98" s="262" t="s">
        <v>706</v>
      </c>
      <c r="F98" s="541">
        <f>'5'!D304</f>
        <v>1182.1410000000001</v>
      </c>
      <c r="G98" s="485">
        <f>'5'!E304</f>
        <v>1052.0730000000001</v>
      </c>
      <c r="H98" s="485">
        <f>'5'!F304</f>
        <v>1094.155</v>
      </c>
    </row>
    <row r="99" spans="1:11" ht="35.25" hidden="1" customHeight="1" x14ac:dyDescent="0.25">
      <c r="A99" s="261" t="s">
        <v>709</v>
      </c>
      <c r="B99" s="262" t="s">
        <v>108</v>
      </c>
      <c r="C99" s="262" t="s">
        <v>736</v>
      </c>
      <c r="D99" s="262" t="s">
        <v>436</v>
      </c>
      <c r="E99" s="262" t="s">
        <v>710</v>
      </c>
      <c r="F99" s="485">
        <f>F100</f>
        <v>0</v>
      </c>
      <c r="G99" s="263">
        <f>G100</f>
        <v>0</v>
      </c>
      <c r="H99" s="263">
        <f>H100</f>
        <v>0</v>
      </c>
    </row>
    <row r="100" spans="1:11" ht="48" hidden="1" customHeight="1" x14ac:dyDescent="0.25">
      <c r="A100" s="278" t="s">
        <v>711</v>
      </c>
      <c r="B100" s="262" t="s">
        <v>108</v>
      </c>
      <c r="C100" s="262" t="s">
        <v>736</v>
      </c>
      <c r="D100" s="262" t="s">
        <v>436</v>
      </c>
      <c r="E100" s="262" t="s">
        <v>712</v>
      </c>
      <c r="F100" s="485"/>
      <c r="G100" s="485"/>
      <c r="H100" s="485"/>
    </row>
    <row r="101" spans="1:11" s="266" customFormat="1" ht="108.75" customHeight="1" x14ac:dyDescent="0.3">
      <c r="A101" s="264" t="s">
        <v>741</v>
      </c>
      <c r="B101" s="13" t="s">
        <v>108</v>
      </c>
      <c r="C101" s="13" t="s">
        <v>736</v>
      </c>
      <c r="D101" s="13" t="s">
        <v>742</v>
      </c>
      <c r="E101" s="13" t="s">
        <v>223</v>
      </c>
      <c r="F101" s="265">
        <f>F102+F104</f>
        <v>1447.646</v>
      </c>
      <c r="G101" s="265">
        <f>G102+G104</f>
        <v>1641.578</v>
      </c>
      <c r="H101" s="265">
        <f>H102+H104</f>
        <v>1696.2670000000001</v>
      </c>
      <c r="I101" s="266">
        <f>'5'!D299</f>
        <v>1447.646</v>
      </c>
      <c r="J101" s="266">
        <f>'5'!E299</f>
        <v>1641.578</v>
      </c>
      <c r="K101" s="266">
        <f>'5'!F299</f>
        <v>1696.2670000000001</v>
      </c>
    </row>
    <row r="102" spans="1:11" ht="96" customHeight="1" x14ac:dyDescent="0.25">
      <c r="A102" s="261" t="s">
        <v>703</v>
      </c>
      <c r="B102" s="262" t="s">
        <v>108</v>
      </c>
      <c r="C102" s="262" t="s">
        <v>736</v>
      </c>
      <c r="D102" s="262" t="s">
        <v>742</v>
      </c>
      <c r="E102" s="262" t="s">
        <v>704</v>
      </c>
      <c r="F102" s="263">
        <f>F103</f>
        <v>1447.646</v>
      </c>
      <c r="G102" s="263">
        <f>G103</f>
        <v>1641.578</v>
      </c>
      <c r="H102" s="263">
        <f>H103</f>
        <v>1696.2670000000001</v>
      </c>
    </row>
    <row r="103" spans="1:11" ht="31.5" customHeight="1" x14ac:dyDescent="0.25">
      <c r="A103" s="278" t="s">
        <v>705</v>
      </c>
      <c r="B103" s="262" t="s">
        <v>108</v>
      </c>
      <c r="C103" s="262" t="s">
        <v>736</v>
      </c>
      <c r="D103" s="262" t="s">
        <v>742</v>
      </c>
      <c r="E103" s="262" t="s">
        <v>706</v>
      </c>
      <c r="F103" s="485">
        <v>1447.646</v>
      </c>
      <c r="G103" s="485">
        <f>1260.813+380.765</f>
        <v>1641.578</v>
      </c>
      <c r="H103" s="485">
        <f>1302.816+393.451</f>
        <v>1696.2670000000001</v>
      </c>
      <c r="I103" s="284"/>
    </row>
    <row r="104" spans="1:11" ht="33" hidden="1" customHeight="1" x14ac:dyDescent="0.25">
      <c r="A104" s="261" t="s">
        <v>709</v>
      </c>
      <c r="B104" s="262" t="s">
        <v>108</v>
      </c>
      <c r="C104" s="262" t="s">
        <v>736</v>
      </c>
      <c r="D104" s="262" t="s">
        <v>742</v>
      </c>
      <c r="E104" s="262" t="s">
        <v>710</v>
      </c>
      <c r="F104" s="485">
        <f>F105</f>
        <v>0</v>
      </c>
      <c r="G104" s="263">
        <f>G105</f>
        <v>0</v>
      </c>
      <c r="H104" s="263">
        <f>H105</f>
        <v>0</v>
      </c>
      <c r="I104" s="268"/>
    </row>
    <row r="105" spans="1:11" ht="47.4" hidden="1" customHeight="1" x14ac:dyDescent="0.25">
      <c r="A105" s="278" t="s">
        <v>711</v>
      </c>
      <c r="B105" s="262" t="s">
        <v>108</v>
      </c>
      <c r="C105" s="262" t="s">
        <v>736</v>
      </c>
      <c r="D105" s="262" t="s">
        <v>742</v>
      </c>
      <c r="E105" s="262" t="s">
        <v>712</v>
      </c>
      <c r="F105" s="485"/>
      <c r="G105" s="485"/>
      <c r="H105" s="485"/>
    </row>
    <row r="106" spans="1:11" ht="78.599999999999994" customHeight="1" x14ac:dyDescent="0.25">
      <c r="A106" s="285" t="s">
        <v>743</v>
      </c>
      <c r="B106" s="13" t="s">
        <v>108</v>
      </c>
      <c r="C106" s="13" t="s">
        <v>736</v>
      </c>
      <c r="D106" s="13" t="s">
        <v>744</v>
      </c>
      <c r="E106" s="13" t="s">
        <v>223</v>
      </c>
      <c r="F106" s="265">
        <f>F108+F107</f>
        <v>445.22699999999998</v>
      </c>
      <c r="G106" s="265">
        <f>G108+G107</f>
        <v>449.23899999999998</v>
      </c>
      <c r="H106" s="265">
        <f>H108+H107</f>
        <v>465.44900000000001</v>
      </c>
      <c r="I106" s="247">
        <f>'5'!D301</f>
        <v>445.22699999999998</v>
      </c>
      <c r="J106" s="247">
        <f>'5'!E301</f>
        <v>449.23899999999998</v>
      </c>
      <c r="K106" s="247">
        <f>'5'!F301</f>
        <v>465.44900000000001</v>
      </c>
    </row>
    <row r="107" spans="1:11" ht="42" customHeight="1" x14ac:dyDescent="0.25">
      <c r="A107" s="278" t="s">
        <v>705</v>
      </c>
      <c r="B107" s="262" t="s">
        <v>108</v>
      </c>
      <c r="C107" s="262" t="s">
        <v>736</v>
      </c>
      <c r="D107" s="13" t="s">
        <v>744</v>
      </c>
      <c r="E107" s="262" t="s">
        <v>706</v>
      </c>
      <c r="F107" s="265">
        <f>116.019+0.6+2.8+35.038</f>
        <v>154.45699999999999</v>
      </c>
      <c r="G107" s="265">
        <f>116.019+0.6+2.8+35.038</f>
        <v>154.45699999999999</v>
      </c>
      <c r="H107" s="265">
        <f>116.019+0.6+2.8+35.038</f>
        <v>154.45699999999999</v>
      </c>
      <c r="I107" s="268">
        <f>I106-F106</f>
        <v>0</v>
      </c>
      <c r="J107" s="268">
        <f t="shared" ref="J107:K107" si="12">J106-G106</f>
        <v>0</v>
      </c>
      <c r="K107" s="268">
        <f t="shared" si="12"/>
        <v>0</v>
      </c>
    </row>
    <row r="108" spans="1:11" ht="33" customHeight="1" x14ac:dyDescent="0.25">
      <c r="A108" s="261" t="s">
        <v>709</v>
      </c>
      <c r="B108" s="262" t="s">
        <v>108</v>
      </c>
      <c r="C108" s="262" t="s">
        <v>736</v>
      </c>
      <c r="D108" s="262" t="s">
        <v>744</v>
      </c>
      <c r="E108" s="262" t="s">
        <v>710</v>
      </c>
      <c r="F108" s="263">
        <f>F109</f>
        <v>290.77</v>
      </c>
      <c r="G108" s="263">
        <f>G109</f>
        <v>294.78199999999998</v>
      </c>
      <c r="H108" s="263">
        <f>H109</f>
        <v>310.99200000000002</v>
      </c>
    </row>
    <row r="109" spans="1:11" ht="48" customHeight="1" x14ac:dyDescent="0.25">
      <c r="A109" s="278" t="s">
        <v>711</v>
      </c>
      <c r="B109" s="262" t="s">
        <v>108</v>
      </c>
      <c r="C109" s="262" t="s">
        <v>736</v>
      </c>
      <c r="D109" s="262" t="s">
        <v>744</v>
      </c>
      <c r="E109" s="262" t="s">
        <v>712</v>
      </c>
      <c r="F109" s="485">
        <f>294.786-4.016</f>
        <v>290.77</v>
      </c>
      <c r="G109" s="263">
        <f>310.996-16.214</f>
        <v>294.78199999999998</v>
      </c>
      <c r="H109" s="263">
        <f>327.855-16.863</f>
        <v>310.99200000000002</v>
      </c>
    </row>
    <row r="110" spans="1:11" ht="35.700000000000003" hidden="1" customHeight="1" x14ac:dyDescent="0.25">
      <c r="A110" s="278" t="s">
        <v>435</v>
      </c>
      <c r="B110" s="262" t="s">
        <v>108</v>
      </c>
      <c r="C110" s="262" t="s">
        <v>736</v>
      </c>
      <c r="D110" s="262" t="s">
        <v>437</v>
      </c>
      <c r="E110" s="262" t="s">
        <v>223</v>
      </c>
      <c r="F110" s="263">
        <f>F111</f>
        <v>0</v>
      </c>
      <c r="G110" s="263">
        <f>G111</f>
        <v>0</v>
      </c>
      <c r="H110" s="263">
        <f>H111</f>
        <v>0</v>
      </c>
    </row>
    <row r="111" spans="1:11" ht="50.25" hidden="1" customHeight="1" x14ac:dyDescent="0.25">
      <c r="A111" s="278" t="s">
        <v>711</v>
      </c>
      <c r="B111" s="262" t="s">
        <v>108</v>
      </c>
      <c r="C111" s="262" t="s">
        <v>736</v>
      </c>
      <c r="D111" s="262" t="s">
        <v>437</v>
      </c>
      <c r="E111" s="262" t="s">
        <v>712</v>
      </c>
      <c r="F111" s="263"/>
      <c r="G111" s="263"/>
      <c r="H111" s="263"/>
    </row>
    <row r="112" spans="1:11" ht="19.5" hidden="1" customHeight="1" x14ac:dyDescent="0.25">
      <c r="A112" s="286" t="s">
        <v>735</v>
      </c>
      <c r="B112" s="262" t="s">
        <v>108</v>
      </c>
      <c r="C112" s="262" t="s">
        <v>736</v>
      </c>
      <c r="D112" s="287" t="s">
        <v>699</v>
      </c>
      <c r="E112" s="287" t="s">
        <v>223</v>
      </c>
      <c r="F112" s="288">
        <f>F117+F114</f>
        <v>0</v>
      </c>
      <c r="G112" s="288">
        <f>G117+G114</f>
        <v>0</v>
      </c>
      <c r="H112" s="288">
        <f>H117+H114</f>
        <v>0</v>
      </c>
    </row>
    <row r="113" spans="1:9" s="266" customFormat="1" ht="81" hidden="1" customHeight="1" x14ac:dyDescent="0.3">
      <c r="A113" s="289" t="s">
        <v>745</v>
      </c>
      <c r="B113" s="262" t="s">
        <v>108</v>
      </c>
      <c r="C113" s="262" t="s">
        <v>736</v>
      </c>
      <c r="D113" s="13" t="s">
        <v>21</v>
      </c>
      <c r="E113" s="13" t="s">
        <v>223</v>
      </c>
      <c r="F113" s="265">
        <f t="shared" ref="F113:H115" si="13">F114</f>
        <v>0</v>
      </c>
      <c r="G113" s="265">
        <f t="shared" si="13"/>
        <v>0</v>
      </c>
      <c r="H113" s="265">
        <f t="shared" si="13"/>
        <v>0</v>
      </c>
    </row>
    <row r="114" spans="1:9" ht="67.5" hidden="1" customHeight="1" x14ac:dyDescent="0.25">
      <c r="A114" s="278" t="s">
        <v>746</v>
      </c>
      <c r="B114" s="262" t="s">
        <v>108</v>
      </c>
      <c r="C114" s="262" t="s">
        <v>736</v>
      </c>
      <c r="D114" s="262" t="s">
        <v>78</v>
      </c>
      <c r="E114" s="262" t="s">
        <v>747</v>
      </c>
      <c r="F114" s="263">
        <f t="shared" si="13"/>
        <v>0</v>
      </c>
      <c r="G114" s="263">
        <f t="shared" si="13"/>
        <v>0</v>
      </c>
      <c r="H114" s="263">
        <f t="shared" si="13"/>
        <v>0</v>
      </c>
    </row>
    <row r="115" spans="1:9" ht="51" hidden="1" customHeight="1" x14ac:dyDescent="0.25">
      <c r="A115" s="278" t="s">
        <v>748</v>
      </c>
      <c r="B115" s="262" t="s">
        <v>108</v>
      </c>
      <c r="C115" s="262" t="s">
        <v>736</v>
      </c>
      <c r="D115" s="262" t="s">
        <v>78</v>
      </c>
      <c r="E115" s="262" t="s">
        <v>747</v>
      </c>
      <c r="F115" s="263">
        <f t="shared" si="13"/>
        <v>0</v>
      </c>
      <c r="G115" s="263">
        <f t="shared" si="13"/>
        <v>0</v>
      </c>
      <c r="H115" s="263">
        <f t="shared" si="13"/>
        <v>0</v>
      </c>
    </row>
    <row r="116" spans="1:9" ht="19.5" hidden="1" customHeight="1" x14ac:dyDescent="0.25">
      <c r="A116" s="278" t="s">
        <v>749</v>
      </c>
      <c r="B116" s="262" t="s">
        <v>108</v>
      </c>
      <c r="C116" s="262" t="s">
        <v>736</v>
      </c>
      <c r="D116" s="262" t="s">
        <v>78</v>
      </c>
      <c r="E116" s="262" t="s">
        <v>750</v>
      </c>
      <c r="F116" s="263"/>
      <c r="G116" s="263"/>
      <c r="H116" s="263"/>
    </row>
    <row r="117" spans="1:9" ht="81" hidden="1" customHeight="1" x14ac:dyDescent="0.3">
      <c r="A117" s="290" t="s">
        <v>751</v>
      </c>
      <c r="B117" s="262" t="s">
        <v>108</v>
      </c>
      <c r="C117" s="262" t="s">
        <v>736</v>
      </c>
      <c r="D117" s="262" t="s">
        <v>251</v>
      </c>
      <c r="E117" s="262" t="s">
        <v>223</v>
      </c>
      <c r="F117" s="263">
        <f t="shared" ref="F117:H118" si="14">F118</f>
        <v>0</v>
      </c>
      <c r="G117" s="263">
        <f t="shared" si="14"/>
        <v>0</v>
      </c>
      <c r="H117" s="263">
        <f t="shared" si="14"/>
        <v>0</v>
      </c>
    </row>
    <row r="118" spans="1:9" ht="51.75" hidden="1" customHeight="1" x14ac:dyDescent="0.25">
      <c r="A118" s="261" t="s">
        <v>748</v>
      </c>
      <c r="B118" s="262" t="s">
        <v>108</v>
      </c>
      <c r="C118" s="262" t="s">
        <v>736</v>
      </c>
      <c r="D118" s="262" t="s">
        <v>251</v>
      </c>
      <c r="E118" s="262" t="s">
        <v>747</v>
      </c>
      <c r="F118" s="263">
        <f t="shared" si="14"/>
        <v>0</v>
      </c>
      <c r="G118" s="263">
        <f t="shared" si="14"/>
        <v>0</v>
      </c>
      <c r="H118" s="263">
        <f t="shared" si="14"/>
        <v>0</v>
      </c>
    </row>
    <row r="119" spans="1:9" ht="17.25" hidden="1" customHeight="1" x14ac:dyDescent="0.25">
      <c r="A119" s="261" t="s">
        <v>749</v>
      </c>
      <c r="B119" s="262" t="s">
        <v>108</v>
      </c>
      <c r="C119" s="262" t="s">
        <v>736</v>
      </c>
      <c r="D119" s="262" t="s">
        <v>251</v>
      </c>
      <c r="E119" s="262" t="s">
        <v>750</v>
      </c>
      <c r="F119" s="263"/>
      <c r="G119" s="263"/>
      <c r="H119" s="263"/>
    </row>
    <row r="120" spans="1:9" ht="67.2" hidden="1" customHeight="1" x14ac:dyDescent="0.25">
      <c r="A120" s="264" t="s">
        <v>413</v>
      </c>
      <c r="B120" s="13" t="s">
        <v>108</v>
      </c>
      <c r="C120" s="13" t="s">
        <v>736</v>
      </c>
      <c r="D120" s="13" t="s">
        <v>414</v>
      </c>
      <c r="E120" s="13" t="s">
        <v>223</v>
      </c>
      <c r="F120" s="265">
        <f t="shared" ref="F120:H121" si="15">F121</f>
        <v>0</v>
      </c>
      <c r="G120" s="265">
        <f t="shared" si="15"/>
        <v>0</v>
      </c>
      <c r="H120" s="265">
        <f t="shared" si="15"/>
        <v>0</v>
      </c>
    </row>
    <row r="121" spans="1:9" ht="78" hidden="1" customHeight="1" x14ac:dyDescent="0.25">
      <c r="A121" s="261" t="s">
        <v>703</v>
      </c>
      <c r="B121" s="262" t="s">
        <v>108</v>
      </c>
      <c r="C121" s="262" t="s">
        <v>736</v>
      </c>
      <c r="D121" s="262" t="s">
        <v>414</v>
      </c>
      <c r="E121" s="262" t="s">
        <v>704</v>
      </c>
      <c r="F121" s="263">
        <f t="shared" si="15"/>
        <v>0</v>
      </c>
      <c r="G121" s="263">
        <f t="shared" si="15"/>
        <v>0</v>
      </c>
      <c r="H121" s="263">
        <f t="shared" si="15"/>
        <v>0</v>
      </c>
    </row>
    <row r="122" spans="1:9" ht="35.700000000000003" hidden="1" customHeight="1" x14ac:dyDescent="0.25">
      <c r="A122" s="278" t="s">
        <v>705</v>
      </c>
      <c r="B122" s="262" t="s">
        <v>108</v>
      </c>
      <c r="C122" s="262" t="s">
        <v>736</v>
      </c>
      <c r="D122" s="262" t="s">
        <v>414</v>
      </c>
      <c r="E122" s="262" t="s">
        <v>706</v>
      </c>
      <c r="F122" s="263"/>
      <c r="G122" s="263"/>
      <c r="H122" s="263"/>
    </row>
    <row r="123" spans="1:9" ht="34.5" customHeight="1" x14ac:dyDescent="0.25">
      <c r="A123" s="261" t="s">
        <v>702</v>
      </c>
      <c r="B123" s="262" t="s">
        <v>108</v>
      </c>
      <c r="C123" s="262" t="s">
        <v>736</v>
      </c>
      <c r="D123" s="262" t="s">
        <v>5</v>
      </c>
      <c r="E123" s="262" t="s">
        <v>223</v>
      </c>
      <c r="F123" s="263">
        <f>F124</f>
        <v>10916.958909999999</v>
      </c>
      <c r="G123" s="263">
        <f>G124</f>
        <v>10205.61</v>
      </c>
      <c r="H123" s="263">
        <f>H124</f>
        <v>10205.61</v>
      </c>
    </row>
    <row r="124" spans="1:9" ht="51" customHeight="1" x14ac:dyDescent="0.25">
      <c r="A124" s="261" t="s">
        <v>110</v>
      </c>
      <c r="B124" s="262" t="s">
        <v>108</v>
      </c>
      <c r="C124" s="262" t="s">
        <v>736</v>
      </c>
      <c r="D124" s="262" t="s">
        <v>6</v>
      </c>
      <c r="E124" s="262" t="s">
        <v>223</v>
      </c>
      <c r="F124" s="263">
        <f>F125+F130+F135+F138+F143+F161+F164+F170+F173</f>
        <v>10916.958909999999</v>
      </c>
      <c r="G124" s="263">
        <f>G125+G130+G135+G138+G143+G161+G164+G167+G170+G173</f>
        <v>10205.61</v>
      </c>
      <c r="H124" s="263">
        <f>H125+H130+H135+H138+H143+H161+H164+H167+H170+H173</f>
        <v>10205.61</v>
      </c>
    </row>
    <row r="125" spans="1:9" s="266" customFormat="1" ht="49.5" customHeight="1" x14ac:dyDescent="0.3">
      <c r="A125" s="264" t="s">
        <v>752</v>
      </c>
      <c r="B125" s="13" t="s">
        <v>108</v>
      </c>
      <c r="C125" s="13" t="s">
        <v>736</v>
      </c>
      <c r="D125" s="13" t="s">
        <v>9</v>
      </c>
      <c r="E125" s="13" t="s">
        <v>223</v>
      </c>
      <c r="F125" s="265">
        <f>F126+F128</f>
        <v>7247.5</v>
      </c>
      <c r="G125" s="265">
        <f>G126+G128</f>
        <v>7247.5</v>
      </c>
      <c r="H125" s="265">
        <f>H126+H128</f>
        <v>7247.5</v>
      </c>
    </row>
    <row r="126" spans="1:9" ht="96" customHeight="1" x14ac:dyDescent="0.25">
      <c r="A126" s="261" t="s">
        <v>703</v>
      </c>
      <c r="B126" s="262" t="s">
        <v>108</v>
      </c>
      <c r="C126" s="262" t="s">
        <v>736</v>
      </c>
      <c r="D126" s="262" t="s">
        <v>9</v>
      </c>
      <c r="E126" s="262" t="s">
        <v>704</v>
      </c>
      <c r="F126" s="485">
        <f>F127</f>
        <v>7155.5</v>
      </c>
      <c r="G126" s="263">
        <f>G127</f>
        <v>7155.5</v>
      </c>
      <c r="H126" s="263">
        <f>H127</f>
        <v>7155.5</v>
      </c>
    </row>
    <row r="127" spans="1:9" ht="34.5" customHeight="1" x14ac:dyDescent="0.25">
      <c r="A127" s="278" t="s">
        <v>705</v>
      </c>
      <c r="B127" s="262" t="s">
        <v>108</v>
      </c>
      <c r="C127" s="262" t="s">
        <v>736</v>
      </c>
      <c r="D127" s="262" t="s">
        <v>9</v>
      </c>
      <c r="E127" s="262" t="s">
        <v>706</v>
      </c>
      <c r="F127" s="485">
        <f>5461.2+45+1649.3</f>
        <v>7155.5</v>
      </c>
      <c r="G127" s="485">
        <f t="shared" ref="G127:H127" si="16">5461.2+45+1649.3</f>
        <v>7155.5</v>
      </c>
      <c r="H127" s="485">
        <f t="shared" si="16"/>
        <v>7155.5</v>
      </c>
      <c r="I127" s="247">
        <v>7247.5</v>
      </c>
    </row>
    <row r="128" spans="1:9" ht="35.25" customHeight="1" x14ac:dyDescent="0.25">
      <c r="A128" s="261" t="s">
        <v>709</v>
      </c>
      <c r="B128" s="262" t="s">
        <v>108</v>
      </c>
      <c r="C128" s="262" t="s">
        <v>736</v>
      </c>
      <c r="D128" s="262" t="s">
        <v>9</v>
      </c>
      <c r="E128" s="262" t="s">
        <v>710</v>
      </c>
      <c r="F128" s="485">
        <f>F129</f>
        <v>92</v>
      </c>
      <c r="G128" s="263">
        <f>G129</f>
        <v>92</v>
      </c>
      <c r="H128" s="263">
        <f>H129</f>
        <v>92</v>
      </c>
      <c r="I128" s="268">
        <f>I127-F125</f>
        <v>0</v>
      </c>
    </row>
    <row r="129" spans="1:8" ht="49.5" customHeight="1" x14ac:dyDescent="0.25">
      <c r="A129" s="278" t="s">
        <v>711</v>
      </c>
      <c r="B129" s="262" t="s">
        <v>108</v>
      </c>
      <c r="C129" s="262" t="s">
        <v>736</v>
      </c>
      <c r="D129" s="262" t="s">
        <v>9</v>
      </c>
      <c r="E129" s="262" t="s">
        <v>712</v>
      </c>
      <c r="F129" s="485">
        <f>137-45</f>
        <v>92</v>
      </c>
      <c r="G129" s="485">
        <f t="shared" ref="G129:H129" si="17">137-45</f>
        <v>92</v>
      </c>
      <c r="H129" s="485">
        <f t="shared" si="17"/>
        <v>92</v>
      </c>
    </row>
    <row r="130" spans="1:8" s="266" customFormat="1" ht="15.75" customHeight="1" x14ac:dyDescent="0.3">
      <c r="A130" s="264" t="s">
        <v>753</v>
      </c>
      <c r="B130" s="13" t="s">
        <v>108</v>
      </c>
      <c r="C130" s="13" t="s">
        <v>736</v>
      </c>
      <c r="D130" s="13" t="s">
        <v>12</v>
      </c>
      <c r="E130" s="13" t="s">
        <v>223</v>
      </c>
      <c r="F130" s="267">
        <f t="shared" ref="F130:H131" si="18">F131</f>
        <v>5.5111000000000008</v>
      </c>
      <c r="G130" s="265">
        <f t="shared" si="18"/>
        <v>0</v>
      </c>
      <c r="H130" s="265">
        <f t="shared" si="18"/>
        <v>0</v>
      </c>
    </row>
    <row r="131" spans="1:8" ht="15.75" customHeight="1" x14ac:dyDescent="0.25">
      <c r="A131" s="261" t="s">
        <v>713</v>
      </c>
      <c r="B131" s="262" t="s">
        <v>108</v>
      </c>
      <c r="C131" s="262" t="s">
        <v>736</v>
      </c>
      <c r="D131" s="262" t="s">
        <v>12</v>
      </c>
      <c r="E131" s="262" t="s">
        <v>714</v>
      </c>
      <c r="F131" s="485">
        <f t="shared" si="18"/>
        <v>5.5111000000000008</v>
      </c>
      <c r="G131" s="263">
        <f t="shared" si="18"/>
        <v>0</v>
      </c>
      <c r="H131" s="263">
        <f t="shared" si="18"/>
        <v>0</v>
      </c>
    </row>
    <row r="132" spans="1:8" ht="15.75" customHeight="1" x14ac:dyDescent="0.25">
      <c r="A132" s="261" t="s">
        <v>753</v>
      </c>
      <c r="B132" s="262" t="s">
        <v>108</v>
      </c>
      <c r="C132" s="262" t="s">
        <v>736</v>
      </c>
      <c r="D132" s="262" t="s">
        <v>12</v>
      </c>
      <c r="E132" s="262" t="s">
        <v>754</v>
      </c>
      <c r="F132" s="505">
        <f>'5'!D262</f>
        <v>5.5111000000000008</v>
      </c>
      <c r="G132" s="487">
        <f>'5'!E262</f>
        <v>0</v>
      </c>
      <c r="H132" s="487">
        <f>'5'!F262</f>
        <v>0</v>
      </c>
    </row>
    <row r="133" spans="1:8" ht="32.4" hidden="1" customHeight="1" x14ac:dyDescent="0.25">
      <c r="A133" s="9" t="s">
        <v>634</v>
      </c>
      <c r="B133" s="269" t="s">
        <v>108</v>
      </c>
      <c r="C133" s="269" t="s">
        <v>736</v>
      </c>
      <c r="D133" s="269" t="s">
        <v>9</v>
      </c>
      <c r="E133" s="269" t="s">
        <v>710</v>
      </c>
      <c r="F133" s="485">
        <f>F134</f>
        <v>0</v>
      </c>
      <c r="G133" s="485">
        <f>G134</f>
        <v>0</v>
      </c>
      <c r="H133" s="485">
        <f>H134</f>
        <v>0</v>
      </c>
    </row>
    <row r="134" spans="1:8" ht="35.4" hidden="1" customHeight="1" x14ac:dyDescent="0.25">
      <c r="A134" s="21" t="s">
        <v>711</v>
      </c>
      <c r="B134" s="262" t="s">
        <v>108</v>
      </c>
      <c r="C134" s="262" t="s">
        <v>736</v>
      </c>
      <c r="D134" s="269" t="s">
        <v>9</v>
      </c>
      <c r="E134" s="262" t="s">
        <v>712</v>
      </c>
      <c r="F134" s="485"/>
      <c r="G134" s="263"/>
      <c r="H134" s="263"/>
    </row>
    <row r="135" spans="1:8" s="266" customFormat="1" ht="63" customHeight="1" x14ac:dyDescent="0.3">
      <c r="A135" s="264" t="s">
        <v>755</v>
      </c>
      <c r="B135" s="13" t="s">
        <v>108</v>
      </c>
      <c r="C135" s="13" t="s">
        <v>736</v>
      </c>
      <c r="D135" s="13" t="s">
        <v>13</v>
      </c>
      <c r="E135" s="13" t="s">
        <v>223</v>
      </c>
      <c r="F135" s="267">
        <f t="shared" ref="F135:H136" si="19">F136</f>
        <v>610</v>
      </c>
      <c r="G135" s="265">
        <f t="shared" si="19"/>
        <v>420.96</v>
      </c>
      <c r="H135" s="265">
        <f t="shared" si="19"/>
        <v>420.96</v>
      </c>
    </row>
    <row r="136" spans="1:8" ht="35.25" customHeight="1" x14ac:dyDescent="0.25">
      <c r="A136" s="261" t="s">
        <v>709</v>
      </c>
      <c r="B136" s="262" t="s">
        <v>108</v>
      </c>
      <c r="C136" s="262" t="s">
        <v>736</v>
      </c>
      <c r="D136" s="262" t="s">
        <v>13</v>
      </c>
      <c r="E136" s="262" t="s">
        <v>710</v>
      </c>
      <c r="F136" s="505">
        <f t="shared" si="19"/>
        <v>610</v>
      </c>
      <c r="G136" s="263">
        <f t="shared" si="19"/>
        <v>420.96</v>
      </c>
      <c r="H136" s="263">
        <f t="shared" si="19"/>
        <v>420.96</v>
      </c>
    </row>
    <row r="137" spans="1:8" ht="49.5" customHeight="1" x14ac:dyDescent="0.25">
      <c r="A137" s="278" t="s">
        <v>711</v>
      </c>
      <c r="B137" s="262" t="s">
        <v>108</v>
      </c>
      <c r="C137" s="262" t="s">
        <v>736</v>
      </c>
      <c r="D137" s="262" t="s">
        <v>13</v>
      </c>
      <c r="E137" s="262" t="s">
        <v>712</v>
      </c>
      <c r="F137" s="505">
        <f>'5'!D264</f>
        <v>610</v>
      </c>
      <c r="G137" s="485">
        <f>'5'!E264</f>
        <v>420.96</v>
      </c>
      <c r="H137" s="485">
        <f>'5'!F264</f>
        <v>420.96</v>
      </c>
    </row>
    <row r="138" spans="1:8" ht="16.5" customHeight="1" x14ac:dyDescent="0.25">
      <c r="A138" s="285" t="s">
        <v>275</v>
      </c>
      <c r="B138" s="13" t="s">
        <v>108</v>
      </c>
      <c r="C138" s="13" t="s">
        <v>736</v>
      </c>
      <c r="D138" s="13" t="s">
        <v>276</v>
      </c>
      <c r="E138" s="13" t="s">
        <v>223</v>
      </c>
      <c r="F138" s="267">
        <f>F139+F141</f>
        <v>2481.7728099999999</v>
      </c>
      <c r="G138" s="265">
        <f>G139+G141</f>
        <v>2087.15</v>
      </c>
      <c r="H138" s="265">
        <f>H139+H141</f>
        <v>2087.15</v>
      </c>
    </row>
    <row r="139" spans="1:8" ht="34.5" customHeight="1" x14ac:dyDescent="0.25">
      <c r="A139" s="261" t="s">
        <v>709</v>
      </c>
      <c r="B139" s="262" t="s">
        <v>108</v>
      </c>
      <c r="C139" s="262" t="s">
        <v>736</v>
      </c>
      <c r="D139" s="262" t="s">
        <v>276</v>
      </c>
      <c r="E139" s="262" t="s">
        <v>710</v>
      </c>
      <c r="F139" s="505">
        <f>F140</f>
        <v>2481.7728099999999</v>
      </c>
      <c r="G139" s="263">
        <f>G140</f>
        <v>2087.15</v>
      </c>
      <c r="H139" s="263">
        <f>H140</f>
        <v>2087.15</v>
      </c>
    </row>
    <row r="140" spans="1:8" ht="49.2" customHeight="1" x14ac:dyDescent="0.25">
      <c r="A140" s="278" t="s">
        <v>711</v>
      </c>
      <c r="B140" s="262" t="s">
        <v>108</v>
      </c>
      <c r="C140" s="262" t="s">
        <v>736</v>
      </c>
      <c r="D140" s="262" t="s">
        <v>276</v>
      </c>
      <c r="E140" s="262" t="s">
        <v>712</v>
      </c>
      <c r="F140" s="541">
        <f>'5'!D282</f>
        <v>2481.7728099999999</v>
      </c>
      <c r="G140" s="485">
        <f>'5'!E282</f>
        <v>2087.15</v>
      </c>
      <c r="H140" s="485">
        <f>'5'!F282</f>
        <v>2087.15</v>
      </c>
    </row>
    <row r="141" spans="1:8" ht="21.75" hidden="1" customHeight="1" x14ac:dyDescent="0.25">
      <c r="A141" s="261" t="s">
        <v>713</v>
      </c>
      <c r="B141" s="262" t="s">
        <v>108</v>
      </c>
      <c r="C141" s="262" t="s">
        <v>736</v>
      </c>
      <c r="D141" s="262" t="s">
        <v>276</v>
      </c>
      <c r="E141" s="262" t="s">
        <v>714</v>
      </c>
      <c r="F141" s="263">
        <f>F142</f>
        <v>0</v>
      </c>
      <c r="G141" s="263">
        <f>G142</f>
        <v>0</v>
      </c>
      <c r="H141" s="263">
        <f>H142</f>
        <v>0</v>
      </c>
    </row>
    <row r="142" spans="1:8" ht="21" hidden="1" customHeight="1" x14ac:dyDescent="0.25">
      <c r="A142" s="270" t="s">
        <v>715</v>
      </c>
      <c r="B142" s="262" t="s">
        <v>108</v>
      </c>
      <c r="C142" s="262" t="s">
        <v>736</v>
      </c>
      <c r="D142" s="262" t="s">
        <v>276</v>
      </c>
      <c r="E142" s="262" t="s">
        <v>716</v>
      </c>
      <c r="F142" s="263"/>
      <c r="G142" s="263"/>
      <c r="H142" s="263"/>
    </row>
    <row r="143" spans="1:8" s="266" customFormat="1" ht="64.5" customHeight="1" x14ac:dyDescent="0.3">
      <c r="A143" s="291" t="s">
        <v>529</v>
      </c>
      <c r="B143" s="292" t="s">
        <v>108</v>
      </c>
      <c r="C143" s="292" t="s">
        <v>736</v>
      </c>
      <c r="D143" s="292" t="s">
        <v>530</v>
      </c>
      <c r="E143" s="292" t="s">
        <v>223</v>
      </c>
      <c r="F143" s="267">
        <f>F145+F146</f>
        <v>172.5</v>
      </c>
      <c r="G143" s="265">
        <f>G145+G146</f>
        <v>0</v>
      </c>
      <c r="H143" s="265">
        <f>H145+H146</f>
        <v>0</v>
      </c>
    </row>
    <row r="144" spans="1:8" s="266" customFormat="1" ht="36.75" customHeight="1" x14ac:dyDescent="0.3">
      <c r="A144" s="293" t="s">
        <v>709</v>
      </c>
      <c r="B144" s="269" t="s">
        <v>108</v>
      </c>
      <c r="C144" s="269" t="s">
        <v>736</v>
      </c>
      <c r="D144" s="292" t="s">
        <v>530</v>
      </c>
      <c r="E144" s="269" t="s">
        <v>710</v>
      </c>
      <c r="F144" s="485">
        <f>F145</f>
        <v>172.5</v>
      </c>
      <c r="G144" s="263">
        <f>G145</f>
        <v>0</v>
      </c>
      <c r="H144" s="263">
        <f>H145</f>
        <v>0</v>
      </c>
    </row>
    <row r="145" spans="1:11" ht="48.75" customHeight="1" x14ac:dyDescent="0.25">
      <c r="A145" s="294" t="s">
        <v>711</v>
      </c>
      <c r="B145" s="269" t="s">
        <v>108</v>
      </c>
      <c r="C145" s="269" t="s">
        <v>736</v>
      </c>
      <c r="D145" s="292" t="s">
        <v>530</v>
      </c>
      <c r="E145" s="269" t="s">
        <v>712</v>
      </c>
      <c r="F145" s="542">
        <f>'5'!D291</f>
        <v>172.5</v>
      </c>
      <c r="G145" s="263">
        <v>0</v>
      </c>
      <c r="H145" s="263">
        <v>0</v>
      </c>
    </row>
    <row r="146" spans="1:11" ht="21" hidden="1" customHeight="1" x14ac:dyDescent="0.25">
      <c r="A146" s="261" t="s">
        <v>713</v>
      </c>
      <c r="B146" s="262" t="s">
        <v>108</v>
      </c>
      <c r="C146" s="262" t="s">
        <v>736</v>
      </c>
      <c r="D146" s="262" t="s">
        <v>301</v>
      </c>
      <c r="E146" s="262" t="s">
        <v>714</v>
      </c>
      <c r="F146" s="263">
        <f>F147</f>
        <v>0</v>
      </c>
      <c r="G146" s="263">
        <f>G147</f>
        <v>0</v>
      </c>
      <c r="H146" s="263">
        <f>H147</f>
        <v>0</v>
      </c>
    </row>
    <row r="147" spans="1:11" ht="16.2" hidden="1" customHeight="1" x14ac:dyDescent="0.25">
      <c r="A147" s="270" t="s">
        <v>715</v>
      </c>
      <c r="B147" s="262" t="s">
        <v>108</v>
      </c>
      <c r="C147" s="262" t="s">
        <v>736</v>
      </c>
      <c r="D147" s="262" t="s">
        <v>301</v>
      </c>
      <c r="E147" s="262" t="s">
        <v>716</v>
      </c>
      <c r="F147" s="263"/>
      <c r="G147" s="263"/>
      <c r="H147" s="263"/>
    </row>
    <row r="148" spans="1:11" s="283" customFormat="1" ht="81" customHeight="1" x14ac:dyDescent="0.3">
      <c r="A148" s="271" t="s">
        <v>756</v>
      </c>
      <c r="B148" s="272" t="s">
        <v>108</v>
      </c>
      <c r="C148" s="272" t="s">
        <v>736</v>
      </c>
      <c r="D148" s="272" t="s">
        <v>699</v>
      </c>
      <c r="E148" s="272" t="s">
        <v>223</v>
      </c>
      <c r="F148" s="296">
        <f>F149+F155</f>
        <v>1947.6983500000001</v>
      </c>
      <c r="G148" s="273">
        <f>G149+G155</f>
        <v>1759.7543500000002</v>
      </c>
      <c r="H148" s="273">
        <f>H149+H155</f>
        <v>1759.75434</v>
      </c>
      <c r="I148" s="283">
        <f>'5'!D314</f>
        <v>1947.6983500000001</v>
      </c>
      <c r="J148" s="283">
        <f>'5'!E314</f>
        <v>1759.7543500000002</v>
      </c>
      <c r="K148" s="283">
        <f>'5'!F314</f>
        <v>10793.35434</v>
      </c>
    </row>
    <row r="149" spans="1:11" ht="38.25" customHeight="1" x14ac:dyDescent="0.25">
      <c r="A149" s="261" t="s">
        <v>732</v>
      </c>
      <c r="B149" s="262" t="s">
        <v>108</v>
      </c>
      <c r="C149" s="262" t="s">
        <v>736</v>
      </c>
      <c r="D149" s="262" t="s">
        <v>5</v>
      </c>
      <c r="E149" s="262" t="s">
        <v>223</v>
      </c>
      <c r="F149" s="263">
        <f>F150</f>
        <v>1947.6983500000001</v>
      </c>
      <c r="G149" s="263">
        <f>G150</f>
        <v>1759.7543500000002</v>
      </c>
      <c r="H149" s="263">
        <f>H150</f>
        <v>1759.75434</v>
      </c>
      <c r="I149" s="268">
        <f>I148-F148</f>
        <v>0</v>
      </c>
      <c r="J149" s="268">
        <f t="shared" ref="J149:K149" si="20">J148-G148</f>
        <v>0</v>
      </c>
      <c r="K149" s="268">
        <f t="shared" si="20"/>
        <v>9033.6</v>
      </c>
    </row>
    <row r="150" spans="1:11" ht="45.75" customHeight="1" x14ac:dyDescent="0.25">
      <c r="A150" s="261" t="s">
        <v>110</v>
      </c>
      <c r="B150" s="262" t="s">
        <v>108</v>
      </c>
      <c r="C150" s="262" t="s">
        <v>736</v>
      </c>
      <c r="D150" s="262" t="s">
        <v>6</v>
      </c>
      <c r="E150" s="262" t="s">
        <v>223</v>
      </c>
      <c r="F150" s="263">
        <f>F151+F153</f>
        <v>1947.6983500000001</v>
      </c>
      <c r="G150" s="263">
        <f>G151+G153</f>
        <v>1759.7543500000002</v>
      </c>
      <c r="H150" s="263">
        <f>H151+H153</f>
        <v>1759.75434</v>
      </c>
      <c r="I150" s="295"/>
    </row>
    <row r="151" spans="1:11" ht="91.5" customHeight="1" x14ac:dyDescent="0.25">
      <c r="A151" s="261" t="s">
        <v>703</v>
      </c>
      <c r="B151" s="262" t="s">
        <v>108</v>
      </c>
      <c r="C151" s="262" t="s">
        <v>736</v>
      </c>
      <c r="D151" s="3" t="s">
        <v>1092</v>
      </c>
      <c r="E151" s="262" t="s">
        <v>704</v>
      </c>
      <c r="F151" s="263">
        <f>F152</f>
        <v>1224.33123</v>
      </c>
      <c r="G151" s="263">
        <f>G152</f>
        <v>976.86347000000001</v>
      </c>
      <c r="H151" s="263">
        <f>H152</f>
        <v>976.86347000000001</v>
      </c>
      <c r="I151" s="268"/>
    </row>
    <row r="152" spans="1:11" ht="32.25" customHeight="1" x14ac:dyDescent="0.25">
      <c r="A152" s="261" t="s">
        <v>705</v>
      </c>
      <c r="B152" s="262" t="s">
        <v>108</v>
      </c>
      <c r="C152" s="262" t="s">
        <v>736</v>
      </c>
      <c r="D152" s="3" t="s">
        <v>1092</v>
      </c>
      <c r="E152" s="262" t="s">
        <v>706</v>
      </c>
      <c r="F152" s="505">
        <f>940.346+283.98523</f>
        <v>1224.33123</v>
      </c>
      <c r="G152" s="505">
        <f>750.279+226.58447</f>
        <v>976.86347000000001</v>
      </c>
      <c r="H152" s="505">
        <f>750.279+226.58447</f>
        <v>976.86347000000001</v>
      </c>
    </row>
    <row r="153" spans="1:11" ht="37.5" customHeight="1" x14ac:dyDescent="0.25">
      <c r="A153" s="261" t="s">
        <v>709</v>
      </c>
      <c r="B153" s="262" t="s">
        <v>108</v>
      </c>
      <c r="C153" s="262" t="s">
        <v>736</v>
      </c>
      <c r="D153" s="3" t="s">
        <v>1092</v>
      </c>
      <c r="E153" s="262" t="s">
        <v>710</v>
      </c>
      <c r="F153" s="505">
        <f>F154</f>
        <v>723.36712</v>
      </c>
      <c r="G153" s="505">
        <f>G154</f>
        <v>782.89088000000004</v>
      </c>
      <c r="H153" s="505">
        <f>H154</f>
        <v>782.89086999999995</v>
      </c>
    </row>
    <row r="154" spans="1:11" ht="49.5" customHeight="1" x14ac:dyDescent="0.25">
      <c r="A154" s="278" t="s">
        <v>711</v>
      </c>
      <c r="B154" s="262" t="s">
        <v>108</v>
      </c>
      <c r="C154" s="262" t="s">
        <v>736</v>
      </c>
      <c r="D154" s="3" t="s">
        <v>1092</v>
      </c>
      <c r="E154" s="262" t="s">
        <v>712</v>
      </c>
      <c r="F154" s="505">
        <f>1.261+722.10612</f>
        <v>723.36712</v>
      </c>
      <c r="G154" s="505">
        <v>782.89088000000004</v>
      </c>
      <c r="H154" s="505">
        <v>782.89086999999995</v>
      </c>
    </row>
    <row r="155" spans="1:11" ht="49.5" hidden="1" customHeight="1" x14ac:dyDescent="0.25">
      <c r="A155" s="261" t="s">
        <v>732</v>
      </c>
      <c r="B155" s="262" t="s">
        <v>108</v>
      </c>
      <c r="C155" s="262" t="s">
        <v>736</v>
      </c>
      <c r="D155" s="262" t="s">
        <v>5</v>
      </c>
      <c r="E155" s="262" t="s">
        <v>223</v>
      </c>
      <c r="F155" s="485">
        <f>F156</f>
        <v>0</v>
      </c>
      <c r="G155" s="263">
        <f>G156</f>
        <v>0</v>
      </c>
      <c r="H155" s="263">
        <f>H156</f>
        <v>0</v>
      </c>
    </row>
    <row r="156" spans="1:11" ht="49.5" hidden="1" customHeight="1" x14ac:dyDescent="0.25">
      <c r="A156" s="261" t="s">
        <v>110</v>
      </c>
      <c r="B156" s="262" t="s">
        <v>108</v>
      </c>
      <c r="C156" s="262" t="s">
        <v>736</v>
      </c>
      <c r="D156" s="262" t="s">
        <v>6</v>
      </c>
      <c r="E156" s="262" t="s">
        <v>223</v>
      </c>
      <c r="F156" s="485">
        <f>F157+F159</f>
        <v>0</v>
      </c>
      <c r="G156" s="263">
        <f>G157+G159</f>
        <v>0</v>
      </c>
      <c r="H156" s="263">
        <f>H157+H159</f>
        <v>0</v>
      </c>
    </row>
    <row r="157" spans="1:11" ht="93" hidden="1" customHeight="1" x14ac:dyDescent="0.25">
      <c r="A157" s="261" t="s">
        <v>703</v>
      </c>
      <c r="B157" s="262" t="s">
        <v>108</v>
      </c>
      <c r="C157" s="262" t="s">
        <v>736</v>
      </c>
      <c r="D157" s="262" t="s">
        <v>507</v>
      </c>
      <c r="E157" s="262" t="s">
        <v>704</v>
      </c>
      <c r="F157" s="485">
        <f>F158</f>
        <v>0</v>
      </c>
      <c r="G157" s="263">
        <f>G158</f>
        <v>0</v>
      </c>
      <c r="H157" s="263">
        <f>H158</f>
        <v>0</v>
      </c>
    </row>
    <row r="158" spans="1:11" ht="41.4" hidden="1" customHeight="1" x14ac:dyDescent="0.25">
      <c r="A158" s="261" t="s">
        <v>705</v>
      </c>
      <c r="B158" s="262" t="s">
        <v>108</v>
      </c>
      <c r="C158" s="262" t="s">
        <v>736</v>
      </c>
      <c r="D158" s="262" t="s">
        <v>507</v>
      </c>
      <c r="E158" s="262" t="s">
        <v>706</v>
      </c>
      <c r="F158" s="485"/>
      <c r="G158" s="263"/>
      <c r="H158" s="263"/>
    </row>
    <row r="159" spans="1:11" ht="49.5" hidden="1" customHeight="1" x14ac:dyDescent="0.25">
      <c r="A159" s="261" t="s">
        <v>709</v>
      </c>
      <c r="B159" s="262" t="s">
        <v>108</v>
      </c>
      <c r="C159" s="262" t="s">
        <v>736</v>
      </c>
      <c r="D159" s="262" t="s">
        <v>507</v>
      </c>
      <c r="E159" s="262" t="s">
        <v>710</v>
      </c>
      <c r="F159" s="485">
        <f>F160</f>
        <v>0</v>
      </c>
      <c r="G159" s="263">
        <f>G160</f>
        <v>0</v>
      </c>
      <c r="H159" s="263">
        <f>H160</f>
        <v>0</v>
      </c>
    </row>
    <row r="160" spans="1:11" ht="49.5" hidden="1" customHeight="1" x14ac:dyDescent="0.25">
      <c r="A160" s="278" t="s">
        <v>711</v>
      </c>
      <c r="B160" s="262" t="s">
        <v>108</v>
      </c>
      <c r="C160" s="262" t="s">
        <v>736</v>
      </c>
      <c r="D160" s="262" t="s">
        <v>507</v>
      </c>
      <c r="E160" s="262" t="s">
        <v>712</v>
      </c>
      <c r="F160" s="485"/>
      <c r="G160" s="263"/>
      <c r="H160" s="263"/>
    </row>
    <row r="161" spans="1:8" ht="46.2" hidden="1" customHeight="1" x14ac:dyDescent="0.25">
      <c r="A161" s="285" t="s">
        <v>402</v>
      </c>
      <c r="B161" s="13" t="s">
        <v>108</v>
      </c>
      <c r="C161" s="13" t="s">
        <v>736</v>
      </c>
      <c r="D161" s="13" t="s">
        <v>403</v>
      </c>
      <c r="E161" s="13" t="s">
        <v>223</v>
      </c>
      <c r="F161" s="267">
        <f t="shared" ref="F161:H162" si="21">F162</f>
        <v>0</v>
      </c>
      <c r="G161" s="265">
        <f t="shared" si="21"/>
        <v>0</v>
      </c>
      <c r="H161" s="265">
        <f t="shared" si="21"/>
        <v>0</v>
      </c>
    </row>
    <row r="162" spans="1:8" ht="35.700000000000003" hidden="1" customHeight="1" x14ac:dyDescent="0.25">
      <c r="A162" s="261" t="s">
        <v>709</v>
      </c>
      <c r="B162" s="262" t="s">
        <v>108</v>
      </c>
      <c r="C162" s="262" t="s">
        <v>736</v>
      </c>
      <c r="D162" s="262" t="s">
        <v>403</v>
      </c>
      <c r="E162" s="262" t="s">
        <v>710</v>
      </c>
      <c r="F162" s="485">
        <f t="shared" si="21"/>
        <v>0</v>
      </c>
      <c r="G162" s="263">
        <f t="shared" si="21"/>
        <v>0</v>
      </c>
      <c r="H162" s="263">
        <f t="shared" si="21"/>
        <v>0</v>
      </c>
    </row>
    <row r="163" spans="1:8" ht="48.6" hidden="1" customHeight="1" x14ac:dyDescent="0.25">
      <c r="A163" s="278" t="s">
        <v>711</v>
      </c>
      <c r="B163" s="262" t="s">
        <v>108</v>
      </c>
      <c r="C163" s="262" t="s">
        <v>736</v>
      </c>
      <c r="D163" s="262" t="s">
        <v>403</v>
      </c>
      <c r="E163" s="262" t="s">
        <v>712</v>
      </c>
      <c r="F163" s="485"/>
      <c r="G163" s="263"/>
      <c r="H163" s="263"/>
    </row>
    <row r="164" spans="1:8" ht="34.950000000000003" customHeight="1" x14ac:dyDescent="0.25">
      <c r="A164" s="271" t="s">
        <v>477</v>
      </c>
      <c r="B164" s="272" t="s">
        <v>108</v>
      </c>
      <c r="C164" s="272" t="s">
        <v>736</v>
      </c>
      <c r="D164" s="272" t="s">
        <v>478</v>
      </c>
      <c r="E164" s="272" t="s">
        <v>223</v>
      </c>
      <c r="F164" s="296">
        <f t="shared" ref="F164:H165" si="22">F165</f>
        <v>49.674999999999997</v>
      </c>
      <c r="G164" s="273">
        <f t="shared" si="22"/>
        <v>0</v>
      </c>
      <c r="H164" s="273">
        <f t="shared" si="22"/>
        <v>0</v>
      </c>
    </row>
    <row r="165" spans="1:8" ht="36.6" customHeight="1" x14ac:dyDescent="0.25">
      <c r="A165" s="261" t="s">
        <v>709</v>
      </c>
      <c r="B165" s="262" t="s">
        <v>108</v>
      </c>
      <c r="C165" s="262" t="s">
        <v>736</v>
      </c>
      <c r="D165" s="262" t="s">
        <v>478</v>
      </c>
      <c r="E165" s="262" t="s">
        <v>710</v>
      </c>
      <c r="F165" s="485">
        <f t="shared" si="22"/>
        <v>49.674999999999997</v>
      </c>
      <c r="G165" s="263">
        <f t="shared" si="22"/>
        <v>0</v>
      </c>
      <c r="H165" s="263">
        <f t="shared" si="22"/>
        <v>0</v>
      </c>
    </row>
    <row r="166" spans="1:8" ht="49.2" customHeight="1" x14ac:dyDescent="0.25">
      <c r="A166" s="278" t="s">
        <v>711</v>
      </c>
      <c r="B166" s="262" t="s">
        <v>108</v>
      </c>
      <c r="C166" s="262" t="s">
        <v>736</v>
      </c>
      <c r="D166" s="262" t="s">
        <v>478</v>
      </c>
      <c r="E166" s="262" t="s">
        <v>712</v>
      </c>
      <c r="F166" s="542">
        <f>'5'!D295</f>
        <v>49.674999999999997</v>
      </c>
      <c r="G166" s="263">
        <v>0</v>
      </c>
      <c r="H166" s="263">
        <v>0</v>
      </c>
    </row>
    <row r="167" spans="1:8" ht="81" hidden="1" customHeight="1" x14ac:dyDescent="0.25">
      <c r="A167" s="285" t="s">
        <v>529</v>
      </c>
      <c r="B167" s="13" t="s">
        <v>108</v>
      </c>
      <c r="C167" s="13" t="s">
        <v>736</v>
      </c>
      <c r="D167" s="13" t="s">
        <v>530</v>
      </c>
      <c r="E167" s="13" t="s">
        <v>223</v>
      </c>
      <c r="F167" s="267">
        <f t="shared" ref="F167:H168" si="23">F168</f>
        <v>0</v>
      </c>
      <c r="G167" s="265">
        <f t="shared" si="23"/>
        <v>0</v>
      </c>
      <c r="H167" s="265">
        <f t="shared" si="23"/>
        <v>0</v>
      </c>
    </row>
    <row r="168" spans="1:8" ht="49.2" hidden="1" customHeight="1" x14ac:dyDescent="0.25">
      <c r="A168" s="261" t="s">
        <v>709</v>
      </c>
      <c r="B168" s="262" t="s">
        <v>108</v>
      </c>
      <c r="C168" s="262" t="s">
        <v>736</v>
      </c>
      <c r="D168" s="262" t="s">
        <v>530</v>
      </c>
      <c r="E168" s="262" t="s">
        <v>710</v>
      </c>
      <c r="F168" s="485">
        <f t="shared" si="23"/>
        <v>0</v>
      </c>
      <c r="G168" s="263">
        <f t="shared" si="23"/>
        <v>0</v>
      </c>
      <c r="H168" s="263">
        <f t="shared" si="23"/>
        <v>0</v>
      </c>
    </row>
    <row r="169" spans="1:8" ht="49.2" hidden="1" customHeight="1" x14ac:dyDescent="0.25">
      <c r="A169" s="278" t="s">
        <v>711</v>
      </c>
      <c r="B169" s="262" t="s">
        <v>108</v>
      </c>
      <c r="C169" s="262" t="s">
        <v>736</v>
      </c>
      <c r="D169" s="262" t="s">
        <v>530</v>
      </c>
      <c r="E169" s="262" t="s">
        <v>712</v>
      </c>
      <c r="F169" s="485"/>
      <c r="G169" s="263"/>
      <c r="H169" s="263"/>
    </row>
    <row r="170" spans="1:8" ht="49.2" customHeight="1" x14ac:dyDescent="0.25">
      <c r="A170" s="285" t="s">
        <v>531</v>
      </c>
      <c r="B170" s="13" t="s">
        <v>108</v>
      </c>
      <c r="C170" s="13" t="s">
        <v>736</v>
      </c>
      <c r="D170" s="13" t="s">
        <v>532</v>
      </c>
      <c r="E170" s="13" t="s">
        <v>223</v>
      </c>
      <c r="F170" s="267">
        <f t="shared" ref="F170:H171" si="24">F171</f>
        <v>350</v>
      </c>
      <c r="G170" s="265">
        <f t="shared" si="24"/>
        <v>450</v>
      </c>
      <c r="H170" s="265">
        <f t="shared" si="24"/>
        <v>450</v>
      </c>
    </row>
    <row r="171" spans="1:8" ht="40.200000000000003" customHeight="1" x14ac:dyDescent="0.25">
      <c r="A171" s="261" t="s">
        <v>709</v>
      </c>
      <c r="B171" s="262" t="s">
        <v>108</v>
      </c>
      <c r="C171" s="262" t="s">
        <v>736</v>
      </c>
      <c r="D171" s="262" t="s">
        <v>532</v>
      </c>
      <c r="E171" s="262" t="s">
        <v>710</v>
      </c>
      <c r="F171" s="263">
        <f t="shared" si="24"/>
        <v>350</v>
      </c>
      <c r="G171" s="263">
        <f t="shared" si="24"/>
        <v>450</v>
      </c>
      <c r="H171" s="263">
        <f t="shared" si="24"/>
        <v>450</v>
      </c>
    </row>
    <row r="172" spans="1:8" ht="49.2" customHeight="1" x14ac:dyDescent="0.25">
      <c r="A172" s="278" t="s">
        <v>711</v>
      </c>
      <c r="B172" s="262" t="s">
        <v>108</v>
      </c>
      <c r="C172" s="262" t="s">
        <v>736</v>
      </c>
      <c r="D172" s="262" t="s">
        <v>532</v>
      </c>
      <c r="E172" s="262" t="s">
        <v>712</v>
      </c>
      <c r="F172" s="485">
        <f>'5'!D296</f>
        <v>350</v>
      </c>
      <c r="G172" s="485">
        <f>'5'!E296</f>
        <v>450</v>
      </c>
      <c r="H172" s="485">
        <f>'5'!F296</f>
        <v>450</v>
      </c>
    </row>
    <row r="173" spans="1:8" ht="49.2" hidden="1" customHeight="1" x14ac:dyDescent="0.25">
      <c r="A173" s="297" t="s">
        <v>608</v>
      </c>
      <c r="B173" s="292" t="s">
        <v>108</v>
      </c>
      <c r="C173" s="292" t="s">
        <v>736</v>
      </c>
      <c r="D173" s="292" t="s">
        <v>607</v>
      </c>
      <c r="E173" s="292" t="s">
        <v>223</v>
      </c>
      <c r="F173" s="267">
        <f t="shared" ref="F173:H174" si="25">F174</f>
        <v>0</v>
      </c>
      <c r="G173" s="267">
        <f t="shared" si="25"/>
        <v>0</v>
      </c>
      <c r="H173" s="267">
        <f t="shared" si="25"/>
        <v>0</v>
      </c>
    </row>
    <row r="174" spans="1:8" ht="42" hidden="1" customHeight="1" x14ac:dyDescent="0.25">
      <c r="A174" s="293" t="s">
        <v>709</v>
      </c>
      <c r="B174" s="269" t="s">
        <v>108</v>
      </c>
      <c r="C174" s="269" t="s">
        <v>736</v>
      </c>
      <c r="D174" s="269" t="s">
        <v>607</v>
      </c>
      <c r="E174" s="269" t="s">
        <v>710</v>
      </c>
      <c r="F174" s="485">
        <f t="shared" si="25"/>
        <v>0</v>
      </c>
      <c r="G174" s="485">
        <f t="shared" si="25"/>
        <v>0</v>
      </c>
      <c r="H174" s="485">
        <f t="shared" si="25"/>
        <v>0</v>
      </c>
    </row>
    <row r="175" spans="1:8" ht="49.2" hidden="1" customHeight="1" x14ac:dyDescent="0.25">
      <c r="A175" s="294" t="s">
        <v>711</v>
      </c>
      <c r="B175" s="269" t="s">
        <v>108</v>
      </c>
      <c r="C175" s="269" t="s">
        <v>736</v>
      </c>
      <c r="D175" s="269" t="s">
        <v>607</v>
      </c>
      <c r="E175" s="269" t="s">
        <v>712</v>
      </c>
      <c r="F175" s="485"/>
      <c r="G175" s="485"/>
      <c r="H175" s="485"/>
    </row>
    <row r="176" spans="1:8" s="266" customFormat="1" ht="50.25" customHeight="1" x14ac:dyDescent="0.3">
      <c r="A176" s="264" t="s">
        <v>757</v>
      </c>
      <c r="B176" s="13" t="s">
        <v>108</v>
      </c>
      <c r="C176" s="13" t="s">
        <v>736</v>
      </c>
      <c r="D176" s="13" t="s">
        <v>22</v>
      </c>
      <c r="E176" s="13" t="s">
        <v>223</v>
      </c>
      <c r="F176" s="265">
        <f>F177+F180+F188+F191</f>
        <v>93</v>
      </c>
      <c r="G176" s="265">
        <f>G177+G180+G188+G191</f>
        <v>120</v>
      </c>
      <c r="H176" s="265">
        <f>H177+H180+H188+H191</f>
        <v>120</v>
      </c>
    </row>
    <row r="177" spans="1:8" s="299" customFormat="1" ht="35.25" hidden="1" customHeight="1" x14ac:dyDescent="0.25">
      <c r="A177" s="298" t="s">
        <v>758</v>
      </c>
      <c r="B177" s="262" t="s">
        <v>108</v>
      </c>
      <c r="C177" s="262" t="s">
        <v>736</v>
      </c>
      <c r="D177" s="279" t="s">
        <v>23</v>
      </c>
      <c r="E177" s="262" t="s">
        <v>223</v>
      </c>
      <c r="F177" s="263">
        <f t="shared" ref="F177:H178" si="26">F178</f>
        <v>0</v>
      </c>
      <c r="G177" s="263">
        <f t="shared" si="26"/>
        <v>0</v>
      </c>
      <c r="H177" s="263">
        <f t="shared" si="26"/>
        <v>0</v>
      </c>
    </row>
    <row r="178" spans="1:8" ht="39" hidden="1" customHeight="1" x14ac:dyDescent="0.25">
      <c r="A178" s="261" t="s">
        <v>709</v>
      </c>
      <c r="B178" s="262" t="s">
        <v>108</v>
      </c>
      <c r="C178" s="262" t="s">
        <v>736</v>
      </c>
      <c r="D178" s="279" t="s">
        <v>759</v>
      </c>
      <c r="E178" s="262" t="s">
        <v>710</v>
      </c>
      <c r="F178" s="263">
        <f t="shared" si="26"/>
        <v>0</v>
      </c>
      <c r="G178" s="263">
        <f t="shared" si="26"/>
        <v>0</v>
      </c>
      <c r="H178" s="263">
        <f t="shared" si="26"/>
        <v>0</v>
      </c>
    </row>
    <row r="179" spans="1:8" ht="47.25" hidden="1" customHeight="1" x14ac:dyDescent="0.25">
      <c r="A179" s="278" t="s">
        <v>711</v>
      </c>
      <c r="B179" s="262" t="s">
        <v>108</v>
      </c>
      <c r="C179" s="262" t="s">
        <v>736</v>
      </c>
      <c r="D179" s="279" t="s">
        <v>24</v>
      </c>
      <c r="E179" s="262" t="s">
        <v>712</v>
      </c>
      <c r="F179" s="263"/>
      <c r="G179" s="263"/>
      <c r="H179" s="263"/>
    </row>
    <row r="180" spans="1:8" ht="36" hidden="1" customHeight="1" x14ac:dyDescent="0.25">
      <c r="A180" s="300" t="s">
        <v>168</v>
      </c>
      <c r="B180" s="262" t="s">
        <v>108</v>
      </c>
      <c r="C180" s="262" t="s">
        <v>736</v>
      </c>
      <c r="D180" s="279" t="s">
        <v>35</v>
      </c>
      <c r="E180" s="262" t="s">
        <v>223</v>
      </c>
      <c r="F180" s="263">
        <f t="shared" ref="F180:H183" si="27">F181</f>
        <v>0</v>
      </c>
      <c r="G180" s="263">
        <f t="shared" si="27"/>
        <v>0</v>
      </c>
      <c r="H180" s="263">
        <f t="shared" si="27"/>
        <v>0</v>
      </c>
    </row>
    <row r="181" spans="1:8" ht="64.2" hidden="1" customHeight="1" x14ac:dyDescent="0.25">
      <c r="A181" s="264" t="s">
        <v>760</v>
      </c>
      <c r="B181" s="13" t="s">
        <v>108</v>
      </c>
      <c r="C181" s="13" t="s">
        <v>736</v>
      </c>
      <c r="D181" s="13" t="s">
        <v>699</v>
      </c>
      <c r="E181" s="13" t="s">
        <v>223</v>
      </c>
      <c r="F181" s="265">
        <f>F182+F185</f>
        <v>0</v>
      </c>
      <c r="G181" s="265">
        <f>G182+G185</f>
        <v>0</v>
      </c>
      <c r="H181" s="265">
        <f>H182+H185</f>
        <v>0</v>
      </c>
    </row>
    <row r="182" spans="1:8" ht="90" hidden="1" customHeight="1" x14ac:dyDescent="0.25">
      <c r="A182" s="261" t="s">
        <v>761</v>
      </c>
      <c r="B182" s="262" t="s">
        <v>108</v>
      </c>
      <c r="C182" s="262" t="s">
        <v>736</v>
      </c>
      <c r="D182" s="262" t="s">
        <v>378</v>
      </c>
      <c r="E182" s="262" t="s">
        <v>223</v>
      </c>
      <c r="F182" s="263">
        <f t="shared" si="27"/>
        <v>0</v>
      </c>
      <c r="G182" s="263">
        <f t="shared" si="27"/>
        <v>0</v>
      </c>
      <c r="H182" s="263">
        <f t="shared" si="27"/>
        <v>0</v>
      </c>
    </row>
    <row r="183" spans="1:8" ht="49.5" hidden="1" customHeight="1" x14ac:dyDescent="0.25">
      <c r="A183" s="278" t="s">
        <v>762</v>
      </c>
      <c r="B183" s="262" t="s">
        <v>108</v>
      </c>
      <c r="C183" s="262" t="s">
        <v>736</v>
      </c>
      <c r="D183" s="262" t="s">
        <v>378</v>
      </c>
      <c r="E183" s="262" t="s">
        <v>763</v>
      </c>
      <c r="F183" s="263">
        <f t="shared" si="27"/>
        <v>0</v>
      </c>
      <c r="G183" s="263">
        <f t="shared" si="27"/>
        <v>0</v>
      </c>
      <c r="H183" s="263">
        <f t="shared" si="27"/>
        <v>0</v>
      </c>
    </row>
    <row r="184" spans="1:8" ht="16.95" hidden="1" customHeight="1" x14ac:dyDescent="0.25">
      <c r="A184" s="278" t="s">
        <v>764</v>
      </c>
      <c r="B184" s="262" t="s">
        <v>108</v>
      </c>
      <c r="C184" s="262" t="s">
        <v>736</v>
      </c>
      <c r="D184" s="262" t="s">
        <v>378</v>
      </c>
      <c r="E184" s="262" t="s">
        <v>765</v>
      </c>
      <c r="F184" s="263"/>
      <c r="G184" s="263"/>
      <c r="H184" s="263"/>
    </row>
    <row r="185" spans="1:8" ht="96.6" hidden="1" customHeight="1" x14ac:dyDescent="0.25">
      <c r="A185" s="261" t="s">
        <v>766</v>
      </c>
      <c r="B185" s="262" t="s">
        <v>108</v>
      </c>
      <c r="C185" s="262" t="s">
        <v>736</v>
      </c>
      <c r="D185" s="269" t="s">
        <v>582</v>
      </c>
      <c r="E185" s="269" t="s">
        <v>223</v>
      </c>
      <c r="F185" s="263">
        <f t="shared" ref="F185:H186" si="28">F186</f>
        <v>0</v>
      </c>
      <c r="G185" s="263">
        <f t="shared" si="28"/>
        <v>0</v>
      </c>
      <c r="H185" s="263">
        <f t="shared" si="28"/>
        <v>0</v>
      </c>
    </row>
    <row r="186" spans="1:8" ht="50.25" hidden="1" customHeight="1" x14ac:dyDescent="0.25">
      <c r="A186" s="278" t="s">
        <v>762</v>
      </c>
      <c r="B186" s="262" t="s">
        <v>108</v>
      </c>
      <c r="C186" s="262" t="s">
        <v>736</v>
      </c>
      <c r="D186" s="269" t="s">
        <v>582</v>
      </c>
      <c r="E186" s="269" t="s">
        <v>763</v>
      </c>
      <c r="F186" s="263">
        <f t="shared" si="28"/>
        <v>0</v>
      </c>
      <c r="G186" s="263">
        <f t="shared" si="28"/>
        <v>0</v>
      </c>
      <c r="H186" s="263">
        <f t="shared" si="28"/>
        <v>0</v>
      </c>
    </row>
    <row r="187" spans="1:8" ht="18" hidden="1" customHeight="1" x14ac:dyDescent="0.25">
      <c r="A187" s="278" t="s">
        <v>764</v>
      </c>
      <c r="B187" s="262" t="s">
        <v>108</v>
      </c>
      <c r="C187" s="262" t="s">
        <v>736</v>
      </c>
      <c r="D187" s="269" t="s">
        <v>582</v>
      </c>
      <c r="E187" s="269" t="s">
        <v>765</v>
      </c>
      <c r="F187" s="485"/>
      <c r="G187" s="263">
        <v>0</v>
      </c>
      <c r="H187" s="263">
        <v>0</v>
      </c>
    </row>
    <row r="188" spans="1:8" ht="92.7" hidden="1" customHeight="1" x14ac:dyDescent="0.25">
      <c r="A188" s="264" t="s">
        <v>385</v>
      </c>
      <c r="B188" s="13" t="s">
        <v>108</v>
      </c>
      <c r="C188" s="13" t="s">
        <v>736</v>
      </c>
      <c r="D188" s="13" t="s">
        <v>379</v>
      </c>
      <c r="E188" s="13" t="s">
        <v>223</v>
      </c>
      <c r="F188" s="265">
        <f t="shared" ref="F188:H189" si="29">F189</f>
        <v>0</v>
      </c>
      <c r="G188" s="265">
        <f t="shared" si="29"/>
        <v>0</v>
      </c>
      <c r="H188" s="265">
        <f t="shared" si="29"/>
        <v>0</v>
      </c>
    </row>
    <row r="189" spans="1:8" ht="36.6" hidden="1" customHeight="1" x14ac:dyDescent="0.25">
      <c r="A189" s="261" t="s">
        <v>709</v>
      </c>
      <c r="B189" s="262" t="s">
        <v>108</v>
      </c>
      <c r="C189" s="262" t="s">
        <v>736</v>
      </c>
      <c r="D189" s="262" t="s">
        <v>379</v>
      </c>
      <c r="E189" s="262" t="s">
        <v>710</v>
      </c>
      <c r="F189" s="263">
        <f t="shared" si="29"/>
        <v>0</v>
      </c>
      <c r="G189" s="263">
        <f t="shared" si="29"/>
        <v>0</v>
      </c>
      <c r="H189" s="263">
        <f t="shared" si="29"/>
        <v>0</v>
      </c>
    </row>
    <row r="190" spans="1:8" ht="50.7" hidden="1" customHeight="1" x14ac:dyDescent="0.25">
      <c r="A190" s="278" t="s">
        <v>711</v>
      </c>
      <c r="B190" s="262" t="s">
        <v>108</v>
      </c>
      <c r="C190" s="262" t="s">
        <v>736</v>
      </c>
      <c r="D190" s="262" t="s">
        <v>379</v>
      </c>
      <c r="E190" s="262" t="s">
        <v>712</v>
      </c>
      <c r="F190" s="263"/>
      <c r="G190" s="263"/>
      <c r="H190" s="263"/>
    </row>
    <row r="191" spans="1:8" ht="36" customHeight="1" x14ac:dyDescent="0.25">
      <c r="A191" s="298" t="s">
        <v>767</v>
      </c>
      <c r="B191" s="262" t="s">
        <v>108</v>
      </c>
      <c r="C191" s="262" t="s">
        <v>736</v>
      </c>
      <c r="D191" s="262" t="s">
        <v>25</v>
      </c>
      <c r="E191" s="262" t="s">
        <v>223</v>
      </c>
      <c r="F191" s="263">
        <f t="shared" ref="F191:H192" si="30">F192</f>
        <v>93</v>
      </c>
      <c r="G191" s="263">
        <f t="shared" si="30"/>
        <v>120</v>
      </c>
      <c r="H191" s="263">
        <f t="shared" si="30"/>
        <v>120</v>
      </c>
    </row>
    <row r="192" spans="1:8" ht="34.5" customHeight="1" x14ac:dyDescent="0.25">
      <c r="A192" s="261" t="s">
        <v>709</v>
      </c>
      <c r="B192" s="262" t="s">
        <v>108</v>
      </c>
      <c r="C192" s="262" t="s">
        <v>736</v>
      </c>
      <c r="D192" s="262" t="s">
        <v>380</v>
      </c>
      <c r="E192" s="262" t="s">
        <v>710</v>
      </c>
      <c r="F192" s="263">
        <f t="shared" si="30"/>
        <v>93</v>
      </c>
      <c r="G192" s="263">
        <f t="shared" si="30"/>
        <v>120</v>
      </c>
      <c r="H192" s="263">
        <f t="shared" si="30"/>
        <v>120</v>
      </c>
    </row>
    <row r="193" spans="1:8" ht="48" customHeight="1" x14ac:dyDescent="0.25">
      <c r="A193" s="278" t="s">
        <v>711</v>
      </c>
      <c r="B193" s="262" t="s">
        <v>108</v>
      </c>
      <c r="C193" s="262" t="s">
        <v>736</v>
      </c>
      <c r="D193" s="262" t="s">
        <v>380</v>
      </c>
      <c r="E193" s="262" t="s">
        <v>712</v>
      </c>
      <c r="F193" s="542">
        <f>'5'!D99</f>
        <v>93</v>
      </c>
      <c r="G193" s="263">
        <f>'5'!E99</f>
        <v>120</v>
      </c>
      <c r="H193" s="263">
        <f>'5'!F99</f>
        <v>120</v>
      </c>
    </row>
    <row r="194" spans="1:8" s="266" customFormat="1" ht="65.400000000000006" customHeight="1" x14ac:dyDescent="0.3">
      <c r="A194" s="301" t="s">
        <v>601</v>
      </c>
      <c r="B194" s="292" t="s">
        <v>108</v>
      </c>
      <c r="C194" s="292" t="s">
        <v>736</v>
      </c>
      <c r="D194" s="292" t="s">
        <v>26</v>
      </c>
      <c r="E194" s="292" t="s">
        <v>223</v>
      </c>
      <c r="F194" s="267">
        <f t="shared" ref="F194:H195" si="31">F195</f>
        <v>35</v>
      </c>
      <c r="G194" s="267">
        <f t="shared" si="31"/>
        <v>39</v>
      </c>
      <c r="H194" s="267">
        <f t="shared" si="31"/>
        <v>39</v>
      </c>
    </row>
    <row r="195" spans="1:8" ht="35.25" customHeight="1" x14ac:dyDescent="0.25">
      <c r="A195" s="293" t="s">
        <v>709</v>
      </c>
      <c r="B195" s="269" t="s">
        <v>108</v>
      </c>
      <c r="C195" s="269" t="s">
        <v>736</v>
      </c>
      <c r="D195" s="269" t="s">
        <v>768</v>
      </c>
      <c r="E195" s="269" t="s">
        <v>710</v>
      </c>
      <c r="F195" s="485">
        <f t="shared" si="31"/>
        <v>35</v>
      </c>
      <c r="G195" s="485">
        <f t="shared" si="31"/>
        <v>39</v>
      </c>
      <c r="H195" s="485">
        <f t="shared" si="31"/>
        <v>39</v>
      </c>
    </row>
    <row r="196" spans="1:8" ht="50.25" customHeight="1" x14ac:dyDescent="0.25">
      <c r="A196" s="294" t="s">
        <v>711</v>
      </c>
      <c r="B196" s="269" t="s">
        <v>108</v>
      </c>
      <c r="C196" s="269" t="s">
        <v>736</v>
      </c>
      <c r="D196" s="269" t="s">
        <v>27</v>
      </c>
      <c r="E196" s="269" t="s">
        <v>712</v>
      </c>
      <c r="F196" s="485">
        <f>'5'!D117</f>
        <v>35</v>
      </c>
      <c r="G196" s="485">
        <f>'5'!E117</f>
        <v>39</v>
      </c>
      <c r="H196" s="485">
        <f>'5'!F117</f>
        <v>39</v>
      </c>
    </row>
    <row r="197" spans="1:8" s="266" customFormat="1" ht="48.75" hidden="1" customHeight="1" x14ac:dyDescent="0.3">
      <c r="A197" s="285" t="s">
        <v>769</v>
      </c>
      <c r="B197" s="13" t="s">
        <v>108</v>
      </c>
      <c r="C197" s="13" t="s">
        <v>736</v>
      </c>
      <c r="D197" s="13" t="s">
        <v>28</v>
      </c>
      <c r="E197" s="13" t="s">
        <v>223</v>
      </c>
      <c r="F197" s="265">
        <f t="shared" ref="F197:H198" si="32">F198</f>
        <v>0</v>
      </c>
      <c r="G197" s="265">
        <f t="shared" si="32"/>
        <v>0</v>
      </c>
      <c r="H197" s="265">
        <f t="shared" si="32"/>
        <v>0</v>
      </c>
    </row>
    <row r="198" spans="1:8" ht="34.5" hidden="1" customHeight="1" x14ac:dyDescent="0.25">
      <c r="A198" s="278" t="s">
        <v>709</v>
      </c>
      <c r="B198" s="262" t="s">
        <v>108</v>
      </c>
      <c r="C198" s="262" t="s">
        <v>736</v>
      </c>
      <c r="D198" s="262" t="s">
        <v>770</v>
      </c>
      <c r="E198" s="262" t="s">
        <v>710</v>
      </c>
      <c r="F198" s="263">
        <f t="shared" si="32"/>
        <v>0</v>
      </c>
      <c r="G198" s="263">
        <f t="shared" si="32"/>
        <v>0</v>
      </c>
      <c r="H198" s="263">
        <f t="shared" si="32"/>
        <v>0</v>
      </c>
    </row>
    <row r="199" spans="1:8" ht="49.5" hidden="1" customHeight="1" x14ac:dyDescent="0.25">
      <c r="A199" s="278" t="s">
        <v>711</v>
      </c>
      <c r="B199" s="262" t="s">
        <v>108</v>
      </c>
      <c r="C199" s="262" t="s">
        <v>736</v>
      </c>
      <c r="D199" s="262" t="s">
        <v>770</v>
      </c>
      <c r="E199" s="262" t="s">
        <v>712</v>
      </c>
      <c r="F199" s="263"/>
      <c r="G199" s="263"/>
      <c r="H199" s="263"/>
    </row>
    <row r="200" spans="1:8" ht="65.25" customHeight="1" x14ac:dyDescent="0.25">
      <c r="A200" s="285" t="s">
        <v>581</v>
      </c>
      <c r="B200" s="13" t="s">
        <v>108</v>
      </c>
      <c r="C200" s="13" t="s">
        <v>736</v>
      </c>
      <c r="D200" s="13" t="s">
        <v>309</v>
      </c>
      <c r="E200" s="13" t="s">
        <v>223</v>
      </c>
      <c r="F200" s="265">
        <f t="shared" ref="F200:H201" si="33">F201</f>
        <v>20</v>
      </c>
      <c r="G200" s="265">
        <f t="shared" si="33"/>
        <v>20</v>
      </c>
      <c r="H200" s="265">
        <f t="shared" si="33"/>
        <v>0</v>
      </c>
    </row>
    <row r="201" spans="1:8" ht="49.5" customHeight="1" x14ac:dyDescent="0.25">
      <c r="A201" s="278" t="s">
        <v>310</v>
      </c>
      <c r="B201" s="262" t="s">
        <v>108</v>
      </c>
      <c r="C201" s="262" t="s">
        <v>736</v>
      </c>
      <c r="D201" s="262" t="s">
        <v>311</v>
      </c>
      <c r="E201" s="262" t="s">
        <v>710</v>
      </c>
      <c r="F201" s="263">
        <f t="shared" si="33"/>
        <v>20</v>
      </c>
      <c r="G201" s="263">
        <f t="shared" si="33"/>
        <v>20</v>
      </c>
      <c r="H201" s="263">
        <f t="shared" si="33"/>
        <v>0</v>
      </c>
    </row>
    <row r="202" spans="1:8" ht="19.2" customHeight="1" x14ac:dyDescent="0.25">
      <c r="A202" s="278" t="s">
        <v>771</v>
      </c>
      <c r="B202" s="262" t="s">
        <v>108</v>
      </c>
      <c r="C202" s="262" t="s">
        <v>736</v>
      </c>
      <c r="D202" s="262" t="s">
        <v>312</v>
      </c>
      <c r="E202" s="262" t="s">
        <v>712</v>
      </c>
      <c r="F202" s="263">
        <f>'5'!D225</f>
        <v>20</v>
      </c>
      <c r="G202" s="263">
        <f>'5'!E225</f>
        <v>20</v>
      </c>
      <c r="H202" s="263">
        <f>'5'!F225</f>
        <v>0</v>
      </c>
    </row>
    <row r="203" spans="1:8" s="283" customFormat="1" ht="20.7" hidden="1" customHeight="1" x14ac:dyDescent="0.3">
      <c r="A203" s="16" t="s">
        <v>772</v>
      </c>
      <c r="B203" s="287" t="s">
        <v>701</v>
      </c>
      <c r="C203" s="287" t="s">
        <v>109</v>
      </c>
      <c r="D203" s="287" t="s">
        <v>699</v>
      </c>
      <c r="E203" s="287" t="s">
        <v>223</v>
      </c>
      <c r="F203" s="288">
        <f>F204</f>
        <v>0</v>
      </c>
      <c r="G203" s="288">
        <f>G204</f>
        <v>0</v>
      </c>
      <c r="H203" s="288">
        <f>H204</f>
        <v>0</v>
      </c>
    </row>
    <row r="204" spans="1:8" ht="17.25" hidden="1" customHeight="1" x14ac:dyDescent="0.25">
      <c r="A204" s="261" t="s">
        <v>773</v>
      </c>
      <c r="B204" s="262" t="s">
        <v>701</v>
      </c>
      <c r="C204" s="262" t="s">
        <v>109</v>
      </c>
      <c r="D204" s="262" t="s">
        <v>699</v>
      </c>
      <c r="E204" s="262" t="s">
        <v>223</v>
      </c>
      <c r="F204" s="263">
        <f t="shared" ref="F204:H206" si="34">F206</f>
        <v>0</v>
      </c>
      <c r="G204" s="263">
        <f t="shared" si="34"/>
        <v>0</v>
      </c>
      <c r="H204" s="263">
        <f t="shared" si="34"/>
        <v>0</v>
      </c>
    </row>
    <row r="205" spans="1:8" ht="79.5" hidden="1" customHeight="1" x14ac:dyDescent="0.25">
      <c r="A205" s="264" t="s">
        <v>774</v>
      </c>
      <c r="B205" s="262" t="s">
        <v>701</v>
      </c>
      <c r="C205" s="262" t="s">
        <v>109</v>
      </c>
      <c r="D205" s="13" t="s">
        <v>287</v>
      </c>
      <c r="E205" s="13" t="s">
        <v>223</v>
      </c>
      <c r="F205" s="265">
        <f t="shared" si="34"/>
        <v>0</v>
      </c>
      <c r="G205" s="265">
        <f t="shared" si="34"/>
        <v>0</v>
      </c>
      <c r="H205" s="265">
        <f t="shared" si="34"/>
        <v>0</v>
      </c>
    </row>
    <row r="206" spans="1:8" ht="48.75" hidden="1" customHeight="1" x14ac:dyDescent="0.25">
      <c r="A206" s="261" t="s">
        <v>775</v>
      </c>
      <c r="B206" s="262" t="s">
        <v>701</v>
      </c>
      <c r="C206" s="262" t="s">
        <v>109</v>
      </c>
      <c r="D206" s="262" t="s">
        <v>284</v>
      </c>
      <c r="E206" s="262" t="s">
        <v>223</v>
      </c>
      <c r="F206" s="263">
        <f t="shared" si="34"/>
        <v>0</v>
      </c>
      <c r="G206" s="263">
        <f t="shared" si="34"/>
        <v>0</v>
      </c>
      <c r="H206" s="263">
        <f t="shared" si="34"/>
        <v>0</v>
      </c>
    </row>
    <row r="207" spans="1:8" ht="21" hidden="1" customHeight="1" x14ac:dyDescent="0.25">
      <c r="A207" s="261" t="s">
        <v>776</v>
      </c>
      <c r="B207" s="262" t="s">
        <v>701</v>
      </c>
      <c r="C207" s="262" t="s">
        <v>109</v>
      </c>
      <c r="D207" s="262" t="s">
        <v>284</v>
      </c>
      <c r="E207" s="262" t="s">
        <v>777</v>
      </c>
      <c r="F207" s="263">
        <f>F208</f>
        <v>0</v>
      </c>
      <c r="G207" s="263">
        <f>G208</f>
        <v>0</v>
      </c>
      <c r="H207" s="263">
        <f>H208</f>
        <v>0</v>
      </c>
    </row>
    <row r="208" spans="1:8" ht="17.25" hidden="1" customHeight="1" x14ac:dyDescent="0.25">
      <c r="A208" s="261" t="s">
        <v>737</v>
      </c>
      <c r="B208" s="262" t="s">
        <v>701</v>
      </c>
      <c r="C208" s="262" t="s">
        <v>109</v>
      </c>
      <c r="D208" s="262" t="s">
        <v>284</v>
      </c>
      <c r="E208" s="262" t="s">
        <v>778</v>
      </c>
      <c r="F208" s="263"/>
      <c r="G208" s="263"/>
      <c r="H208" s="263"/>
    </row>
    <row r="209" spans="1:8" s="283" customFormat="1" ht="48" hidden="1" customHeight="1" x14ac:dyDescent="0.3">
      <c r="A209" s="16" t="s">
        <v>779</v>
      </c>
      <c r="B209" s="287" t="s">
        <v>111</v>
      </c>
      <c r="C209" s="287" t="s">
        <v>109</v>
      </c>
      <c r="D209" s="287" t="s">
        <v>699</v>
      </c>
      <c r="E209" s="287" t="s">
        <v>223</v>
      </c>
      <c r="F209" s="288">
        <f t="shared" ref="F209:H210" si="35">F210</f>
        <v>0</v>
      </c>
      <c r="G209" s="288">
        <f t="shared" si="35"/>
        <v>0</v>
      </c>
      <c r="H209" s="288">
        <f t="shared" si="35"/>
        <v>0</v>
      </c>
    </row>
    <row r="210" spans="1:8" ht="50.25" hidden="1" customHeight="1" x14ac:dyDescent="0.25">
      <c r="A210" s="261" t="s">
        <v>210</v>
      </c>
      <c r="B210" s="262" t="s">
        <v>111</v>
      </c>
      <c r="C210" s="262" t="s">
        <v>780</v>
      </c>
      <c r="D210" s="262" t="s">
        <v>14</v>
      </c>
      <c r="E210" s="262" t="s">
        <v>223</v>
      </c>
      <c r="F210" s="263">
        <f t="shared" si="35"/>
        <v>0</v>
      </c>
      <c r="G210" s="263">
        <f t="shared" si="35"/>
        <v>0</v>
      </c>
      <c r="H210" s="263">
        <f t="shared" si="35"/>
        <v>0</v>
      </c>
    </row>
    <row r="211" spans="1:8" ht="50.25" hidden="1" customHeight="1" x14ac:dyDescent="0.25">
      <c r="A211" s="261" t="s">
        <v>781</v>
      </c>
      <c r="B211" s="262" t="s">
        <v>111</v>
      </c>
      <c r="C211" s="262" t="s">
        <v>780</v>
      </c>
      <c r="D211" s="262" t="s">
        <v>14</v>
      </c>
      <c r="E211" s="262" t="s">
        <v>223</v>
      </c>
      <c r="F211" s="263">
        <f>F213</f>
        <v>0</v>
      </c>
      <c r="G211" s="263">
        <f>G213</f>
        <v>0</v>
      </c>
      <c r="H211" s="263">
        <f>H213</f>
        <v>0</v>
      </c>
    </row>
    <row r="212" spans="1:8" ht="33.75" hidden="1" customHeight="1" x14ac:dyDescent="0.25">
      <c r="A212" s="261" t="s">
        <v>709</v>
      </c>
      <c r="B212" s="262" t="s">
        <v>111</v>
      </c>
      <c r="C212" s="262" t="s">
        <v>780</v>
      </c>
      <c r="D212" s="262" t="s">
        <v>14</v>
      </c>
      <c r="E212" s="262" t="s">
        <v>710</v>
      </c>
      <c r="F212" s="263">
        <f>F213</f>
        <v>0</v>
      </c>
      <c r="G212" s="263">
        <f>G213</f>
        <v>0</v>
      </c>
      <c r="H212" s="263">
        <f>H213</f>
        <v>0</v>
      </c>
    </row>
    <row r="213" spans="1:8" ht="50.25" hidden="1" customHeight="1" x14ac:dyDescent="0.25">
      <c r="A213" s="278" t="s">
        <v>711</v>
      </c>
      <c r="B213" s="262" t="s">
        <v>111</v>
      </c>
      <c r="C213" s="262" t="s">
        <v>780</v>
      </c>
      <c r="D213" s="262" t="s">
        <v>14</v>
      </c>
      <c r="E213" s="262" t="s">
        <v>712</v>
      </c>
      <c r="F213" s="263"/>
      <c r="G213" s="263"/>
      <c r="H213" s="263"/>
    </row>
    <row r="214" spans="1:8" ht="62.7" hidden="1" customHeight="1" x14ac:dyDescent="0.25">
      <c r="A214" s="285" t="s">
        <v>782</v>
      </c>
      <c r="B214" s="13" t="s">
        <v>108</v>
      </c>
      <c r="C214" s="13" t="s">
        <v>736</v>
      </c>
      <c r="D214" s="13" t="s">
        <v>783</v>
      </c>
      <c r="E214" s="13" t="s">
        <v>223</v>
      </c>
      <c r="F214" s="265">
        <f t="shared" ref="F214:H215" si="36">F215</f>
        <v>0</v>
      </c>
      <c r="G214" s="265">
        <f t="shared" si="36"/>
        <v>0</v>
      </c>
      <c r="H214" s="265">
        <f t="shared" si="36"/>
        <v>0</v>
      </c>
    </row>
    <row r="215" spans="1:8" ht="97.95" hidden="1" customHeight="1" x14ac:dyDescent="0.25">
      <c r="A215" s="261" t="s">
        <v>703</v>
      </c>
      <c r="B215" s="262" t="s">
        <v>108</v>
      </c>
      <c r="C215" s="262" t="s">
        <v>736</v>
      </c>
      <c r="D215" s="262" t="s">
        <v>783</v>
      </c>
      <c r="E215" s="262" t="s">
        <v>704</v>
      </c>
      <c r="F215" s="263">
        <f t="shared" si="36"/>
        <v>0</v>
      </c>
      <c r="G215" s="263">
        <f t="shared" si="36"/>
        <v>0</v>
      </c>
      <c r="H215" s="263">
        <f t="shared" si="36"/>
        <v>0</v>
      </c>
    </row>
    <row r="216" spans="1:8" ht="37.950000000000003" hidden="1" customHeight="1" x14ac:dyDescent="0.25">
      <c r="A216" s="278" t="s">
        <v>705</v>
      </c>
      <c r="B216" s="262" t="s">
        <v>108</v>
      </c>
      <c r="C216" s="262" t="s">
        <v>736</v>
      </c>
      <c r="D216" s="262" t="s">
        <v>783</v>
      </c>
      <c r="E216" s="262" t="s">
        <v>706</v>
      </c>
      <c r="F216" s="263"/>
      <c r="G216" s="263"/>
      <c r="H216" s="263"/>
    </row>
    <row r="217" spans="1:8" ht="79.95" hidden="1" customHeight="1" x14ac:dyDescent="0.25">
      <c r="A217" s="285" t="s">
        <v>784</v>
      </c>
      <c r="B217" s="262" t="s">
        <v>108</v>
      </c>
      <c r="C217" s="262" t="s">
        <v>736</v>
      </c>
      <c r="D217" s="262" t="s">
        <v>785</v>
      </c>
      <c r="E217" s="262" t="s">
        <v>223</v>
      </c>
      <c r="F217" s="263">
        <f>F218+F220</f>
        <v>0</v>
      </c>
      <c r="G217" s="263">
        <f>G218+G220</f>
        <v>0</v>
      </c>
      <c r="H217" s="263">
        <f>H218+H220</f>
        <v>0</v>
      </c>
    </row>
    <row r="218" spans="1:8" ht="94.95" hidden="1" customHeight="1" x14ac:dyDescent="0.25">
      <c r="A218" s="261" t="s">
        <v>703</v>
      </c>
      <c r="B218" s="262" t="s">
        <v>108</v>
      </c>
      <c r="C218" s="262" t="s">
        <v>736</v>
      </c>
      <c r="D218" s="262" t="s">
        <v>785</v>
      </c>
      <c r="E218" s="262" t="s">
        <v>704</v>
      </c>
      <c r="F218" s="263">
        <f>F219</f>
        <v>0</v>
      </c>
      <c r="G218" s="263">
        <f>G219</f>
        <v>0</v>
      </c>
      <c r="H218" s="263">
        <f>H219</f>
        <v>0</v>
      </c>
    </row>
    <row r="219" spans="1:8" ht="33" hidden="1" customHeight="1" x14ac:dyDescent="0.25">
      <c r="A219" s="278" t="s">
        <v>705</v>
      </c>
      <c r="B219" s="262" t="s">
        <v>108</v>
      </c>
      <c r="C219" s="262" t="s">
        <v>736</v>
      </c>
      <c r="D219" s="262" t="s">
        <v>785</v>
      </c>
      <c r="E219" s="262" t="s">
        <v>706</v>
      </c>
      <c r="F219" s="263"/>
      <c r="G219" s="263"/>
      <c r="H219" s="263"/>
    </row>
    <row r="220" spans="1:8" ht="37.950000000000003" hidden="1" customHeight="1" x14ac:dyDescent="0.25">
      <c r="A220" s="261" t="s">
        <v>709</v>
      </c>
      <c r="B220" s="262" t="s">
        <v>108</v>
      </c>
      <c r="C220" s="262" t="s">
        <v>736</v>
      </c>
      <c r="D220" s="262" t="s">
        <v>785</v>
      </c>
      <c r="E220" s="262" t="s">
        <v>710</v>
      </c>
      <c r="F220" s="263">
        <f>F221</f>
        <v>0</v>
      </c>
      <c r="G220" s="263">
        <f>G221</f>
        <v>0</v>
      </c>
      <c r="H220" s="263">
        <f>H221</f>
        <v>0</v>
      </c>
    </row>
    <row r="221" spans="1:8" ht="48" hidden="1" customHeight="1" x14ac:dyDescent="0.25">
      <c r="A221" s="278" t="s">
        <v>711</v>
      </c>
      <c r="B221" s="262" t="s">
        <v>108</v>
      </c>
      <c r="C221" s="262" t="s">
        <v>736</v>
      </c>
      <c r="D221" s="262" t="s">
        <v>785</v>
      </c>
      <c r="E221" s="262" t="s">
        <v>712</v>
      </c>
      <c r="F221" s="263"/>
      <c r="G221" s="263"/>
      <c r="H221" s="263"/>
    </row>
    <row r="222" spans="1:8" ht="96" hidden="1" customHeight="1" x14ac:dyDescent="0.25">
      <c r="A222" s="285" t="s">
        <v>406</v>
      </c>
      <c r="B222" s="262" t="s">
        <v>108</v>
      </c>
      <c r="C222" s="262" t="s">
        <v>736</v>
      </c>
      <c r="D222" s="13" t="s">
        <v>407</v>
      </c>
      <c r="E222" s="13" t="s">
        <v>223</v>
      </c>
      <c r="F222" s="265">
        <f t="shared" ref="F222:H223" si="37">F223</f>
        <v>0</v>
      </c>
      <c r="G222" s="265">
        <f t="shared" si="37"/>
        <v>0</v>
      </c>
      <c r="H222" s="265">
        <f t="shared" si="37"/>
        <v>0</v>
      </c>
    </row>
    <row r="223" spans="1:8" ht="31.95" hidden="1" customHeight="1" x14ac:dyDescent="0.25">
      <c r="A223" s="261" t="s">
        <v>709</v>
      </c>
      <c r="B223" s="262" t="s">
        <v>108</v>
      </c>
      <c r="C223" s="262" t="s">
        <v>736</v>
      </c>
      <c r="D223" s="262" t="s">
        <v>407</v>
      </c>
      <c r="E223" s="262" t="s">
        <v>710</v>
      </c>
      <c r="F223" s="263">
        <f t="shared" si="37"/>
        <v>0</v>
      </c>
      <c r="G223" s="263">
        <f t="shared" si="37"/>
        <v>0</v>
      </c>
      <c r="H223" s="263">
        <f t="shared" si="37"/>
        <v>0</v>
      </c>
    </row>
    <row r="224" spans="1:8" ht="48" hidden="1" customHeight="1" x14ac:dyDescent="0.25">
      <c r="A224" s="278" t="s">
        <v>711</v>
      </c>
      <c r="B224" s="262" t="s">
        <v>108</v>
      </c>
      <c r="C224" s="262" t="s">
        <v>736</v>
      </c>
      <c r="D224" s="262" t="s">
        <v>407</v>
      </c>
      <c r="E224" s="262" t="s">
        <v>712</v>
      </c>
      <c r="F224" s="263"/>
      <c r="G224" s="263"/>
      <c r="H224" s="263"/>
    </row>
    <row r="225" spans="1:9" ht="66" customHeight="1" x14ac:dyDescent="0.25">
      <c r="A225" s="301" t="s">
        <v>596</v>
      </c>
      <c r="B225" s="292" t="s">
        <v>108</v>
      </c>
      <c r="C225" s="292" t="s">
        <v>736</v>
      </c>
      <c r="D225" s="292" t="s">
        <v>786</v>
      </c>
      <c r="E225" s="292" t="s">
        <v>223</v>
      </c>
      <c r="F225" s="267">
        <f t="shared" ref="F225:H226" si="38">F226</f>
        <v>15</v>
      </c>
      <c r="G225" s="267">
        <f t="shared" si="38"/>
        <v>0</v>
      </c>
      <c r="H225" s="267">
        <f t="shared" si="38"/>
        <v>0</v>
      </c>
    </row>
    <row r="226" spans="1:9" ht="33" customHeight="1" x14ac:dyDescent="0.25">
      <c r="A226" s="293" t="s">
        <v>709</v>
      </c>
      <c r="B226" s="269" t="s">
        <v>108</v>
      </c>
      <c r="C226" s="269" t="s">
        <v>736</v>
      </c>
      <c r="D226" s="269" t="s">
        <v>598</v>
      </c>
      <c r="E226" s="269" t="s">
        <v>710</v>
      </c>
      <c r="F226" s="485">
        <f t="shared" si="38"/>
        <v>15</v>
      </c>
      <c r="G226" s="485">
        <f t="shared" si="38"/>
        <v>0</v>
      </c>
      <c r="H226" s="485">
        <f t="shared" si="38"/>
        <v>0</v>
      </c>
    </row>
    <row r="227" spans="1:9" ht="51.6" customHeight="1" x14ac:dyDescent="0.25">
      <c r="A227" s="294" t="s">
        <v>711</v>
      </c>
      <c r="B227" s="269" t="s">
        <v>108</v>
      </c>
      <c r="C227" s="269" t="s">
        <v>736</v>
      </c>
      <c r="D227" s="269" t="s">
        <v>598</v>
      </c>
      <c r="E227" s="269" t="s">
        <v>712</v>
      </c>
      <c r="F227" s="485">
        <f>'5'!D239</f>
        <v>15</v>
      </c>
      <c r="G227" s="485">
        <f>'5'!E239</f>
        <v>0</v>
      </c>
      <c r="H227" s="485">
        <f>'5'!F239</f>
        <v>0</v>
      </c>
      <c r="I227" s="268"/>
    </row>
    <row r="228" spans="1:9" s="302" customFormat="1" ht="48" customHeight="1" x14ac:dyDescent="0.3">
      <c r="A228" s="252" t="s">
        <v>779</v>
      </c>
      <c r="B228" s="253" t="s">
        <v>111</v>
      </c>
      <c r="C228" s="253" t="s">
        <v>109</v>
      </c>
      <c r="D228" s="253" t="s">
        <v>699</v>
      </c>
      <c r="E228" s="253" t="s">
        <v>223</v>
      </c>
      <c r="F228" s="254">
        <f>F229+F233</f>
        <v>177.989</v>
      </c>
      <c r="G228" s="254">
        <f>G229+G233</f>
        <v>100</v>
      </c>
      <c r="H228" s="254">
        <f>H229+H233</f>
        <v>100</v>
      </c>
    </row>
    <row r="229" spans="1:9" ht="50.25" customHeight="1" x14ac:dyDescent="0.25">
      <c r="A229" s="261" t="s">
        <v>210</v>
      </c>
      <c r="B229" s="262" t="s">
        <v>111</v>
      </c>
      <c r="C229" s="262" t="s">
        <v>780</v>
      </c>
      <c r="D229" s="262" t="s">
        <v>14</v>
      </c>
      <c r="E229" s="262" t="s">
        <v>223</v>
      </c>
      <c r="F229" s="263">
        <f>F230</f>
        <v>100</v>
      </c>
      <c r="G229" s="263">
        <f>G230</f>
        <v>100</v>
      </c>
      <c r="H229" s="263">
        <f>H230</f>
        <v>100</v>
      </c>
    </row>
    <row r="230" spans="1:9" ht="48" customHeight="1" x14ac:dyDescent="0.25">
      <c r="A230" s="261" t="s">
        <v>781</v>
      </c>
      <c r="B230" s="262" t="s">
        <v>111</v>
      </c>
      <c r="C230" s="262" t="s">
        <v>780</v>
      </c>
      <c r="D230" s="262" t="s">
        <v>14</v>
      </c>
      <c r="E230" s="262" t="s">
        <v>223</v>
      </c>
      <c r="F230" s="263">
        <f>F232</f>
        <v>100</v>
      </c>
      <c r="G230" s="263">
        <f>G232</f>
        <v>100</v>
      </c>
      <c r="H230" s="263">
        <f>H232</f>
        <v>100</v>
      </c>
    </row>
    <row r="231" spans="1:9" ht="33.75" customHeight="1" x14ac:dyDescent="0.25">
      <c r="A231" s="293" t="s">
        <v>709</v>
      </c>
      <c r="B231" s="262" t="s">
        <v>111</v>
      </c>
      <c r="C231" s="262" t="s">
        <v>780</v>
      </c>
      <c r="D231" s="262" t="s">
        <v>14</v>
      </c>
      <c r="E231" s="262" t="s">
        <v>710</v>
      </c>
      <c r="F231" s="263">
        <f>F232</f>
        <v>100</v>
      </c>
      <c r="G231" s="263">
        <f>G232</f>
        <v>100</v>
      </c>
      <c r="H231" s="263">
        <f>H232</f>
        <v>100</v>
      </c>
    </row>
    <row r="232" spans="1:9" ht="50.25" customHeight="1" x14ac:dyDescent="0.25">
      <c r="A232" s="294" t="s">
        <v>711</v>
      </c>
      <c r="B232" s="262" t="s">
        <v>111</v>
      </c>
      <c r="C232" s="262" t="s">
        <v>780</v>
      </c>
      <c r="D232" s="262" t="s">
        <v>14</v>
      </c>
      <c r="E232" s="262" t="s">
        <v>712</v>
      </c>
      <c r="F232" s="263">
        <f>'5'!D265</f>
        <v>100</v>
      </c>
      <c r="G232" s="263">
        <f>'5'!E265</f>
        <v>100</v>
      </c>
      <c r="H232" s="263">
        <f>'5'!F265</f>
        <v>100</v>
      </c>
    </row>
    <row r="233" spans="1:9" ht="50.25" customHeight="1" x14ac:dyDescent="0.25">
      <c r="A233" s="303" t="s">
        <v>621</v>
      </c>
      <c r="B233" s="115" t="s">
        <v>111</v>
      </c>
      <c r="C233" s="115" t="s">
        <v>780</v>
      </c>
      <c r="D233" s="115" t="s">
        <v>617</v>
      </c>
      <c r="E233" s="115" t="s">
        <v>223</v>
      </c>
      <c r="F233" s="304">
        <f t="shared" ref="F233:H234" si="39">F234</f>
        <v>77.989000000000004</v>
      </c>
      <c r="G233" s="304">
        <f t="shared" si="39"/>
        <v>0</v>
      </c>
      <c r="H233" s="304">
        <f t="shared" si="39"/>
        <v>0</v>
      </c>
    </row>
    <row r="234" spans="1:9" ht="50.25" customHeight="1" x14ac:dyDescent="0.25">
      <c r="A234" s="2" t="s">
        <v>709</v>
      </c>
      <c r="B234" s="8" t="s">
        <v>111</v>
      </c>
      <c r="C234" s="8" t="s">
        <v>780</v>
      </c>
      <c r="D234" s="8" t="s">
        <v>617</v>
      </c>
      <c r="E234" s="8" t="s">
        <v>710</v>
      </c>
      <c r="F234" s="305">
        <f t="shared" si="39"/>
        <v>77.989000000000004</v>
      </c>
      <c r="G234" s="306">
        <f t="shared" si="39"/>
        <v>0</v>
      </c>
      <c r="H234" s="306">
        <f t="shared" si="39"/>
        <v>0</v>
      </c>
    </row>
    <row r="235" spans="1:9" ht="50.25" customHeight="1" x14ac:dyDescent="0.25">
      <c r="A235" s="9" t="s">
        <v>711</v>
      </c>
      <c r="B235" s="8" t="s">
        <v>111</v>
      </c>
      <c r="C235" s="8" t="s">
        <v>780</v>
      </c>
      <c r="D235" s="8" t="s">
        <v>617</v>
      </c>
      <c r="E235" s="8" t="s">
        <v>712</v>
      </c>
      <c r="F235" s="306">
        <f>'5'!D288</f>
        <v>77.989000000000004</v>
      </c>
      <c r="G235" s="305">
        <v>0</v>
      </c>
      <c r="H235" s="263">
        <v>0</v>
      </c>
    </row>
    <row r="236" spans="1:9" s="302" customFormat="1" ht="16.5" customHeight="1" x14ac:dyDescent="0.3">
      <c r="A236" s="252" t="s">
        <v>787</v>
      </c>
      <c r="B236" s="253" t="s">
        <v>113</v>
      </c>
      <c r="C236" s="253" t="s">
        <v>109</v>
      </c>
      <c r="D236" s="253" t="s">
        <v>699</v>
      </c>
      <c r="E236" s="253" t="s">
        <v>223</v>
      </c>
      <c r="F236" s="254">
        <f>F244+F265+F237+F288+F293</f>
        <v>123213.13658999999</v>
      </c>
      <c r="G236" s="254">
        <f t="shared" ref="G236:H236" si="40">G244+G265+G237+G288+G293</f>
        <v>26277.098269999999</v>
      </c>
      <c r="H236" s="254">
        <f t="shared" si="40"/>
        <v>27197.098269999999</v>
      </c>
    </row>
    <row r="237" spans="1:9" s="307" customFormat="1" ht="16.5" customHeight="1" x14ac:dyDescent="0.3">
      <c r="A237" s="256" t="s">
        <v>788</v>
      </c>
      <c r="B237" s="257" t="s">
        <v>113</v>
      </c>
      <c r="C237" s="257" t="s">
        <v>718</v>
      </c>
      <c r="D237" s="257" t="s">
        <v>699</v>
      </c>
      <c r="E237" s="257" t="s">
        <v>223</v>
      </c>
      <c r="F237" s="258">
        <f>F241+F238</f>
        <v>1485.3911900000001</v>
      </c>
      <c r="G237" s="258">
        <f>G241+G238</f>
        <v>1485.3911900000001</v>
      </c>
      <c r="H237" s="258">
        <f>H241+H238</f>
        <v>1485.3911900000001</v>
      </c>
    </row>
    <row r="238" spans="1:9" ht="107.4" customHeight="1" x14ac:dyDescent="0.25">
      <c r="A238" s="264" t="s">
        <v>789</v>
      </c>
      <c r="B238" s="13" t="s">
        <v>113</v>
      </c>
      <c r="C238" s="13" t="s">
        <v>718</v>
      </c>
      <c r="D238" s="13" t="s">
        <v>29</v>
      </c>
      <c r="E238" s="13" t="s">
        <v>223</v>
      </c>
      <c r="F238" s="265">
        <f t="shared" ref="F238:H239" si="41">F239</f>
        <v>1485.3911900000001</v>
      </c>
      <c r="G238" s="265">
        <f t="shared" si="41"/>
        <v>1485.3911900000001</v>
      </c>
      <c r="H238" s="265">
        <f t="shared" si="41"/>
        <v>1485.3911900000001</v>
      </c>
    </row>
    <row r="239" spans="1:9" ht="35.25" customHeight="1" x14ac:dyDescent="0.25">
      <c r="A239" s="261" t="s">
        <v>709</v>
      </c>
      <c r="B239" s="262" t="s">
        <v>113</v>
      </c>
      <c r="C239" s="262" t="s">
        <v>718</v>
      </c>
      <c r="D239" s="262" t="s">
        <v>29</v>
      </c>
      <c r="E239" s="262" t="s">
        <v>710</v>
      </c>
      <c r="F239" s="263">
        <f t="shared" si="41"/>
        <v>1485.3911900000001</v>
      </c>
      <c r="G239" s="263">
        <f t="shared" si="41"/>
        <v>1485.3911900000001</v>
      </c>
      <c r="H239" s="263">
        <f t="shared" si="41"/>
        <v>1485.3911900000001</v>
      </c>
    </row>
    <row r="240" spans="1:9" ht="48" customHeight="1" x14ac:dyDescent="0.25">
      <c r="A240" s="278" t="s">
        <v>711</v>
      </c>
      <c r="B240" s="262" t="s">
        <v>113</v>
      </c>
      <c r="C240" s="262" t="s">
        <v>718</v>
      </c>
      <c r="D240" s="262" t="s">
        <v>29</v>
      </c>
      <c r="E240" s="262" t="s">
        <v>712</v>
      </c>
      <c r="F240" s="263">
        <f>'5'!D305</f>
        <v>1485.3911900000001</v>
      </c>
      <c r="G240" s="263">
        <f>'5'!E305</f>
        <v>1485.3911900000001</v>
      </c>
      <c r="H240" s="263">
        <f>'5'!F305</f>
        <v>1485.3911900000001</v>
      </c>
    </row>
    <row r="241" spans="1:8" ht="76.95" hidden="1" customHeight="1" x14ac:dyDescent="0.25">
      <c r="A241" s="285" t="s">
        <v>533</v>
      </c>
      <c r="B241" s="13" t="s">
        <v>113</v>
      </c>
      <c r="C241" s="13" t="s">
        <v>718</v>
      </c>
      <c r="D241" s="13" t="s">
        <v>534</v>
      </c>
      <c r="E241" s="13" t="s">
        <v>223</v>
      </c>
      <c r="F241" s="265">
        <f t="shared" ref="F241:H242" si="42">F242</f>
        <v>0</v>
      </c>
      <c r="G241" s="265">
        <f t="shared" si="42"/>
        <v>0</v>
      </c>
      <c r="H241" s="265">
        <f t="shared" si="42"/>
        <v>0</v>
      </c>
    </row>
    <row r="242" spans="1:8" ht="35.4" hidden="1" customHeight="1" x14ac:dyDescent="0.25">
      <c r="A242" s="261" t="s">
        <v>709</v>
      </c>
      <c r="B242" s="262" t="s">
        <v>113</v>
      </c>
      <c r="C242" s="262" t="s">
        <v>718</v>
      </c>
      <c r="D242" s="262" t="s">
        <v>534</v>
      </c>
      <c r="E242" s="262" t="s">
        <v>710</v>
      </c>
      <c r="F242" s="263">
        <f t="shared" si="42"/>
        <v>0</v>
      </c>
      <c r="G242" s="263">
        <f t="shared" si="42"/>
        <v>0</v>
      </c>
      <c r="H242" s="263">
        <f t="shared" si="42"/>
        <v>0</v>
      </c>
    </row>
    <row r="243" spans="1:8" ht="48" hidden="1" customHeight="1" x14ac:dyDescent="0.25">
      <c r="A243" s="278" t="s">
        <v>711</v>
      </c>
      <c r="B243" s="262" t="s">
        <v>113</v>
      </c>
      <c r="C243" s="262" t="s">
        <v>718</v>
      </c>
      <c r="D243" s="262" t="s">
        <v>534</v>
      </c>
      <c r="E243" s="262" t="s">
        <v>712</v>
      </c>
      <c r="F243" s="263"/>
      <c r="G243" s="263"/>
      <c r="H243" s="263"/>
    </row>
    <row r="244" spans="1:8" s="266" customFormat="1" ht="17.25" customHeight="1" x14ac:dyDescent="0.3">
      <c r="A244" s="256" t="s">
        <v>790</v>
      </c>
      <c r="B244" s="257" t="s">
        <v>113</v>
      </c>
      <c r="C244" s="257" t="s">
        <v>791</v>
      </c>
      <c r="D244" s="257" t="s">
        <v>699</v>
      </c>
      <c r="E244" s="257" t="s">
        <v>223</v>
      </c>
      <c r="F244" s="258">
        <f>F245</f>
        <v>9099.8363100000006</v>
      </c>
      <c r="G244" s="258">
        <f t="shared" ref="G244:H245" si="43">G245</f>
        <v>2003.38708</v>
      </c>
      <c r="H244" s="258">
        <f t="shared" si="43"/>
        <v>2003.38708</v>
      </c>
    </row>
    <row r="245" spans="1:8" s="266" customFormat="1" ht="96.6" customHeight="1" x14ac:dyDescent="0.3">
      <c r="A245" s="264" t="s">
        <v>1056</v>
      </c>
      <c r="B245" s="13" t="s">
        <v>113</v>
      </c>
      <c r="C245" s="13" t="s">
        <v>791</v>
      </c>
      <c r="D245" s="13" t="s">
        <v>1050</v>
      </c>
      <c r="E245" s="13" t="s">
        <v>223</v>
      </c>
      <c r="F245" s="265">
        <f>F246</f>
        <v>9099.8363100000006</v>
      </c>
      <c r="G245" s="265">
        <f t="shared" si="43"/>
        <v>2003.38708</v>
      </c>
      <c r="H245" s="265">
        <f t="shared" si="43"/>
        <v>2003.38708</v>
      </c>
    </row>
    <row r="246" spans="1:8" ht="18.75" customHeight="1" x14ac:dyDescent="0.25">
      <c r="A246" s="261" t="s">
        <v>792</v>
      </c>
      <c r="B246" s="262" t="s">
        <v>113</v>
      </c>
      <c r="C246" s="262" t="s">
        <v>791</v>
      </c>
      <c r="D246" s="262" t="s">
        <v>1050</v>
      </c>
      <c r="E246" s="262" t="s">
        <v>223</v>
      </c>
      <c r="F246" s="263">
        <f>F247+F250+F253+F256</f>
        <v>9099.8363100000006</v>
      </c>
      <c r="G246" s="263">
        <f t="shared" ref="G246:H246" si="44">G247+G250+G253+G256</f>
        <v>2003.38708</v>
      </c>
      <c r="H246" s="263">
        <f t="shared" si="44"/>
        <v>2003.38708</v>
      </c>
    </row>
    <row r="247" spans="1:8" ht="68.25" hidden="1" customHeight="1" x14ac:dyDescent="0.25">
      <c r="A247" s="261" t="s">
        <v>30</v>
      </c>
      <c r="B247" s="262" t="s">
        <v>113</v>
      </c>
      <c r="C247" s="262" t="s">
        <v>791</v>
      </c>
      <c r="D247" s="262" t="s">
        <v>259</v>
      </c>
      <c r="E247" s="262" t="s">
        <v>223</v>
      </c>
      <c r="F247" s="263">
        <f t="shared" ref="F247:H248" si="45">F248</f>
        <v>0</v>
      </c>
      <c r="G247" s="263">
        <f t="shared" si="45"/>
        <v>0</v>
      </c>
      <c r="H247" s="263">
        <f t="shared" si="45"/>
        <v>0</v>
      </c>
    </row>
    <row r="248" spans="1:8" ht="19.2" hidden="1" customHeight="1" x14ac:dyDescent="0.25">
      <c r="A248" s="261" t="s">
        <v>713</v>
      </c>
      <c r="B248" s="262" t="s">
        <v>113</v>
      </c>
      <c r="C248" s="262" t="s">
        <v>791</v>
      </c>
      <c r="D248" s="262" t="s">
        <v>259</v>
      </c>
      <c r="E248" s="262" t="s">
        <v>714</v>
      </c>
      <c r="F248" s="263">
        <f t="shared" si="45"/>
        <v>0</v>
      </c>
      <c r="G248" s="263">
        <f t="shared" si="45"/>
        <v>0</v>
      </c>
      <c r="H248" s="263">
        <f t="shared" si="45"/>
        <v>0</v>
      </c>
    </row>
    <row r="249" spans="1:8" ht="49.95" hidden="1" customHeight="1" x14ac:dyDescent="0.25">
      <c r="A249" s="261" t="s">
        <v>387</v>
      </c>
      <c r="B249" s="262" t="s">
        <v>113</v>
      </c>
      <c r="C249" s="262" t="s">
        <v>791</v>
      </c>
      <c r="D249" s="262" t="s">
        <v>259</v>
      </c>
      <c r="E249" s="262" t="s">
        <v>793</v>
      </c>
      <c r="F249" s="263"/>
      <c r="G249" s="263"/>
      <c r="H249" s="263"/>
    </row>
    <row r="250" spans="1:8" ht="85.5" customHeight="1" x14ac:dyDescent="0.25">
      <c r="A250" s="294" t="s">
        <v>649</v>
      </c>
      <c r="B250" s="6" t="s">
        <v>113</v>
      </c>
      <c r="C250" s="6" t="s">
        <v>791</v>
      </c>
      <c r="D250" s="6" t="s">
        <v>1051</v>
      </c>
      <c r="E250" s="6" t="s">
        <v>223</v>
      </c>
      <c r="F250" s="485">
        <f>F251</f>
        <v>7277.1593800000001</v>
      </c>
      <c r="G250" s="485">
        <f t="shared" ref="G250:H251" si="46">G251</f>
        <v>0</v>
      </c>
      <c r="H250" s="485">
        <f t="shared" si="46"/>
        <v>0</v>
      </c>
    </row>
    <row r="251" spans="1:8" ht="31.95" customHeight="1" x14ac:dyDescent="0.25">
      <c r="A251" s="21" t="s">
        <v>709</v>
      </c>
      <c r="B251" s="8" t="s">
        <v>113</v>
      </c>
      <c r="C251" s="8" t="s">
        <v>791</v>
      </c>
      <c r="D251" s="6" t="s">
        <v>1051</v>
      </c>
      <c r="E251" s="8" t="s">
        <v>1087</v>
      </c>
      <c r="F251" s="263">
        <f>F252</f>
        <v>7277.1593800000001</v>
      </c>
      <c r="G251" s="263">
        <f t="shared" si="46"/>
        <v>0</v>
      </c>
      <c r="H251" s="263">
        <f t="shared" si="46"/>
        <v>0</v>
      </c>
    </row>
    <row r="252" spans="1:8" ht="31.2" customHeight="1" x14ac:dyDescent="0.25">
      <c r="A252" s="22" t="s">
        <v>711</v>
      </c>
      <c r="B252" s="8" t="s">
        <v>113</v>
      </c>
      <c r="C252" s="8" t="s">
        <v>791</v>
      </c>
      <c r="D252" s="6" t="s">
        <v>1051</v>
      </c>
      <c r="E252" s="6" t="s">
        <v>1087</v>
      </c>
      <c r="F252" s="263">
        <f>'5'!D244</f>
        <v>7277.1593800000001</v>
      </c>
      <c r="G252" s="263">
        <f>'5'!E244</f>
        <v>0</v>
      </c>
      <c r="H252" s="263">
        <f>'5'!F244</f>
        <v>0</v>
      </c>
    </row>
    <row r="253" spans="1:8" ht="31.2" customHeight="1" x14ac:dyDescent="0.25">
      <c r="A253" s="22" t="s">
        <v>1042</v>
      </c>
      <c r="B253" s="8" t="s">
        <v>113</v>
      </c>
      <c r="C253" s="8" t="s">
        <v>791</v>
      </c>
      <c r="D253" s="8" t="s">
        <v>1053</v>
      </c>
      <c r="E253" s="6" t="s">
        <v>223</v>
      </c>
      <c r="F253" s="263">
        <f t="shared" ref="F253:H254" si="47">F254</f>
        <v>1819.2898499999999</v>
      </c>
      <c r="G253" s="263">
        <f t="shared" si="47"/>
        <v>2000</v>
      </c>
      <c r="H253" s="263">
        <f t="shared" si="47"/>
        <v>2000</v>
      </c>
    </row>
    <row r="254" spans="1:8" ht="31.2" customHeight="1" x14ac:dyDescent="0.25">
      <c r="A254" s="21" t="s">
        <v>709</v>
      </c>
      <c r="B254" s="8" t="s">
        <v>113</v>
      </c>
      <c r="C254" s="8" t="s">
        <v>791</v>
      </c>
      <c r="D254" s="8" t="s">
        <v>1053</v>
      </c>
      <c r="E254" s="6" t="s">
        <v>1087</v>
      </c>
      <c r="F254" s="263">
        <f t="shared" si="47"/>
        <v>1819.2898499999999</v>
      </c>
      <c r="G254" s="263">
        <f t="shared" si="47"/>
        <v>2000</v>
      </c>
      <c r="H254" s="263">
        <f t="shared" si="47"/>
        <v>2000</v>
      </c>
    </row>
    <row r="255" spans="1:8" ht="50.4" customHeight="1" x14ac:dyDescent="0.25">
      <c r="A255" s="261" t="s">
        <v>711</v>
      </c>
      <c r="B255" s="8" t="s">
        <v>113</v>
      </c>
      <c r="C255" s="8" t="s">
        <v>791</v>
      </c>
      <c r="D255" s="8" t="s">
        <v>1053</v>
      </c>
      <c r="E255" s="6" t="s">
        <v>1087</v>
      </c>
      <c r="F255" s="263">
        <f>'5'!D245</f>
        <v>1819.2898499999999</v>
      </c>
      <c r="G255" s="263">
        <f>'5'!E245</f>
        <v>2000</v>
      </c>
      <c r="H255" s="263">
        <f>'5'!F245</f>
        <v>2000</v>
      </c>
    </row>
    <row r="256" spans="1:8" ht="144" customHeight="1" x14ac:dyDescent="0.25">
      <c r="A256" s="285" t="s">
        <v>795</v>
      </c>
      <c r="B256" s="13" t="s">
        <v>113</v>
      </c>
      <c r="C256" s="13" t="s">
        <v>791</v>
      </c>
      <c r="D256" s="13" t="s">
        <v>699</v>
      </c>
      <c r="E256" s="13" t="s">
        <v>223</v>
      </c>
      <c r="F256" s="265">
        <f t="shared" ref="F256:H257" si="48">F257</f>
        <v>3.3870800000000001</v>
      </c>
      <c r="G256" s="265">
        <f t="shared" si="48"/>
        <v>3.3870800000000001</v>
      </c>
      <c r="H256" s="265">
        <f t="shared" si="48"/>
        <v>3.3870800000000001</v>
      </c>
    </row>
    <row r="257" spans="1:8" ht="36.75" customHeight="1" x14ac:dyDescent="0.25">
      <c r="A257" s="261" t="s">
        <v>709</v>
      </c>
      <c r="B257" s="262" t="s">
        <v>113</v>
      </c>
      <c r="C257" s="262" t="s">
        <v>791</v>
      </c>
      <c r="D257" s="262" t="s">
        <v>1055</v>
      </c>
      <c r="E257" s="262" t="s">
        <v>710</v>
      </c>
      <c r="F257" s="263">
        <f t="shared" si="48"/>
        <v>3.3870800000000001</v>
      </c>
      <c r="G257" s="263">
        <f t="shared" si="48"/>
        <v>3.3870800000000001</v>
      </c>
      <c r="H257" s="263">
        <f t="shared" si="48"/>
        <v>3.3870800000000001</v>
      </c>
    </row>
    <row r="258" spans="1:8" ht="33.75" customHeight="1" x14ac:dyDescent="0.25">
      <c r="A258" s="278" t="s">
        <v>711</v>
      </c>
      <c r="B258" s="262" t="s">
        <v>113</v>
      </c>
      <c r="C258" s="262" t="s">
        <v>791</v>
      </c>
      <c r="D258" s="262" t="s">
        <v>1055</v>
      </c>
      <c r="E258" s="262" t="s">
        <v>712</v>
      </c>
      <c r="F258" s="263">
        <f>'5'!D246</f>
        <v>3.3870800000000001</v>
      </c>
      <c r="G258" s="263">
        <f>'5'!E246</f>
        <v>3.3870800000000001</v>
      </c>
      <c r="H258" s="263">
        <f>'5'!F246</f>
        <v>3.3870800000000001</v>
      </c>
    </row>
    <row r="259" spans="1:8" ht="33.75" hidden="1" customHeight="1" x14ac:dyDescent="0.25">
      <c r="A259" s="271" t="s">
        <v>702</v>
      </c>
      <c r="B259" s="272" t="s">
        <v>113</v>
      </c>
      <c r="C259" s="272" t="s">
        <v>791</v>
      </c>
      <c r="D259" s="272" t="s">
        <v>796</v>
      </c>
      <c r="E259" s="272" t="s">
        <v>223</v>
      </c>
      <c r="F259" s="273">
        <f>F260</f>
        <v>0</v>
      </c>
      <c r="G259" s="273">
        <f t="shared" ref="G259:H262" si="49">G260</f>
        <v>0</v>
      </c>
      <c r="H259" s="273">
        <f t="shared" si="49"/>
        <v>0</v>
      </c>
    </row>
    <row r="260" spans="1:8" ht="23.4" hidden="1" customHeight="1" x14ac:dyDescent="0.25">
      <c r="A260" s="261" t="s">
        <v>792</v>
      </c>
      <c r="B260" s="262" t="s">
        <v>113</v>
      </c>
      <c r="C260" s="262" t="s">
        <v>791</v>
      </c>
      <c r="D260" s="269" t="s">
        <v>15</v>
      </c>
      <c r="E260" s="269" t="s">
        <v>223</v>
      </c>
      <c r="F260" s="263">
        <f>F261</f>
        <v>0</v>
      </c>
      <c r="G260" s="263">
        <f t="shared" si="49"/>
        <v>0</v>
      </c>
      <c r="H260" s="263">
        <f t="shared" si="49"/>
        <v>0</v>
      </c>
    </row>
    <row r="261" spans="1:8" ht="34.200000000000003" hidden="1" customHeight="1" x14ac:dyDescent="0.25">
      <c r="A261" s="293" t="s">
        <v>797</v>
      </c>
      <c r="B261" s="262" t="s">
        <v>113</v>
      </c>
      <c r="C261" s="262" t="s">
        <v>791</v>
      </c>
      <c r="D261" s="269" t="s">
        <v>15</v>
      </c>
      <c r="E261" s="269" t="s">
        <v>223</v>
      </c>
      <c r="F261" s="263">
        <f>F262</f>
        <v>0</v>
      </c>
      <c r="G261" s="263">
        <f t="shared" si="49"/>
        <v>0</v>
      </c>
      <c r="H261" s="263">
        <f t="shared" si="49"/>
        <v>0</v>
      </c>
    </row>
    <row r="262" spans="1:8" ht="19.95" hidden="1" customHeight="1" x14ac:dyDescent="0.25">
      <c r="A262" s="293" t="s">
        <v>713</v>
      </c>
      <c r="B262" s="262" t="s">
        <v>113</v>
      </c>
      <c r="C262" s="262" t="s">
        <v>791</v>
      </c>
      <c r="D262" s="269" t="s">
        <v>15</v>
      </c>
      <c r="E262" s="269" t="s">
        <v>714</v>
      </c>
      <c r="F262" s="263">
        <f>F263</f>
        <v>0</v>
      </c>
      <c r="G262" s="263">
        <f t="shared" si="49"/>
        <v>0</v>
      </c>
      <c r="H262" s="263">
        <f t="shared" si="49"/>
        <v>0</v>
      </c>
    </row>
    <row r="263" spans="1:8" ht="50.4" hidden="1" customHeight="1" x14ac:dyDescent="0.25">
      <c r="A263" s="293" t="s">
        <v>387</v>
      </c>
      <c r="B263" s="262" t="s">
        <v>113</v>
      </c>
      <c r="C263" s="262" t="s">
        <v>791</v>
      </c>
      <c r="D263" s="269" t="s">
        <v>15</v>
      </c>
      <c r="E263" s="269" t="s">
        <v>793</v>
      </c>
      <c r="F263" s="263">
        <f>'5'!D268</f>
        <v>0</v>
      </c>
      <c r="G263" s="263">
        <f>'5'!E268</f>
        <v>0</v>
      </c>
      <c r="H263" s="263">
        <f>'5'!F268</f>
        <v>0</v>
      </c>
    </row>
    <row r="264" spans="1:8" ht="33.75" hidden="1" customHeight="1" x14ac:dyDescent="0.25">
      <c r="A264" s="278"/>
      <c r="B264" s="262"/>
      <c r="C264" s="262"/>
      <c r="D264" s="262"/>
      <c r="E264" s="262"/>
      <c r="F264" s="263"/>
      <c r="G264" s="263"/>
      <c r="H264" s="263"/>
    </row>
    <row r="265" spans="1:8" s="266" customFormat="1" ht="17.25" customHeight="1" x14ac:dyDescent="0.3">
      <c r="A265" s="256" t="s">
        <v>798</v>
      </c>
      <c r="B265" s="257" t="s">
        <v>113</v>
      </c>
      <c r="C265" s="257" t="s">
        <v>780</v>
      </c>
      <c r="D265" s="257" t="s">
        <v>699</v>
      </c>
      <c r="E265" s="257" t="s">
        <v>223</v>
      </c>
      <c r="F265" s="258">
        <f>F266+F281</f>
        <v>46797.87919</v>
      </c>
      <c r="G265" s="258">
        <f>G266+G281</f>
        <v>22588.32</v>
      </c>
      <c r="H265" s="258">
        <f>H266+H281</f>
        <v>23508.32</v>
      </c>
    </row>
    <row r="266" spans="1:8" s="266" customFormat="1" ht="95.1" customHeight="1" x14ac:dyDescent="0.3">
      <c r="A266" s="264" t="s">
        <v>589</v>
      </c>
      <c r="B266" s="13" t="s">
        <v>113</v>
      </c>
      <c r="C266" s="13" t="s">
        <v>780</v>
      </c>
      <c r="D266" s="13" t="s">
        <v>254</v>
      </c>
      <c r="E266" s="13" t="s">
        <v>223</v>
      </c>
      <c r="F266" s="265">
        <f>F267+F272+F276</f>
        <v>46653.259189999997</v>
      </c>
      <c r="G266" s="265">
        <f t="shared" ref="G266:H266" si="50">G267+G272+G276</f>
        <v>22508</v>
      </c>
      <c r="H266" s="265">
        <f t="shared" si="50"/>
        <v>23428</v>
      </c>
    </row>
    <row r="267" spans="1:8" ht="33.75" customHeight="1" x14ac:dyDescent="0.25">
      <c r="A267" s="261" t="s">
        <v>211</v>
      </c>
      <c r="B267" s="262" t="s">
        <v>113</v>
      </c>
      <c r="C267" s="262" t="s">
        <v>780</v>
      </c>
      <c r="D267" s="262" t="s">
        <v>261</v>
      </c>
      <c r="E267" s="262" t="s">
        <v>223</v>
      </c>
      <c r="F267" s="263">
        <f>F268+F270</f>
        <v>16761.744040000001</v>
      </c>
      <c r="G267" s="263">
        <f t="shared" ref="F267:H268" si="51">G268</f>
        <v>6720</v>
      </c>
      <c r="H267" s="263">
        <f t="shared" si="51"/>
        <v>6995</v>
      </c>
    </row>
    <row r="268" spans="1:8" ht="35.25" customHeight="1" x14ac:dyDescent="0.25">
      <c r="A268" s="261" t="s">
        <v>709</v>
      </c>
      <c r="B268" s="262" t="s">
        <v>113</v>
      </c>
      <c r="C268" s="262" t="s">
        <v>780</v>
      </c>
      <c r="D268" s="262" t="s">
        <v>261</v>
      </c>
      <c r="E268" s="262" t="s">
        <v>710</v>
      </c>
      <c r="F268" s="263">
        <f t="shared" si="51"/>
        <v>16761.744040000001</v>
      </c>
      <c r="G268" s="263">
        <f t="shared" si="51"/>
        <v>6720</v>
      </c>
      <c r="H268" s="263">
        <f t="shared" si="51"/>
        <v>6995</v>
      </c>
    </row>
    <row r="269" spans="1:8" ht="47.25" customHeight="1" x14ac:dyDescent="0.25">
      <c r="A269" s="278" t="s">
        <v>711</v>
      </c>
      <c r="B269" s="262" t="s">
        <v>113</v>
      </c>
      <c r="C269" s="262" t="s">
        <v>780</v>
      </c>
      <c r="D269" s="262" t="s">
        <v>261</v>
      </c>
      <c r="E269" s="262" t="s">
        <v>712</v>
      </c>
      <c r="F269" s="542">
        <f>'5'!D203</f>
        <v>16761.744040000001</v>
      </c>
      <c r="G269" s="485">
        <f>'5'!E203</f>
        <v>6720</v>
      </c>
      <c r="H269" s="485">
        <f>'5'!F203</f>
        <v>6995</v>
      </c>
    </row>
    <row r="270" spans="1:8" ht="47.25" hidden="1" customHeight="1" x14ac:dyDescent="0.25">
      <c r="A270" s="278" t="s">
        <v>762</v>
      </c>
      <c r="B270" s="262" t="s">
        <v>113</v>
      </c>
      <c r="C270" s="262" t="s">
        <v>780</v>
      </c>
      <c r="D270" s="262" t="s">
        <v>261</v>
      </c>
      <c r="E270" s="262" t="s">
        <v>763</v>
      </c>
      <c r="F270" s="542">
        <f>F271</f>
        <v>0</v>
      </c>
      <c r="G270" s="485">
        <f>G271</f>
        <v>0</v>
      </c>
      <c r="H270" s="485">
        <f>H271</f>
        <v>0</v>
      </c>
    </row>
    <row r="271" spans="1:8" ht="27" hidden="1" customHeight="1" x14ac:dyDescent="0.25">
      <c r="A271" s="278" t="s">
        <v>764</v>
      </c>
      <c r="B271" s="262" t="s">
        <v>113</v>
      </c>
      <c r="C271" s="262" t="s">
        <v>780</v>
      </c>
      <c r="D271" s="262" t="s">
        <v>261</v>
      </c>
      <c r="E271" s="262" t="s">
        <v>765</v>
      </c>
      <c r="F271" s="542"/>
      <c r="G271" s="263"/>
      <c r="H271" s="263"/>
    </row>
    <row r="272" spans="1:8" ht="22.5" customHeight="1" x14ac:dyDescent="0.25">
      <c r="A272" s="278" t="s">
        <v>776</v>
      </c>
      <c r="B272" s="262" t="s">
        <v>113</v>
      </c>
      <c r="C272" s="262" t="s">
        <v>780</v>
      </c>
      <c r="D272" s="262" t="s">
        <v>260</v>
      </c>
      <c r="E272" s="262" t="s">
        <v>777</v>
      </c>
      <c r="F272" s="542">
        <f>F273</f>
        <v>14740</v>
      </c>
      <c r="G272" s="263">
        <f>G273</f>
        <v>15788</v>
      </c>
      <c r="H272" s="263">
        <f>H273</f>
        <v>16433</v>
      </c>
    </row>
    <row r="273" spans="1:8" ht="20.399999999999999" customHeight="1" x14ac:dyDescent="0.25">
      <c r="A273" s="278" t="s">
        <v>175</v>
      </c>
      <c r="B273" s="262" t="s">
        <v>113</v>
      </c>
      <c r="C273" s="262" t="s">
        <v>780</v>
      </c>
      <c r="D273" s="262" t="s">
        <v>260</v>
      </c>
      <c r="E273" s="262" t="s">
        <v>794</v>
      </c>
      <c r="F273" s="542">
        <f>'5'!D204</f>
        <v>14740</v>
      </c>
      <c r="G273" s="485">
        <f>'5'!E204</f>
        <v>15788</v>
      </c>
      <c r="H273" s="485">
        <f>'5'!F204</f>
        <v>16433</v>
      </c>
    </row>
    <row r="274" spans="1:8" ht="95.4" hidden="1" customHeight="1" x14ac:dyDescent="0.25">
      <c r="A274" s="278" t="s">
        <v>273</v>
      </c>
      <c r="B274" s="262" t="s">
        <v>113</v>
      </c>
      <c r="C274" s="262" t="s">
        <v>780</v>
      </c>
      <c r="D274" s="262" t="s">
        <v>274</v>
      </c>
      <c r="E274" s="262" t="s">
        <v>794</v>
      </c>
      <c r="F274" s="542"/>
      <c r="G274" s="263"/>
      <c r="H274" s="263"/>
    </row>
    <row r="275" spans="1:8" ht="30.6" hidden="1" customHeight="1" x14ac:dyDescent="0.25">
      <c r="A275" s="278" t="s">
        <v>277</v>
      </c>
      <c r="B275" s="262" t="s">
        <v>113</v>
      </c>
      <c r="C275" s="262" t="s">
        <v>780</v>
      </c>
      <c r="D275" s="262" t="s">
        <v>278</v>
      </c>
      <c r="E275" s="262" t="s">
        <v>794</v>
      </c>
      <c r="F275" s="542"/>
      <c r="G275" s="263"/>
      <c r="H275" s="263"/>
    </row>
    <row r="276" spans="1:8" ht="30.6" customHeight="1" x14ac:dyDescent="0.25">
      <c r="A276" s="285" t="s">
        <v>799</v>
      </c>
      <c r="B276" s="13" t="s">
        <v>113</v>
      </c>
      <c r="C276" s="13" t="s">
        <v>780</v>
      </c>
      <c r="D276" s="13" t="s">
        <v>254</v>
      </c>
      <c r="E276" s="13" t="s">
        <v>223</v>
      </c>
      <c r="F276" s="267">
        <f>F278+F280</f>
        <v>15151.515149999999</v>
      </c>
      <c r="G276" s="265">
        <f>G278+G280</f>
        <v>0</v>
      </c>
      <c r="H276" s="265">
        <f>H278+H280</f>
        <v>0</v>
      </c>
    </row>
    <row r="277" spans="1:8" ht="35.700000000000003" customHeight="1" x14ac:dyDescent="0.25">
      <c r="A277" s="261" t="s">
        <v>709</v>
      </c>
      <c r="B277" s="262" t="s">
        <v>113</v>
      </c>
      <c r="C277" s="262" t="s">
        <v>780</v>
      </c>
      <c r="D277" s="262" t="s">
        <v>388</v>
      </c>
      <c r="E277" s="262" t="s">
        <v>710</v>
      </c>
      <c r="F277" s="542">
        <f>F278</f>
        <v>15000</v>
      </c>
      <c r="G277" s="263">
        <f>G278</f>
        <v>0</v>
      </c>
      <c r="H277" s="263">
        <f>H278</f>
        <v>0</v>
      </c>
    </row>
    <row r="278" spans="1:8" ht="46.8" x14ac:dyDescent="0.25">
      <c r="A278" s="278" t="s">
        <v>711</v>
      </c>
      <c r="B278" s="262" t="s">
        <v>113</v>
      </c>
      <c r="C278" s="262" t="s">
        <v>780</v>
      </c>
      <c r="D278" s="262" t="s">
        <v>388</v>
      </c>
      <c r="E278" s="262" t="s">
        <v>712</v>
      </c>
      <c r="F278" s="542">
        <f>'5'!D207</f>
        <v>15000</v>
      </c>
      <c r="G278" s="263">
        <f>'5'!E207</f>
        <v>0</v>
      </c>
      <c r="H278" s="263">
        <f>'5'!F207</f>
        <v>0</v>
      </c>
    </row>
    <row r="279" spans="1:8" ht="31.2" x14ac:dyDescent="0.25">
      <c r="A279" s="261" t="s">
        <v>709</v>
      </c>
      <c r="B279" s="262" t="s">
        <v>113</v>
      </c>
      <c r="C279" s="262" t="s">
        <v>780</v>
      </c>
      <c r="D279" s="262" t="s">
        <v>397</v>
      </c>
      <c r="E279" s="262" t="s">
        <v>710</v>
      </c>
      <c r="F279" s="542">
        <f>F280</f>
        <v>151.51515000000001</v>
      </c>
      <c r="G279" s="263">
        <f>G280</f>
        <v>0</v>
      </c>
      <c r="H279" s="263">
        <f>H280</f>
        <v>0</v>
      </c>
    </row>
    <row r="280" spans="1:8" ht="46.8" x14ac:dyDescent="0.25">
      <c r="A280" s="278" t="s">
        <v>711</v>
      </c>
      <c r="B280" s="262" t="s">
        <v>113</v>
      </c>
      <c r="C280" s="262" t="s">
        <v>780</v>
      </c>
      <c r="D280" s="262" t="s">
        <v>397</v>
      </c>
      <c r="E280" s="262" t="s">
        <v>712</v>
      </c>
      <c r="F280" s="542">
        <f>'5'!D208</f>
        <v>151.51515000000001</v>
      </c>
      <c r="G280" s="263">
        <f>'5'!E208</f>
        <v>0</v>
      </c>
      <c r="H280" s="263">
        <f>'5'!F208</f>
        <v>0</v>
      </c>
    </row>
    <row r="281" spans="1:8" ht="31.2" x14ac:dyDescent="0.25">
      <c r="A281" s="285" t="s">
        <v>702</v>
      </c>
      <c r="B281" s="13" t="s">
        <v>113</v>
      </c>
      <c r="C281" s="13" t="s">
        <v>780</v>
      </c>
      <c r="D281" s="13" t="s">
        <v>5</v>
      </c>
      <c r="E281" s="13" t="s">
        <v>223</v>
      </c>
      <c r="F281" s="267">
        <f>F282</f>
        <v>144.62</v>
      </c>
      <c r="G281" s="265">
        <f t="shared" ref="G281:H282" si="52">G282</f>
        <v>80.319999999999993</v>
      </c>
      <c r="H281" s="265">
        <f t="shared" si="52"/>
        <v>80.319999999999993</v>
      </c>
    </row>
    <row r="282" spans="1:8" ht="34.5" customHeight="1" x14ac:dyDescent="0.25">
      <c r="A282" s="278" t="s">
        <v>110</v>
      </c>
      <c r="B282" s="262" t="s">
        <v>113</v>
      </c>
      <c r="C282" s="262" t="s">
        <v>780</v>
      </c>
      <c r="D282" s="262" t="s">
        <v>6</v>
      </c>
      <c r="E282" s="262" t="s">
        <v>223</v>
      </c>
      <c r="F282" s="542">
        <f>F283</f>
        <v>144.62</v>
      </c>
      <c r="G282" s="263">
        <f t="shared" si="52"/>
        <v>80.319999999999993</v>
      </c>
      <c r="H282" s="263">
        <f t="shared" si="52"/>
        <v>80.319999999999993</v>
      </c>
    </row>
    <row r="283" spans="1:8" ht="20.25" customHeight="1" x14ac:dyDescent="0.25">
      <c r="A283" s="261" t="s">
        <v>314</v>
      </c>
      <c r="B283" s="262" t="s">
        <v>113</v>
      </c>
      <c r="C283" s="262" t="s">
        <v>780</v>
      </c>
      <c r="D283" s="279" t="s">
        <v>315</v>
      </c>
      <c r="E283" s="262" t="s">
        <v>223</v>
      </c>
      <c r="F283" s="263">
        <f>F284+F286</f>
        <v>144.62</v>
      </c>
      <c r="G283" s="263">
        <f>G284+G286</f>
        <v>80.319999999999993</v>
      </c>
      <c r="H283" s="263">
        <f>H284+H286</f>
        <v>80.319999999999993</v>
      </c>
    </row>
    <row r="284" spans="1:8" ht="34.200000000000003" hidden="1" customHeight="1" x14ac:dyDescent="0.25">
      <c r="A284" s="261" t="s">
        <v>709</v>
      </c>
      <c r="B284" s="262" t="s">
        <v>113</v>
      </c>
      <c r="C284" s="262" t="s">
        <v>780</v>
      </c>
      <c r="D284" s="279" t="s">
        <v>315</v>
      </c>
      <c r="E284" s="262" t="s">
        <v>710</v>
      </c>
      <c r="F284" s="263">
        <f>F285</f>
        <v>0</v>
      </c>
      <c r="G284" s="263">
        <f>G285</f>
        <v>0</v>
      </c>
      <c r="H284" s="263">
        <f>H285</f>
        <v>0</v>
      </c>
    </row>
    <row r="285" spans="1:8" ht="35.4" hidden="1" customHeight="1" x14ac:dyDescent="0.25">
      <c r="A285" s="278" t="s">
        <v>711</v>
      </c>
      <c r="B285" s="262" t="s">
        <v>113</v>
      </c>
      <c r="C285" s="262" t="s">
        <v>780</v>
      </c>
      <c r="D285" s="279" t="s">
        <v>315</v>
      </c>
      <c r="E285" s="262" t="s">
        <v>712</v>
      </c>
      <c r="F285" s="263">
        <v>0</v>
      </c>
      <c r="G285" s="263">
        <v>0</v>
      </c>
      <c r="H285" s="263">
        <v>0</v>
      </c>
    </row>
    <row r="286" spans="1:8" ht="22.5" customHeight="1" x14ac:dyDescent="0.25">
      <c r="A286" s="261" t="s">
        <v>713</v>
      </c>
      <c r="B286" s="262" t="s">
        <v>113</v>
      </c>
      <c r="C286" s="262" t="s">
        <v>780</v>
      </c>
      <c r="D286" s="279" t="s">
        <v>315</v>
      </c>
      <c r="E286" s="262" t="s">
        <v>714</v>
      </c>
      <c r="F286" s="263">
        <f>F287</f>
        <v>144.62</v>
      </c>
      <c r="G286" s="263">
        <f>G287</f>
        <v>80.319999999999993</v>
      </c>
      <c r="H286" s="263">
        <f>H287</f>
        <v>80.319999999999993</v>
      </c>
    </row>
    <row r="287" spans="1:8" ht="19.5" customHeight="1" x14ac:dyDescent="0.25">
      <c r="A287" s="270" t="s">
        <v>715</v>
      </c>
      <c r="B287" s="262" t="s">
        <v>113</v>
      </c>
      <c r="C287" s="262" t="s">
        <v>780</v>
      </c>
      <c r="D287" s="279" t="s">
        <v>315</v>
      </c>
      <c r="E287" s="262" t="s">
        <v>716</v>
      </c>
      <c r="F287" s="25">
        <f>'5'!D292</f>
        <v>144.62</v>
      </c>
      <c r="G287" s="98">
        <f>'5'!E292</f>
        <v>80.319999999999993</v>
      </c>
      <c r="H287" s="98">
        <f>'5'!F292</f>
        <v>80.319999999999993</v>
      </c>
    </row>
    <row r="288" spans="1:8" s="260" customFormat="1" ht="31.2" x14ac:dyDescent="0.25">
      <c r="A288" s="275" t="s">
        <v>800</v>
      </c>
      <c r="B288" s="257" t="s">
        <v>113</v>
      </c>
      <c r="C288" s="257" t="s">
        <v>801</v>
      </c>
      <c r="D288" s="257" t="s">
        <v>699</v>
      </c>
      <c r="E288" s="257" t="s">
        <v>223</v>
      </c>
      <c r="F288" s="258">
        <f>F289+F298</f>
        <v>65830.029899999994</v>
      </c>
      <c r="G288" s="258">
        <f t="shared" ref="G288:H288" si="53">G289</f>
        <v>200</v>
      </c>
      <c r="H288" s="258">
        <f t="shared" si="53"/>
        <v>200</v>
      </c>
    </row>
    <row r="289" spans="1:8" ht="61.95" customHeight="1" x14ac:dyDescent="0.25">
      <c r="A289" s="301" t="s">
        <v>802</v>
      </c>
      <c r="B289" s="292" t="s">
        <v>113</v>
      </c>
      <c r="C289" s="292" t="s">
        <v>801</v>
      </c>
      <c r="D289" s="292" t="s">
        <v>252</v>
      </c>
      <c r="E289" s="292" t="s">
        <v>223</v>
      </c>
      <c r="F289" s="267">
        <f>F290</f>
        <v>200</v>
      </c>
      <c r="G289" s="267">
        <f t="shared" ref="G289:H291" si="54">G290</f>
        <v>200</v>
      </c>
      <c r="H289" s="267">
        <f t="shared" si="54"/>
        <v>200</v>
      </c>
    </row>
    <row r="290" spans="1:8" ht="33.6" customHeight="1" x14ac:dyDescent="0.25">
      <c r="A290" s="293" t="s">
        <v>803</v>
      </c>
      <c r="B290" s="269" t="s">
        <v>113</v>
      </c>
      <c r="C290" s="269" t="s">
        <v>801</v>
      </c>
      <c r="D290" s="269" t="s">
        <v>253</v>
      </c>
      <c r="E290" s="269" t="s">
        <v>223</v>
      </c>
      <c r="F290" s="485">
        <f>F291+F296</f>
        <v>200</v>
      </c>
      <c r="G290" s="485">
        <f>G291+G296</f>
        <v>200</v>
      </c>
      <c r="H290" s="485">
        <f>H291+H296</f>
        <v>200</v>
      </c>
    </row>
    <row r="291" spans="1:8" ht="18.75" customHeight="1" x14ac:dyDescent="0.25">
      <c r="A291" s="293" t="s">
        <v>713</v>
      </c>
      <c r="B291" s="269" t="s">
        <v>113</v>
      </c>
      <c r="C291" s="269" t="s">
        <v>801</v>
      </c>
      <c r="D291" s="269" t="s">
        <v>253</v>
      </c>
      <c r="E291" s="269" t="s">
        <v>714</v>
      </c>
      <c r="F291" s="485">
        <f>F292</f>
        <v>197</v>
      </c>
      <c r="G291" s="485">
        <f t="shared" si="54"/>
        <v>197</v>
      </c>
      <c r="H291" s="485">
        <f t="shared" si="54"/>
        <v>197</v>
      </c>
    </row>
    <row r="292" spans="1:8" ht="61.2" customHeight="1" x14ac:dyDescent="0.25">
      <c r="A292" s="293" t="s">
        <v>804</v>
      </c>
      <c r="B292" s="269" t="s">
        <v>113</v>
      </c>
      <c r="C292" s="269" t="s">
        <v>801</v>
      </c>
      <c r="D292" s="269" t="s">
        <v>253</v>
      </c>
      <c r="E292" s="269" t="s">
        <v>793</v>
      </c>
      <c r="F292" s="485">
        <v>197</v>
      </c>
      <c r="G292" s="485">
        <v>197</v>
      </c>
      <c r="H292" s="485">
        <v>197</v>
      </c>
    </row>
    <row r="293" spans="1:8" ht="110.25" hidden="1" customHeight="1" x14ac:dyDescent="0.25">
      <c r="A293" s="301"/>
      <c r="B293" s="269" t="s">
        <v>113</v>
      </c>
      <c r="C293" s="269" t="s">
        <v>801</v>
      </c>
      <c r="D293" s="269" t="s">
        <v>253</v>
      </c>
      <c r="E293" s="292"/>
      <c r="F293" s="267"/>
      <c r="G293" s="267"/>
      <c r="H293" s="267"/>
    </row>
    <row r="294" spans="1:8" ht="24" hidden="1" customHeight="1" x14ac:dyDescent="0.25">
      <c r="A294" s="294"/>
      <c r="B294" s="269" t="s">
        <v>113</v>
      </c>
      <c r="C294" s="269" t="s">
        <v>801</v>
      </c>
      <c r="D294" s="269" t="s">
        <v>253</v>
      </c>
      <c r="E294" s="269"/>
      <c r="F294" s="485"/>
      <c r="G294" s="485"/>
      <c r="H294" s="485"/>
    </row>
    <row r="295" spans="1:8" ht="25.5" hidden="1" customHeight="1" x14ac:dyDescent="0.25">
      <c r="A295" s="294"/>
      <c r="B295" s="269" t="s">
        <v>113</v>
      </c>
      <c r="C295" s="269" t="s">
        <v>801</v>
      </c>
      <c r="D295" s="269" t="s">
        <v>253</v>
      </c>
      <c r="E295" s="269"/>
      <c r="F295" s="485"/>
      <c r="G295" s="485"/>
      <c r="H295" s="485"/>
    </row>
    <row r="296" spans="1:8" ht="33.6" customHeight="1" x14ac:dyDescent="0.25">
      <c r="A296" s="293" t="s">
        <v>709</v>
      </c>
      <c r="B296" s="269" t="s">
        <v>113</v>
      </c>
      <c r="C296" s="269" t="s">
        <v>801</v>
      </c>
      <c r="D296" s="269" t="s">
        <v>253</v>
      </c>
      <c r="E296" s="269" t="s">
        <v>710</v>
      </c>
      <c r="F296" s="485">
        <f>F297</f>
        <v>3</v>
      </c>
      <c r="G296" s="485">
        <f>G297</f>
        <v>3</v>
      </c>
      <c r="H296" s="485">
        <f>H297</f>
        <v>3</v>
      </c>
    </row>
    <row r="297" spans="1:8" ht="48.6" customHeight="1" x14ac:dyDescent="0.25">
      <c r="A297" s="294" t="s">
        <v>711</v>
      </c>
      <c r="B297" s="269" t="s">
        <v>113</v>
      </c>
      <c r="C297" s="269" t="s">
        <v>801</v>
      </c>
      <c r="D297" s="269" t="s">
        <v>253</v>
      </c>
      <c r="E297" s="269" t="s">
        <v>712</v>
      </c>
      <c r="F297" s="485">
        <v>3</v>
      </c>
      <c r="G297" s="485">
        <v>3</v>
      </c>
      <c r="H297" s="485">
        <v>3</v>
      </c>
    </row>
    <row r="298" spans="1:8" ht="48.6" customHeight="1" x14ac:dyDescent="0.25">
      <c r="A298" s="297" t="s">
        <v>1058</v>
      </c>
      <c r="B298" s="292" t="s">
        <v>113</v>
      </c>
      <c r="C298" s="292" t="s">
        <v>801</v>
      </c>
      <c r="D298" s="317" t="s">
        <v>1062</v>
      </c>
      <c r="E298" s="292" t="s">
        <v>223</v>
      </c>
      <c r="F298" s="267">
        <f>F299+F306+F313</f>
        <v>65630.029899999994</v>
      </c>
      <c r="G298" s="267">
        <f t="shared" ref="G298:H298" si="55">G299+G306</f>
        <v>0</v>
      </c>
      <c r="H298" s="267">
        <f t="shared" si="55"/>
        <v>0</v>
      </c>
    </row>
    <row r="299" spans="1:8" s="266" customFormat="1" ht="48.6" customHeight="1" x14ac:dyDescent="0.3">
      <c r="A299" s="376" t="s">
        <v>1135</v>
      </c>
      <c r="B299" s="317" t="s">
        <v>113</v>
      </c>
      <c r="C299" s="317" t="s">
        <v>801</v>
      </c>
      <c r="D299" s="317" t="s">
        <v>1084</v>
      </c>
      <c r="E299" s="317" t="s">
        <v>223</v>
      </c>
      <c r="F299" s="267">
        <f>F300+F303</f>
        <v>5050.5050499999998</v>
      </c>
      <c r="G299" s="267">
        <f t="shared" ref="G299:H299" si="56">G300+G303</f>
        <v>0</v>
      </c>
      <c r="H299" s="267">
        <f t="shared" si="56"/>
        <v>0</v>
      </c>
    </row>
    <row r="300" spans="1:8" ht="48.6" customHeight="1" x14ac:dyDescent="0.25">
      <c r="A300" s="9" t="s">
        <v>1138</v>
      </c>
      <c r="B300" s="6" t="s">
        <v>113</v>
      </c>
      <c r="C300" s="6" t="s">
        <v>801</v>
      </c>
      <c r="D300" s="6" t="s">
        <v>1057</v>
      </c>
      <c r="E300" s="6" t="s">
        <v>223</v>
      </c>
      <c r="F300" s="485">
        <f>F301</f>
        <v>5000</v>
      </c>
      <c r="G300" s="485">
        <f t="shared" ref="G300:H300" si="57">G301</f>
        <v>0</v>
      </c>
      <c r="H300" s="485">
        <f t="shared" si="57"/>
        <v>0</v>
      </c>
    </row>
    <row r="301" spans="1:8" ht="48.6" customHeight="1" x14ac:dyDescent="0.25">
      <c r="A301" s="2" t="s">
        <v>709</v>
      </c>
      <c r="B301" s="6" t="s">
        <v>113</v>
      </c>
      <c r="C301" s="6" t="s">
        <v>801</v>
      </c>
      <c r="D301" s="6" t="s">
        <v>1057</v>
      </c>
      <c r="E301" s="6" t="s">
        <v>710</v>
      </c>
      <c r="F301" s="485">
        <f>F302</f>
        <v>5000</v>
      </c>
      <c r="G301" s="485">
        <f>'5'!E250</f>
        <v>0</v>
      </c>
      <c r="H301" s="485">
        <f>'5'!F250</f>
        <v>0</v>
      </c>
    </row>
    <row r="302" spans="1:8" ht="48.6" customHeight="1" x14ac:dyDescent="0.25">
      <c r="A302" s="9" t="s">
        <v>711</v>
      </c>
      <c r="B302" s="6" t="s">
        <v>113</v>
      </c>
      <c r="C302" s="6" t="s">
        <v>801</v>
      </c>
      <c r="D302" s="6" t="s">
        <v>1057</v>
      </c>
      <c r="E302" s="6" t="s">
        <v>712</v>
      </c>
      <c r="F302" s="485">
        <f>'5'!D250</f>
        <v>5000</v>
      </c>
      <c r="G302" s="485">
        <f>'5'!E250</f>
        <v>0</v>
      </c>
      <c r="H302" s="485">
        <f>'5'!F250</f>
        <v>0</v>
      </c>
    </row>
    <row r="303" spans="1:8" ht="48.6" customHeight="1" x14ac:dyDescent="0.25">
      <c r="A303" s="9" t="s">
        <v>1137</v>
      </c>
      <c r="B303" s="6" t="s">
        <v>113</v>
      </c>
      <c r="C303" s="6" t="s">
        <v>801</v>
      </c>
      <c r="D303" s="6" t="s">
        <v>1063</v>
      </c>
      <c r="E303" s="6" t="s">
        <v>223</v>
      </c>
      <c r="F303" s="485">
        <f>F304</f>
        <v>50.505049999999997</v>
      </c>
      <c r="G303" s="485">
        <f t="shared" ref="G303:H303" si="58">G304</f>
        <v>0</v>
      </c>
      <c r="H303" s="485">
        <f t="shared" si="58"/>
        <v>0</v>
      </c>
    </row>
    <row r="304" spans="1:8" ht="48.6" customHeight="1" x14ac:dyDescent="0.25">
      <c r="A304" s="2" t="s">
        <v>709</v>
      </c>
      <c r="B304" s="6" t="s">
        <v>113</v>
      </c>
      <c r="C304" s="6" t="s">
        <v>801</v>
      </c>
      <c r="D304" s="6" t="s">
        <v>1063</v>
      </c>
      <c r="E304" s="6" t="s">
        <v>710</v>
      </c>
      <c r="F304" s="485">
        <f>F305</f>
        <v>50.505049999999997</v>
      </c>
      <c r="G304" s="485">
        <f t="shared" ref="G304:H304" si="59">G305</f>
        <v>0</v>
      </c>
      <c r="H304" s="485">
        <f t="shared" si="59"/>
        <v>0</v>
      </c>
    </row>
    <row r="305" spans="1:9" ht="48.6" customHeight="1" x14ac:dyDescent="0.25">
      <c r="A305" s="9" t="s">
        <v>711</v>
      </c>
      <c r="B305" s="6" t="s">
        <v>113</v>
      </c>
      <c r="C305" s="6" t="s">
        <v>801</v>
      </c>
      <c r="D305" s="6" t="s">
        <v>1063</v>
      </c>
      <c r="E305" s="6" t="s">
        <v>712</v>
      </c>
      <c r="F305" s="485">
        <f>'5'!D251</f>
        <v>50.505049999999997</v>
      </c>
      <c r="G305" s="485">
        <f>'4'!H250</f>
        <v>0</v>
      </c>
      <c r="H305" s="485">
        <f>'4'!I250</f>
        <v>0</v>
      </c>
      <c r="I305" s="268">
        <f>F305+F302+F297+F292+F287+F273+F269+F263+F255+F252+F240</f>
        <v>47478.709510000001</v>
      </c>
    </row>
    <row r="306" spans="1:9" s="266" customFormat="1" ht="60.6" customHeight="1" x14ac:dyDescent="0.3">
      <c r="A306" s="376" t="s">
        <v>1082</v>
      </c>
      <c r="B306" s="317" t="s">
        <v>113</v>
      </c>
      <c r="C306" s="317" t="s">
        <v>801</v>
      </c>
      <c r="D306" s="317" t="s">
        <v>1083</v>
      </c>
      <c r="E306" s="317" t="s">
        <v>223</v>
      </c>
      <c r="F306" s="267">
        <f>F307+F310</f>
        <v>60554.524850000002</v>
      </c>
      <c r="G306" s="267">
        <f t="shared" ref="G306:H306" si="60">G307+G310</f>
        <v>0</v>
      </c>
      <c r="H306" s="267">
        <f t="shared" si="60"/>
        <v>0</v>
      </c>
      <c r="I306" s="309"/>
    </row>
    <row r="307" spans="1:9" ht="124.2" customHeight="1" x14ac:dyDescent="0.25">
      <c r="A307" s="12" t="s">
        <v>1141</v>
      </c>
      <c r="B307" s="6" t="s">
        <v>113</v>
      </c>
      <c r="C307" s="6" t="s">
        <v>801</v>
      </c>
      <c r="D307" s="6" t="s">
        <v>1080</v>
      </c>
      <c r="E307" s="6" t="s">
        <v>223</v>
      </c>
      <c r="F307" s="485">
        <f>F308</f>
        <v>59948.979599999999</v>
      </c>
      <c r="G307" s="485">
        <f t="shared" ref="G307:H308" si="61">G308</f>
        <v>0</v>
      </c>
      <c r="H307" s="485">
        <f t="shared" si="61"/>
        <v>0</v>
      </c>
      <c r="I307" s="268"/>
    </row>
    <row r="308" spans="1:9" ht="48.6" customHeight="1" x14ac:dyDescent="0.25">
      <c r="A308" s="2" t="s">
        <v>709</v>
      </c>
      <c r="B308" s="6" t="s">
        <v>113</v>
      </c>
      <c r="C308" s="6" t="s">
        <v>801</v>
      </c>
      <c r="D308" s="6" t="s">
        <v>1080</v>
      </c>
      <c r="E308" s="6" t="s">
        <v>710</v>
      </c>
      <c r="F308" s="542">
        <f>F309</f>
        <v>59948.979599999999</v>
      </c>
      <c r="G308" s="485">
        <f t="shared" si="61"/>
        <v>0</v>
      </c>
      <c r="H308" s="485">
        <f t="shared" si="61"/>
        <v>0</v>
      </c>
      <c r="I308" s="268"/>
    </row>
    <row r="309" spans="1:9" ht="48.6" customHeight="1" x14ac:dyDescent="0.25">
      <c r="A309" s="9" t="s">
        <v>711</v>
      </c>
      <c r="B309" s="6" t="s">
        <v>113</v>
      </c>
      <c r="C309" s="6" t="s">
        <v>801</v>
      </c>
      <c r="D309" s="6" t="s">
        <v>1080</v>
      </c>
      <c r="E309" s="6" t="s">
        <v>712</v>
      </c>
      <c r="F309" s="542">
        <f>'5'!D248</f>
        <v>59948.979599999999</v>
      </c>
      <c r="G309" s="485">
        <f>'5'!E248</f>
        <v>0</v>
      </c>
      <c r="H309" s="485">
        <f>'5'!F248</f>
        <v>0</v>
      </c>
      <c r="I309" s="268"/>
    </row>
    <row r="310" spans="1:9" ht="147" customHeight="1" x14ac:dyDescent="0.25">
      <c r="A310" s="12" t="s">
        <v>1144</v>
      </c>
      <c r="B310" s="6" t="s">
        <v>113</v>
      </c>
      <c r="C310" s="6" t="s">
        <v>801</v>
      </c>
      <c r="D310" s="6" t="s">
        <v>1081</v>
      </c>
      <c r="E310" s="6" t="s">
        <v>223</v>
      </c>
      <c r="F310" s="542">
        <f>F311</f>
        <v>605.54525000000001</v>
      </c>
      <c r="G310" s="485">
        <f t="shared" ref="G310:H311" si="62">G311</f>
        <v>0</v>
      </c>
      <c r="H310" s="485">
        <f t="shared" si="62"/>
        <v>0</v>
      </c>
      <c r="I310" s="268"/>
    </row>
    <row r="311" spans="1:9" ht="48.6" customHeight="1" x14ac:dyDescent="0.25">
      <c r="A311" s="2" t="s">
        <v>709</v>
      </c>
      <c r="B311" s="6" t="s">
        <v>113</v>
      </c>
      <c r="C311" s="6" t="s">
        <v>801</v>
      </c>
      <c r="D311" s="6" t="s">
        <v>1081</v>
      </c>
      <c r="E311" s="6" t="s">
        <v>710</v>
      </c>
      <c r="F311" s="542">
        <f>F312</f>
        <v>605.54525000000001</v>
      </c>
      <c r="G311" s="485">
        <f t="shared" si="62"/>
        <v>0</v>
      </c>
      <c r="H311" s="485">
        <f t="shared" si="62"/>
        <v>0</v>
      </c>
      <c r="I311" s="268"/>
    </row>
    <row r="312" spans="1:9" ht="48.6" customHeight="1" x14ac:dyDescent="0.25">
      <c r="A312" s="9" t="s">
        <v>711</v>
      </c>
      <c r="B312" s="6" t="s">
        <v>113</v>
      </c>
      <c r="C312" s="6" t="s">
        <v>801</v>
      </c>
      <c r="D312" s="6" t="s">
        <v>1081</v>
      </c>
      <c r="E312" s="6" t="s">
        <v>712</v>
      </c>
      <c r="F312" s="542">
        <f>'5'!D249</f>
        <v>605.54525000000001</v>
      </c>
      <c r="G312" s="485">
        <f>'5'!E249</f>
        <v>0</v>
      </c>
      <c r="H312" s="485">
        <f>'5'!F249</f>
        <v>0</v>
      </c>
      <c r="I312" s="268"/>
    </row>
    <row r="313" spans="1:9" s="266" customFormat="1" ht="48.6" customHeight="1" x14ac:dyDescent="0.3">
      <c r="A313" s="376" t="s">
        <v>1148</v>
      </c>
      <c r="B313" s="317" t="s">
        <v>113</v>
      </c>
      <c r="C313" s="317" t="s">
        <v>801</v>
      </c>
      <c r="D313" s="317" t="s">
        <v>1147</v>
      </c>
      <c r="E313" s="317" t="s">
        <v>223</v>
      </c>
      <c r="F313" s="267">
        <f>F314</f>
        <v>25</v>
      </c>
      <c r="G313" s="267">
        <f t="shared" ref="G313:H313" si="63">G314</f>
        <v>0</v>
      </c>
      <c r="H313" s="267">
        <f t="shared" si="63"/>
        <v>0</v>
      </c>
      <c r="I313" s="309"/>
    </row>
    <row r="314" spans="1:9" ht="48.6" customHeight="1" x14ac:dyDescent="0.25">
      <c r="A314" s="2" t="s">
        <v>709</v>
      </c>
      <c r="B314" s="6" t="s">
        <v>113</v>
      </c>
      <c r="C314" s="6" t="s">
        <v>801</v>
      </c>
      <c r="D314" s="6" t="s">
        <v>1147</v>
      </c>
      <c r="E314" s="6" t="s">
        <v>710</v>
      </c>
      <c r="F314" s="542">
        <f>F315</f>
        <v>25</v>
      </c>
      <c r="G314" s="541">
        <f>G315</f>
        <v>0</v>
      </c>
      <c r="H314" s="541">
        <f>H315</f>
        <v>0</v>
      </c>
      <c r="I314" s="268"/>
    </row>
    <row r="315" spans="1:9" ht="48.6" customHeight="1" x14ac:dyDescent="0.25">
      <c r="A315" s="9" t="s">
        <v>711</v>
      </c>
      <c r="B315" s="6" t="s">
        <v>113</v>
      </c>
      <c r="C315" s="6" t="s">
        <v>801</v>
      </c>
      <c r="D315" s="6" t="s">
        <v>1147</v>
      </c>
      <c r="E315" s="6" t="s">
        <v>712</v>
      </c>
      <c r="F315" s="542">
        <f>10+15</f>
        <v>25</v>
      </c>
      <c r="G315" s="541">
        <v>0</v>
      </c>
      <c r="H315" s="541">
        <v>0</v>
      </c>
      <c r="I315" s="268"/>
    </row>
    <row r="316" spans="1:9" s="302" customFormat="1" ht="32.25" customHeight="1" x14ac:dyDescent="0.3">
      <c r="A316" s="252" t="s">
        <v>805</v>
      </c>
      <c r="B316" s="253" t="s">
        <v>718</v>
      </c>
      <c r="C316" s="253" t="s">
        <v>109</v>
      </c>
      <c r="D316" s="253" t="s">
        <v>699</v>
      </c>
      <c r="E316" s="253" t="s">
        <v>223</v>
      </c>
      <c r="F316" s="254">
        <f>F317+F359+F344</f>
        <v>2944.3730700000001</v>
      </c>
      <c r="G316" s="254">
        <f>G317+G359+G344</f>
        <v>1706.9133800000002</v>
      </c>
      <c r="H316" s="254">
        <f>H317+H359+H344</f>
        <v>1707.0096800000001</v>
      </c>
      <c r="I316" s="445">
        <f>I305-F236</f>
        <v>-75734.427079999994</v>
      </c>
    </row>
    <row r="317" spans="1:9" s="307" customFormat="1" ht="16.5" customHeight="1" x14ac:dyDescent="0.3">
      <c r="A317" s="256" t="s">
        <v>806</v>
      </c>
      <c r="B317" s="257" t="s">
        <v>718</v>
      </c>
      <c r="C317" s="257" t="s">
        <v>701</v>
      </c>
      <c r="D317" s="257" t="s">
        <v>699</v>
      </c>
      <c r="E317" s="257" t="s">
        <v>223</v>
      </c>
      <c r="F317" s="258">
        <f>F318+F328+F331+F336+F341+F325</f>
        <v>1710.2483300000001</v>
      </c>
      <c r="G317" s="258">
        <f>G318+G328+G331+G336+G341</f>
        <v>1264.5060600000002</v>
      </c>
      <c r="H317" s="258">
        <f>H318+H328+H331+H336+H341</f>
        <v>1264.5060600000002</v>
      </c>
    </row>
    <row r="318" spans="1:9" ht="17.25" customHeight="1" x14ac:dyDescent="0.25">
      <c r="A318" s="261" t="s">
        <v>807</v>
      </c>
      <c r="B318" s="262" t="s">
        <v>718</v>
      </c>
      <c r="C318" s="262" t="s">
        <v>701</v>
      </c>
      <c r="D318" s="262" t="s">
        <v>17</v>
      </c>
      <c r="E318" s="262" t="s">
        <v>223</v>
      </c>
      <c r="F318" s="263">
        <f>F319+F322</f>
        <v>1063.9000000000001</v>
      </c>
      <c r="G318" s="263">
        <f>G319+G322</f>
        <v>1063.9000000000001</v>
      </c>
      <c r="H318" s="263">
        <f>H319+H322</f>
        <v>1063.9000000000001</v>
      </c>
    </row>
    <row r="319" spans="1:9" ht="33.75" hidden="1" customHeight="1" x14ac:dyDescent="0.25">
      <c r="A319" s="261" t="s">
        <v>316</v>
      </c>
      <c r="B319" s="262" t="s">
        <v>718</v>
      </c>
      <c r="C319" s="262" t="s">
        <v>701</v>
      </c>
      <c r="D319" s="262" t="s">
        <v>17</v>
      </c>
      <c r="E319" s="262" t="s">
        <v>223</v>
      </c>
      <c r="F319" s="263">
        <f t="shared" ref="F319:H320" si="64">F320</f>
        <v>0</v>
      </c>
      <c r="G319" s="263">
        <f t="shared" si="64"/>
        <v>0</v>
      </c>
      <c r="H319" s="263">
        <f t="shared" si="64"/>
        <v>0</v>
      </c>
    </row>
    <row r="320" spans="1:9" ht="33.75" hidden="1" customHeight="1" x14ac:dyDescent="0.25">
      <c r="A320" s="261" t="s">
        <v>709</v>
      </c>
      <c r="B320" s="262" t="s">
        <v>718</v>
      </c>
      <c r="C320" s="262" t="s">
        <v>701</v>
      </c>
      <c r="D320" s="262" t="s">
        <v>17</v>
      </c>
      <c r="E320" s="262" t="s">
        <v>710</v>
      </c>
      <c r="F320" s="263">
        <f t="shared" si="64"/>
        <v>0</v>
      </c>
      <c r="G320" s="263">
        <f t="shared" si="64"/>
        <v>0</v>
      </c>
      <c r="H320" s="263">
        <f t="shared" si="64"/>
        <v>0</v>
      </c>
    </row>
    <row r="321" spans="1:8" ht="48.75" hidden="1" customHeight="1" x14ac:dyDescent="0.25">
      <c r="A321" s="278" t="s">
        <v>711</v>
      </c>
      <c r="B321" s="262" t="s">
        <v>718</v>
      </c>
      <c r="C321" s="262" t="s">
        <v>701</v>
      </c>
      <c r="D321" s="262" t="s">
        <v>17</v>
      </c>
      <c r="E321" s="262" t="s">
        <v>712</v>
      </c>
      <c r="F321" s="263">
        <v>0</v>
      </c>
      <c r="G321" s="263">
        <v>0</v>
      </c>
      <c r="H321" s="263">
        <v>0</v>
      </c>
    </row>
    <row r="322" spans="1:8" ht="33" customHeight="1" x14ac:dyDescent="0.25">
      <c r="A322" s="261" t="s">
        <v>258</v>
      </c>
      <c r="B322" s="262" t="s">
        <v>718</v>
      </c>
      <c r="C322" s="262" t="s">
        <v>701</v>
      </c>
      <c r="D322" s="262" t="s">
        <v>74</v>
      </c>
      <c r="E322" s="262" t="s">
        <v>223</v>
      </c>
      <c r="F322" s="263">
        <f t="shared" ref="F322:H323" si="65">F323</f>
        <v>1063.9000000000001</v>
      </c>
      <c r="G322" s="263">
        <f t="shared" si="65"/>
        <v>1063.9000000000001</v>
      </c>
      <c r="H322" s="263">
        <f t="shared" si="65"/>
        <v>1063.9000000000001</v>
      </c>
    </row>
    <row r="323" spans="1:8" ht="31.5" customHeight="1" x14ac:dyDescent="0.25">
      <c r="A323" s="261" t="s">
        <v>709</v>
      </c>
      <c r="B323" s="262" t="s">
        <v>718</v>
      </c>
      <c r="C323" s="262" t="s">
        <v>701</v>
      </c>
      <c r="D323" s="262" t="s">
        <v>74</v>
      </c>
      <c r="E323" s="262" t="s">
        <v>710</v>
      </c>
      <c r="F323" s="263">
        <f t="shared" si="65"/>
        <v>1063.9000000000001</v>
      </c>
      <c r="G323" s="263">
        <f t="shared" si="65"/>
        <v>1063.9000000000001</v>
      </c>
      <c r="H323" s="263">
        <f t="shared" si="65"/>
        <v>1063.9000000000001</v>
      </c>
    </row>
    <row r="324" spans="1:8" ht="48" customHeight="1" x14ac:dyDescent="0.25">
      <c r="A324" s="278" t="s">
        <v>711</v>
      </c>
      <c r="B324" s="262" t="s">
        <v>718</v>
      </c>
      <c r="C324" s="262" t="s">
        <v>701</v>
      </c>
      <c r="D324" s="262" t="s">
        <v>74</v>
      </c>
      <c r="E324" s="262" t="s">
        <v>712</v>
      </c>
      <c r="F324" s="263">
        <f>'5'!D277</f>
        <v>1063.9000000000001</v>
      </c>
      <c r="G324" s="263">
        <f>'5'!E277</f>
        <v>1063.9000000000001</v>
      </c>
      <c r="H324" s="263">
        <f>'5'!F277</f>
        <v>1063.9000000000001</v>
      </c>
    </row>
    <row r="325" spans="1:8" s="266" customFormat="1" ht="20.25" hidden="1" customHeight="1" x14ac:dyDescent="0.3">
      <c r="A325" s="297" t="s">
        <v>214</v>
      </c>
      <c r="B325" s="6" t="s">
        <v>718</v>
      </c>
      <c r="C325" s="6" t="s">
        <v>701</v>
      </c>
      <c r="D325" s="6" t="s">
        <v>19</v>
      </c>
      <c r="E325" s="6" t="s">
        <v>223</v>
      </c>
      <c r="F325" s="267">
        <f t="shared" ref="F325:H326" si="66">F326</f>
        <v>0</v>
      </c>
      <c r="G325" s="265">
        <f t="shared" si="66"/>
        <v>0</v>
      </c>
      <c r="H325" s="265">
        <f t="shared" si="66"/>
        <v>0</v>
      </c>
    </row>
    <row r="326" spans="1:8" ht="48" hidden="1" customHeight="1" x14ac:dyDescent="0.25">
      <c r="A326" s="21" t="s">
        <v>709</v>
      </c>
      <c r="B326" s="8" t="s">
        <v>718</v>
      </c>
      <c r="C326" s="8" t="s">
        <v>701</v>
      </c>
      <c r="D326" s="8" t="s">
        <v>19</v>
      </c>
      <c r="E326" s="8" t="s">
        <v>710</v>
      </c>
      <c r="F326" s="263">
        <f t="shared" si="66"/>
        <v>0</v>
      </c>
      <c r="G326" s="263">
        <f t="shared" si="66"/>
        <v>0</v>
      </c>
      <c r="H326" s="263">
        <f t="shared" si="66"/>
        <v>0</v>
      </c>
    </row>
    <row r="327" spans="1:8" ht="48" hidden="1" customHeight="1" x14ac:dyDescent="0.25">
      <c r="A327" s="22" t="s">
        <v>711</v>
      </c>
      <c r="B327" s="8" t="s">
        <v>718</v>
      </c>
      <c r="C327" s="8" t="s">
        <v>701</v>
      </c>
      <c r="D327" s="8" t="s">
        <v>19</v>
      </c>
      <c r="E327" s="8" t="s">
        <v>712</v>
      </c>
      <c r="F327" s="485">
        <f>266-266</f>
        <v>0</v>
      </c>
      <c r="G327" s="263">
        <v>0</v>
      </c>
      <c r="H327" s="263">
        <v>0</v>
      </c>
    </row>
    <row r="328" spans="1:8" ht="48" hidden="1" customHeight="1" x14ac:dyDescent="0.25">
      <c r="A328" s="285" t="s">
        <v>402</v>
      </c>
      <c r="B328" s="13" t="s">
        <v>718</v>
      </c>
      <c r="C328" s="13" t="s">
        <v>701</v>
      </c>
      <c r="D328" s="13" t="s">
        <v>403</v>
      </c>
      <c r="E328" s="13" t="s">
        <v>223</v>
      </c>
      <c r="F328" s="265">
        <f t="shared" ref="F328:H329" si="67">F329</f>
        <v>0</v>
      </c>
      <c r="G328" s="265">
        <f t="shared" si="67"/>
        <v>0</v>
      </c>
      <c r="H328" s="265">
        <f t="shared" si="67"/>
        <v>0</v>
      </c>
    </row>
    <row r="329" spans="1:8" ht="36" hidden="1" customHeight="1" x14ac:dyDescent="0.25">
      <c r="A329" s="261" t="s">
        <v>709</v>
      </c>
      <c r="B329" s="262" t="s">
        <v>718</v>
      </c>
      <c r="C329" s="262" t="s">
        <v>701</v>
      </c>
      <c r="D329" s="262" t="s">
        <v>403</v>
      </c>
      <c r="E329" s="262" t="s">
        <v>710</v>
      </c>
      <c r="F329" s="263">
        <f t="shared" si="67"/>
        <v>0</v>
      </c>
      <c r="G329" s="263">
        <f t="shared" si="67"/>
        <v>0</v>
      </c>
      <c r="H329" s="263">
        <f t="shared" si="67"/>
        <v>0</v>
      </c>
    </row>
    <row r="330" spans="1:8" ht="48" hidden="1" customHeight="1" x14ac:dyDescent="0.25">
      <c r="A330" s="278" t="s">
        <v>711</v>
      </c>
      <c r="B330" s="262" t="s">
        <v>718</v>
      </c>
      <c r="C330" s="262" t="s">
        <v>701</v>
      </c>
      <c r="D330" s="262" t="s">
        <v>403</v>
      </c>
      <c r="E330" s="262" t="s">
        <v>712</v>
      </c>
      <c r="F330" s="263"/>
      <c r="G330" s="263"/>
      <c r="H330" s="263"/>
    </row>
    <row r="331" spans="1:8" ht="81.75" customHeight="1" x14ac:dyDescent="0.25">
      <c r="A331" s="264" t="s">
        <v>808</v>
      </c>
      <c r="B331" s="13" t="s">
        <v>718</v>
      </c>
      <c r="C331" s="13" t="s">
        <v>701</v>
      </c>
      <c r="D331" s="13" t="s">
        <v>317</v>
      </c>
      <c r="E331" s="13" t="s">
        <v>223</v>
      </c>
      <c r="F331" s="265">
        <f t="shared" ref="F331:H332" si="68">F332</f>
        <v>516.34833000000003</v>
      </c>
      <c r="G331" s="265">
        <f t="shared" si="68"/>
        <v>60.606059999999999</v>
      </c>
      <c r="H331" s="265">
        <f t="shared" si="68"/>
        <v>60.606059999999999</v>
      </c>
    </row>
    <row r="332" spans="1:8" ht="63" customHeight="1" x14ac:dyDescent="0.25">
      <c r="A332" s="278" t="s">
        <v>809</v>
      </c>
      <c r="B332" s="262" t="s">
        <v>718</v>
      </c>
      <c r="C332" s="262" t="s">
        <v>701</v>
      </c>
      <c r="D332" s="262" t="s">
        <v>317</v>
      </c>
      <c r="E332" s="262" t="s">
        <v>223</v>
      </c>
      <c r="F332" s="263">
        <f t="shared" si="68"/>
        <v>516.34833000000003</v>
      </c>
      <c r="G332" s="263">
        <f t="shared" si="68"/>
        <v>60.606059999999999</v>
      </c>
      <c r="H332" s="263">
        <f t="shared" si="68"/>
        <v>60.606059999999999</v>
      </c>
    </row>
    <row r="333" spans="1:8" ht="24" customHeight="1" x14ac:dyDescent="0.25">
      <c r="A333" s="261" t="s">
        <v>713</v>
      </c>
      <c r="B333" s="262" t="s">
        <v>718</v>
      </c>
      <c r="C333" s="262" t="s">
        <v>701</v>
      </c>
      <c r="D333" s="262" t="s">
        <v>317</v>
      </c>
      <c r="E333" s="262" t="s">
        <v>714</v>
      </c>
      <c r="F333" s="263">
        <f>F335+F334</f>
        <v>516.34833000000003</v>
      </c>
      <c r="G333" s="263">
        <f>G335+G334</f>
        <v>60.606059999999999</v>
      </c>
      <c r="H333" s="263">
        <f>H335+H334</f>
        <v>60.606059999999999</v>
      </c>
    </row>
    <row r="334" spans="1:8" ht="63" customHeight="1" x14ac:dyDescent="0.25">
      <c r="A334" s="261" t="s">
        <v>810</v>
      </c>
      <c r="B334" s="262" t="s">
        <v>718</v>
      </c>
      <c r="C334" s="262" t="s">
        <v>701</v>
      </c>
      <c r="D334" s="262" t="s">
        <v>318</v>
      </c>
      <c r="E334" s="262" t="s">
        <v>793</v>
      </c>
      <c r="F334" s="263">
        <f>'5'!D227</f>
        <v>511.18484999999998</v>
      </c>
      <c r="G334" s="263">
        <f>'5'!E227</f>
        <v>0</v>
      </c>
      <c r="H334" s="263">
        <f>'5'!F227</f>
        <v>0</v>
      </c>
    </row>
    <row r="335" spans="1:8" ht="63" customHeight="1" x14ac:dyDescent="0.25">
      <c r="A335" s="261" t="s">
        <v>811</v>
      </c>
      <c r="B335" s="262" t="s">
        <v>718</v>
      </c>
      <c r="C335" s="262" t="s">
        <v>701</v>
      </c>
      <c r="D335" s="269" t="s">
        <v>567</v>
      </c>
      <c r="E335" s="262" t="s">
        <v>793</v>
      </c>
      <c r="F335" s="263">
        <f>'5'!D228</f>
        <v>5.1634799999999998</v>
      </c>
      <c r="G335" s="263">
        <f>'5'!E228</f>
        <v>60.606059999999999</v>
      </c>
      <c r="H335" s="263">
        <f>'5'!F228</f>
        <v>60.606059999999999</v>
      </c>
    </row>
    <row r="336" spans="1:8" ht="33" customHeight="1" x14ac:dyDescent="0.25">
      <c r="A336" s="285" t="s">
        <v>702</v>
      </c>
      <c r="B336" s="13" t="s">
        <v>718</v>
      </c>
      <c r="C336" s="13" t="s">
        <v>701</v>
      </c>
      <c r="D336" s="13" t="s">
        <v>5</v>
      </c>
      <c r="E336" s="13" t="s">
        <v>223</v>
      </c>
      <c r="F336" s="265">
        <f t="shared" ref="F336:H339" si="69">F337</f>
        <v>120</v>
      </c>
      <c r="G336" s="265">
        <f t="shared" si="69"/>
        <v>120</v>
      </c>
      <c r="H336" s="265">
        <f t="shared" si="69"/>
        <v>120</v>
      </c>
    </row>
    <row r="337" spans="1:8" ht="33" customHeight="1" x14ac:dyDescent="0.25">
      <c r="A337" s="278" t="s">
        <v>110</v>
      </c>
      <c r="B337" s="262" t="s">
        <v>718</v>
      </c>
      <c r="C337" s="262" t="s">
        <v>701</v>
      </c>
      <c r="D337" s="262" t="s">
        <v>6</v>
      </c>
      <c r="E337" s="262" t="s">
        <v>223</v>
      </c>
      <c r="F337" s="263">
        <f t="shared" si="69"/>
        <v>120</v>
      </c>
      <c r="G337" s="263">
        <f t="shared" si="69"/>
        <v>120</v>
      </c>
      <c r="H337" s="263">
        <f t="shared" si="69"/>
        <v>120</v>
      </c>
    </row>
    <row r="338" spans="1:8" ht="118.2" customHeight="1" x14ac:dyDescent="0.25">
      <c r="A338" s="17" t="s">
        <v>319</v>
      </c>
      <c r="B338" s="272" t="s">
        <v>718</v>
      </c>
      <c r="C338" s="272" t="s">
        <v>701</v>
      </c>
      <c r="D338" s="272" t="s">
        <v>320</v>
      </c>
      <c r="E338" s="272" t="s">
        <v>223</v>
      </c>
      <c r="F338" s="273">
        <f t="shared" si="69"/>
        <v>120</v>
      </c>
      <c r="G338" s="273">
        <f t="shared" si="69"/>
        <v>120</v>
      </c>
      <c r="H338" s="273">
        <f t="shared" si="69"/>
        <v>120</v>
      </c>
    </row>
    <row r="339" spans="1:8" ht="36" customHeight="1" x14ac:dyDescent="0.25">
      <c r="A339" s="261" t="s">
        <v>709</v>
      </c>
      <c r="B339" s="262" t="s">
        <v>718</v>
      </c>
      <c r="C339" s="262" t="s">
        <v>701</v>
      </c>
      <c r="D339" s="262" t="s">
        <v>320</v>
      </c>
      <c r="E339" s="262" t="s">
        <v>710</v>
      </c>
      <c r="F339" s="263">
        <f t="shared" si="69"/>
        <v>120</v>
      </c>
      <c r="G339" s="263">
        <f t="shared" si="69"/>
        <v>120</v>
      </c>
      <c r="H339" s="263">
        <f t="shared" si="69"/>
        <v>120</v>
      </c>
    </row>
    <row r="340" spans="1:8" ht="48" customHeight="1" x14ac:dyDescent="0.25">
      <c r="A340" s="278" t="s">
        <v>711</v>
      </c>
      <c r="B340" s="262" t="s">
        <v>718</v>
      </c>
      <c r="C340" s="262" t="s">
        <v>701</v>
      </c>
      <c r="D340" s="262" t="s">
        <v>320</v>
      </c>
      <c r="E340" s="262" t="s">
        <v>712</v>
      </c>
      <c r="F340" s="263">
        <f>'5'!D293</f>
        <v>120</v>
      </c>
      <c r="G340" s="263">
        <f>'5'!E293</f>
        <v>120</v>
      </c>
      <c r="H340" s="263">
        <f>'5'!F293</f>
        <v>120</v>
      </c>
    </row>
    <row r="341" spans="1:8" s="266" customFormat="1" ht="79.95" customHeight="1" x14ac:dyDescent="0.3">
      <c r="A341" s="285" t="s">
        <v>812</v>
      </c>
      <c r="B341" s="13" t="s">
        <v>718</v>
      </c>
      <c r="C341" s="13" t="s">
        <v>701</v>
      </c>
      <c r="D341" s="13" t="s">
        <v>285</v>
      </c>
      <c r="E341" s="13" t="s">
        <v>223</v>
      </c>
      <c r="F341" s="265">
        <f t="shared" ref="F341:H342" si="70">F342</f>
        <v>10</v>
      </c>
      <c r="G341" s="265">
        <f t="shared" si="70"/>
        <v>20</v>
      </c>
      <c r="H341" s="265">
        <f t="shared" si="70"/>
        <v>20</v>
      </c>
    </row>
    <row r="342" spans="1:8" ht="39.6" customHeight="1" x14ac:dyDescent="0.25">
      <c r="A342" s="261" t="s">
        <v>709</v>
      </c>
      <c r="B342" s="262" t="s">
        <v>718</v>
      </c>
      <c r="C342" s="262" t="s">
        <v>701</v>
      </c>
      <c r="D342" s="262" t="s">
        <v>366</v>
      </c>
      <c r="E342" s="262" t="s">
        <v>710</v>
      </c>
      <c r="F342" s="263">
        <f t="shared" si="70"/>
        <v>10</v>
      </c>
      <c r="G342" s="263">
        <f t="shared" si="70"/>
        <v>20</v>
      </c>
      <c r="H342" s="263">
        <f t="shared" si="70"/>
        <v>20</v>
      </c>
    </row>
    <row r="343" spans="1:8" ht="48" customHeight="1" x14ac:dyDescent="0.25">
      <c r="A343" s="278" t="s">
        <v>711</v>
      </c>
      <c r="B343" s="262" t="s">
        <v>718</v>
      </c>
      <c r="C343" s="262" t="s">
        <v>701</v>
      </c>
      <c r="D343" s="262" t="s">
        <v>366</v>
      </c>
      <c r="E343" s="262" t="s">
        <v>712</v>
      </c>
      <c r="F343" s="308">
        <f>'5'!D211</f>
        <v>10</v>
      </c>
      <c r="G343" s="308">
        <f>'5'!E211</f>
        <v>20</v>
      </c>
      <c r="H343" s="308">
        <f>'5'!F211</f>
        <v>20</v>
      </c>
    </row>
    <row r="344" spans="1:8" s="266" customFormat="1" ht="17.7" customHeight="1" x14ac:dyDescent="0.3">
      <c r="A344" s="275" t="s">
        <v>813</v>
      </c>
      <c r="B344" s="257" t="s">
        <v>718</v>
      </c>
      <c r="C344" s="257" t="s">
        <v>111</v>
      </c>
      <c r="D344" s="257" t="s">
        <v>699</v>
      </c>
      <c r="E344" s="257" t="s">
        <v>223</v>
      </c>
      <c r="F344" s="258">
        <f>F345+F348+F353+F356</f>
        <v>1231.81</v>
      </c>
      <c r="G344" s="258">
        <f t="shared" ref="G344:H344" si="71">G345+G348+G353+G356</f>
        <v>440</v>
      </c>
      <c r="H344" s="258">
        <f t="shared" si="71"/>
        <v>440</v>
      </c>
    </row>
    <row r="345" spans="1:8" ht="17.25" customHeight="1" x14ac:dyDescent="0.25">
      <c r="A345" s="285" t="s">
        <v>213</v>
      </c>
      <c r="B345" s="13" t="s">
        <v>718</v>
      </c>
      <c r="C345" s="13" t="s">
        <v>111</v>
      </c>
      <c r="D345" s="13" t="s">
        <v>18</v>
      </c>
      <c r="E345" s="13" t="s">
        <v>223</v>
      </c>
      <c r="F345" s="265">
        <f t="shared" ref="F345:H346" si="72">F346</f>
        <v>90</v>
      </c>
      <c r="G345" s="265">
        <f t="shared" si="72"/>
        <v>90</v>
      </c>
      <c r="H345" s="265">
        <f t="shared" si="72"/>
        <v>90</v>
      </c>
    </row>
    <row r="346" spans="1:8" ht="34.5" customHeight="1" x14ac:dyDescent="0.25">
      <c r="A346" s="261" t="s">
        <v>709</v>
      </c>
      <c r="B346" s="262" t="s">
        <v>718</v>
      </c>
      <c r="C346" s="262" t="s">
        <v>111</v>
      </c>
      <c r="D346" s="262" t="s">
        <v>18</v>
      </c>
      <c r="E346" s="262" t="s">
        <v>710</v>
      </c>
      <c r="F346" s="263">
        <f t="shared" si="72"/>
        <v>90</v>
      </c>
      <c r="G346" s="263">
        <f t="shared" si="72"/>
        <v>90</v>
      </c>
      <c r="H346" s="263">
        <f t="shared" si="72"/>
        <v>90</v>
      </c>
    </row>
    <row r="347" spans="1:8" ht="49.5" customHeight="1" x14ac:dyDescent="0.25">
      <c r="A347" s="278" t="s">
        <v>711</v>
      </c>
      <c r="B347" s="262" t="s">
        <v>718</v>
      </c>
      <c r="C347" s="262" t="s">
        <v>111</v>
      </c>
      <c r="D347" s="262" t="s">
        <v>18</v>
      </c>
      <c r="E347" s="262" t="s">
        <v>712</v>
      </c>
      <c r="F347" s="485">
        <f>'5'!D271</f>
        <v>90</v>
      </c>
      <c r="G347" s="485">
        <f>'5'!E271</f>
        <v>90</v>
      </c>
      <c r="H347" s="485">
        <f>'5'!F271</f>
        <v>90</v>
      </c>
    </row>
    <row r="348" spans="1:8" ht="17.25" customHeight="1" x14ac:dyDescent="0.25">
      <c r="A348" s="278" t="s">
        <v>214</v>
      </c>
      <c r="B348" s="262" t="s">
        <v>718</v>
      </c>
      <c r="C348" s="262" t="s">
        <v>111</v>
      </c>
      <c r="D348" s="262" t="s">
        <v>19</v>
      </c>
      <c r="E348" s="262" t="s">
        <v>223</v>
      </c>
      <c r="F348" s="263">
        <f>F349+F351</f>
        <v>350</v>
      </c>
      <c r="G348" s="263">
        <f>G349+G351</f>
        <v>350</v>
      </c>
      <c r="H348" s="263">
        <f>H349+H351</f>
        <v>350</v>
      </c>
    </row>
    <row r="349" spans="1:8" ht="37.5" customHeight="1" x14ac:dyDescent="0.25">
      <c r="A349" s="261" t="s">
        <v>709</v>
      </c>
      <c r="B349" s="262" t="s">
        <v>718</v>
      </c>
      <c r="C349" s="262" t="s">
        <v>111</v>
      </c>
      <c r="D349" s="262" t="s">
        <v>19</v>
      </c>
      <c r="E349" s="262" t="s">
        <v>710</v>
      </c>
      <c r="F349" s="263">
        <f>F350</f>
        <v>350</v>
      </c>
      <c r="G349" s="263">
        <f>G350</f>
        <v>350</v>
      </c>
      <c r="H349" s="263">
        <f>H350</f>
        <v>350</v>
      </c>
    </row>
    <row r="350" spans="1:8" ht="48" customHeight="1" x14ac:dyDescent="0.25">
      <c r="A350" s="278" t="s">
        <v>711</v>
      </c>
      <c r="B350" s="262" t="s">
        <v>718</v>
      </c>
      <c r="C350" s="262" t="s">
        <v>111</v>
      </c>
      <c r="D350" s="262" t="s">
        <v>19</v>
      </c>
      <c r="E350" s="262" t="s">
        <v>712</v>
      </c>
      <c r="F350" s="25">
        <f>'5'!D274</f>
        <v>350</v>
      </c>
      <c r="G350" s="25">
        <f>'5'!E274</f>
        <v>350</v>
      </c>
      <c r="H350" s="25">
        <f>'5'!F274</f>
        <v>350</v>
      </c>
    </row>
    <row r="351" spans="1:8" ht="48" hidden="1" customHeight="1" x14ac:dyDescent="0.25">
      <c r="A351" s="278" t="s">
        <v>762</v>
      </c>
      <c r="B351" s="262" t="s">
        <v>718</v>
      </c>
      <c r="C351" s="262" t="s">
        <v>111</v>
      </c>
      <c r="D351" s="262" t="s">
        <v>19</v>
      </c>
      <c r="E351" s="262" t="s">
        <v>763</v>
      </c>
      <c r="F351" s="263">
        <f>F352</f>
        <v>0</v>
      </c>
      <c r="G351" s="263">
        <f>G352</f>
        <v>0</v>
      </c>
      <c r="H351" s="263">
        <f>H352</f>
        <v>0</v>
      </c>
    </row>
    <row r="352" spans="1:8" ht="16.95" hidden="1" customHeight="1" x14ac:dyDescent="0.25">
      <c r="A352" s="278" t="s">
        <v>764</v>
      </c>
      <c r="B352" s="262" t="s">
        <v>718</v>
      </c>
      <c r="C352" s="262" t="s">
        <v>111</v>
      </c>
      <c r="D352" s="262" t="s">
        <v>19</v>
      </c>
      <c r="E352" s="262" t="s">
        <v>765</v>
      </c>
      <c r="F352" s="263"/>
      <c r="G352" s="263"/>
      <c r="H352" s="263"/>
    </row>
    <row r="353" spans="1:8" ht="120.75" customHeight="1" x14ac:dyDescent="0.25">
      <c r="A353" s="376" t="s">
        <v>650</v>
      </c>
      <c r="B353" s="292" t="s">
        <v>718</v>
      </c>
      <c r="C353" s="292" t="s">
        <v>111</v>
      </c>
      <c r="D353" s="317" t="s">
        <v>690</v>
      </c>
      <c r="E353" s="317" t="s">
        <v>223</v>
      </c>
      <c r="F353" s="267">
        <f>F354</f>
        <v>395.90499999999997</v>
      </c>
      <c r="G353" s="267">
        <f t="shared" ref="G353:H354" si="73">G354</f>
        <v>0</v>
      </c>
      <c r="H353" s="267">
        <f t="shared" si="73"/>
        <v>0</v>
      </c>
    </row>
    <row r="354" spans="1:8" ht="16.95" customHeight="1" x14ac:dyDescent="0.25">
      <c r="A354" s="21" t="s">
        <v>709</v>
      </c>
      <c r="B354" s="262" t="s">
        <v>718</v>
      </c>
      <c r="C354" s="262" t="s">
        <v>111</v>
      </c>
      <c r="D354" s="8" t="s">
        <v>690</v>
      </c>
      <c r="E354" s="8" t="s">
        <v>710</v>
      </c>
      <c r="F354" s="542">
        <f>F355</f>
        <v>395.90499999999997</v>
      </c>
      <c r="G354" s="263">
        <f t="shared" si="73"/>
        <v>0</v>
      </c>
      <c r="H354" s="263">
        <f t="shared" si="73"/>
        <v>0</v>
      </c>
    </row>
    <row r="355" spans="1:8" ht="16.95" customHeight="1" x14ac:dyDescent="0.25">
      <c r="A355" s="22" t="s">
        <v>711</v>
      </c>
      <c r="B355" s="262" t="s">
        <v>718</v>
      </c>
      <c r="C355" s="262" t="s">
        <v>111</v>
      </c>
      <c r="D355" s="8" t="s">
        <v>690</v>
      </c>
      <c r="E355" s="8" t="s">
        <v>712</v>
      </c>
      <c r="F355" s="542">
        <f>'5'!D272</f>
        <v>395.90499999999997</v>
      </c>
      <c r="G355" s="263">
        <f>'5'!E272</f>
        <v>0</v>
      </c>
      <c r="H355" s="263">
        <f>'5'!F272</f>
        <v>0</v>
      </c>
    </row>
    <row r="356" spans="1:8" ht="76.5" customHeight="1" x14ac:dyDescent="0.25">
      <c r="A356" s="376" t="s">
        <v>1045</v>
      </c>
      <c r="B356" s="13" t="s">
        <v>718</v>
      </c>
      <c r="C356" s="13" t="s">
        <v>111</v>
      </c>
      <c r="D356" s="129" t="s">
        <v>691</v>
      </c>
      <c r="E356" s="317" t="s">
        <v>223</v>
      </c>
      <c r="F356" s="267">
        <f>F357</f>
        <v>395.90499999999997</v>
      </c>
      <c r="G356" s="265">
        <f t="shared" ref="G356:H357" si="74">G357</f>
        <v>0</v>
      </c>
      <c r="H356" s="265">
        <f t="shared" si="74"/>
        <v>0</v>
      </c>
    </row>
    <row r="357" spans="1:8" ht="27.6" customHeight="1" x14ac:dyDescent="0.25">
      <c r="A357" s="21" t="s">
        <v>709</v>
      </c>
      <c r="B357" s="262" t="s">
        <v>718</v>
      </c>
      <c r="C357" s="262" t="s">
        <v>111</v>
      </c>
      <c r="D357" s="28" t="s">
        <v>691</v>
      </c>
      <c r="E357" s="8" t="s">
        <v>710</v>
      </c>
      <c r="F357" s="542">
        <f>F358</f>
        <v>395.90499999999997</v>
      </c>
      <c r="G357" s="263">
        <f t="shared" si="74"/>
        <v>0</v>
      </c>
      <c r="H357" s="263">
        <f t="shared" si="74"/>
        <v>0</v>
      </c>
    </row>
    <row r="358" spans="1:8" ht="31.95" customHeight="1" x14ac:dyDescent="0.25">
      <c r="A358" s="22" t="s">
        <v>711</v>
      </c>
      <c r="B358" s="262" t="s">
        <v>718</v>
      </c>
      <c r="C358" s="262" t="s">
        <v>111</v>
      </c>
      <c r="D358" s="28" t="s">
        <v>691</v>
      </c>
      <c r="E358" s="8" t="s">
        <v>712</v>
      </c>
      <c r="F358" s="542">
        <f>'5'!D273</f>
        <v>395.90499999999997</v>
      </c>
      <c r="G358" s="263">
        <f>'5'!E273</f>
        <v>0</v>
      </c>
      <c r="H358" s="263">
        <f>'5'!F273</f>
        <v>0</v>
      </c>
    </row>
    <row r="359" spans="1:8" ht="34.5" customHeight="1" x14ac:dyDescent="0.25">
      <c r="A359" s="256" t="s">
        <v>814</v>
      </c>
      <c r="B359" s="257" t="s">
        <v>718</v>
      </c>
      <c r="C359" s="257" t="s">
        <v>718</v>
      </c>
      <c r="D359" s="257" t="s">
        <v>699</v>
      </c>
      <c r="E359" s="257" t="s">
        <v>223</v>
      </c>
      <c r="F359" s="258">
        <f>F360</f>
        <v>2.31474</v>
      </c>
      <c r="G359" s="258">
        <f>G360</f>
        <v>2.4073199999999999</v>
      </c>
      <c r="H359" s="258">
        <f>H360</f>
        <v>2.5036200000000002</v>
      </c>
    </row>
    <row r="360" spans="1:8" ht="33.75" customHeight="1" x14ac:dyDescent="0.25">
      <c r="A360" s="261" t="s">
        <v>702</v>
      </c>
      <c r="B360" s="262" t="s">
        <v>718</v>
      </c>
      <c r="C360" s="262" t="s">
        <v>718</v>
      </c>
      <c r="D360" s="262" t="s">
        <v>6</v>
      </c>
      <c r="E360" s="262" t="s">
        <v>223</v>
      </c>
      <c r="F360" s="263">
        <f>F367</f>
        <v>2.31474</v>
      </c>
      <c r="G360" s="263">
        <f>G367</f>
        <v>2.4073199999999999</v>
      </c>
      <c r="H360" s="263">
        <f>H367</f>
        <v>2.5036200000000002</v>
      </c>
    </row>
    <row r="361" spans="1:8" s="266" customFormat="1" ht="48" hidden="1" customHeight="1" x14ac:dyDescent="0.3">
      <c r="A361" s="264" t="s">
        <v>110</v>
      </c>
      <c r="B361" s="13" t="s">
        <v>718</v>
      </c>
      <c r="C361" s="13" t="s">
        <v>718</v>
      </c>
      <c r="D361" s="13" t="s">
        <v>9</v>
      </c>
      <c r="E361" s="13" t="s">
        <v>223</v>
      </c>
      <c r="F361" s="265">
        <f>F362</f>
        <v>0</v>
      </c>
      <c r="G361" s="265">
        <f>G362</f>
        <v>0</v>
      </c>
      <c r="H361" s="265">
        <f>H362</f>
        <v>0</v>
      </c>
    </row>
    <row r="362" spans="1:8" ht="48" hidden="1" customHeight="1" x14ac:dyDescent="0.25">
      <c r="A362" s="261" t="s">
        <v>815</v>
      </c>
      <c r="B362" s="262" t="s">
        <v>718</v>
      </c>
      <c r="C362" s="262" t="s">
        <v>718</v>
      </c>
      <c r="D362" s="262" t="s">
        <v>9</v>
      </c>
      <c r="E362" s="262" t="s">
        <v>223</v>
      </c>
      <c r="F362" s="263">
        <f>F363+F365</f>
        <v>0</v>
      </c>
      <c r="G362" s="263">
        <f>G363+G365</f>
        <v>0</v>
      </c>
      <c r="H362" s="263">
        <f>H363+H365</f>
        <v>0</v>
      </c>
    </row>
    <row r="363" spans="1:8" ht="96.75" hidden="1" customHeight="1" x14ac:dyDescent="0.25">
      <c r="A363" s="261" t="s">
        <v>703</v>
      </c>
      <c r="B363" s="262" t="s">
        <v>718</v>
      </c>
      <c r="C363" s="262" t="s">
        <v>718</v>
      </c>
      <c r="D363" s="262" t="s">
        <v>9</v>
      </c>
      <c r="E363" s="262" t="s">
        <v>704</v>
      </c>
      <c r="F363" s="263">
        <f>F364</f>
        <v>0</v>
      </c>
      <c r="G363" s="263">
        <f>G364</f>
        <v>0</v>
      </c>
      <c r="H363" s="263">
        <f>H364</f>
        <v>0</v>
      </c>
    </row>
    <row r="364" spans="1:8" ht="34.5" hidden="1" customHeight="1" x14ac:dyDescent="0.25">
      <c r="A364" s="278" t="s">
        <v>705</v>
      </c>
      <c r="B364" s="262" t="s">
        <v>718</v>
      </c>
      <c r="C364" s="262" t="s">
        <v>718</v>
      </c>
      <c r="D364" s="262" t="s">
        <v>9</v>
      </c>
      <c r="E364" s="262" t="s">
        <v>706</v>
      </c>
      <c r="F364" s="263">
        <v>0</v>
      </c>
      <c r="G364" s="263">
        <v>0</v>
      </c>
      <c r="H364" s="263">
        <v>0</v>
      </c>
    </row>
    <row r="365" spans="1:8" ht="32.25" hidden="1" customHeight="1" x14ac:dyDescent="0.25">
      <c r="A365" s="261" t="s">
        <v>709</v>
      </c>
      <c r="B365" s="262" t="s">
        <v>718</v>
      </c>
      <c r="C365" s="262" t="s">
        <v>718</v>
      </c>
      <c r="D365" s="262" t="s">
        <v>9</v>
      </c>
      <c r="E365" s="262" t="s">
        <v>710</v>
      </c>
      <c r="F365" s="263">
        <f>F366</f>
        <v>0</v>
      </c>
      <c r="G365" s="263">
        <f>G366</f>
        <v>0</v>
      </c>
      <c r="H365" s="263">
        <f>H366</f>
        <v>0</v>
      </c>
    </row>
    <row r="366" spans="1:8" ht="50.25" hidden="1" customHeight="1" x14ac:dyDescent="0.25">
      <c r="A366" s="278" t="s">
        <v>711</v>
      </c>
      <c r="B366" s="262" t="s">
        <v>718</v>
      </c>
      <c r="C366" s="262" t="s">
        <v>718</v>
      </c>
      <c r="D366" s="262" t="s">
        <v>9</v>
      </c>
      <c r="E366" s="262" t="s">
        <v>712</v>
      </c>
      <c r="F366" s="263">
        <v>0</v>
      </c>
      <c r="G366" s="263">
        <v>0</v>
      </c>
      <c r="H366" s="263">
        <v>0</v>
      </c>
    </row>
    <row r="367" spans="1:8" s="266" customFormat="1" ht="78" customHeight="1" x14ac:dyDescent="0.3">
      <c r="A367" s="285" t="s">
        <v>816</v>
      </c>
      <c r="B367" s="13" t="s">
        <v>718</v>
      </c>
      <c r="C367" s="13" t="s">
        <v>718</v>
      </c>
      <c r="D367" s="13" t="s">
        <v>20</v>
      </c>
      <c r="E367" s="13" t="s">
        <v>223</v>
      </c>
      <c r="F367" s="265">
        <f>F368+F370</f>
        <v>2.31474</v>
      </c>
      <c r="G367" s="265">
        <f>G368+G370</f>
        <v>2.4073199999999999</v>
      </c>
      <c r="H367" s="265">
        <f>H368+H370</f>
        <v>2.5036200000000002</v>
      </c>
    </row>
    <row r="368" spans="1:8" ht="95.1" customHeight="1" x14ac:dyDescent="0.25">
      <c r="A368" s="278" t="s">
        <v>817</v>
      </c>
      <c r="B368" s="262" t="s">
        <v>718</v>
      </c>
      <c r="C368" s="262" t="s">
        <v>718</v>
      </c>
      <c r="D368" s="262" t="s">
        <v>20</v>
      </c>
      <c r="E368" s="262" t="s">
        <v>704</v>
      </c>
      <c r="F368" s="263">
        <f>F369</f>
        <v>2.31474</v>
      </c>
      <c r="G368" s="263">
        <f>G369</f>
        <v>2.4073199999999999</v>
      </c>
      <c r="H368" s="263">
        <f>H369</f>
        <v>2.5036200000000002</v>
      </c>
    </row>
    <row r="369" spans="1:11" ht="34.5" customHeight="1" x14ac:dyDescent="0.25">
      <c r="A369" s="278" t="s">
        <v>705</v>
      </c>
      <c r="B369" s="262" t="s">
        <v>718</v>
      </c>
      <c r="C369" s="262" t="s">
        <v>718</v>
      </c>
      <c r="D369" s="262" t="s">
        <v>20</v>
      </c>
      <c r="E369" s="262" t="s">
        <v>706</v>
      </c>
      <c r="F369" s="485">
        <f>'5'!D310</f>
        <v>2.31474</v>
      </c>
      <c r="G369" s="485">
        <f>'5'!E310</f>
        <v>2.4073199999999999</v>
      </c>
      <c r="H369" s="485">
        <f>'5'!F310</f>
        <v>2.5036200000000002</v>
      </c>
    </row>
    <row r="370" spans="1:11" ht="34.5" hidden="1" customHeight="1" x14ac:dyDescent="0.25">
      <c r="A370" s="278" t="s">
        <v>709</v>
      </c>
      <c r="B370" s="262" t="s">
        <v>718</v>
      </c>
      <c r="C370" s="262" t="s">
        <v>718</v>
      </c>
      <c r="D370" s="262" t="s">
        <v>20</v>
      </c>
      <c r="E370" s="262" t="s">
        <v>710</v>
      </c>
      <c r="F370" s="263">
        <f>F371</f>
        <v>0</v>
      </c>
      <c r="G370" s="263">
        <f>G371</f>
        <v>0</v>
      </c>
      <c r="H370" s="263">
        <f>H371</f>
        <v>0</v>
      </c>
      <c r="I370" s="268">
        <f>I379-F379</f>
        <v>-645753.07233999996</v>
      </c>
      <c r="J370" s="268">
        <f>J379-G379</f>
        <v>-552319.05665000004</v>
      </c>
      <c r="K370" s="268">
        <f>K379-H379</f>
        <v>-556076.17182000005</v>
      </c>
    </row>
    <row r="371" spans="1:11" ht="51" hidden="1" customHeight="1" x14ac:dyDescent="0.25">
      <c r="A371" s="278" t="s">
        <v>711</v>
      </c>
      <c r="B371" s="262" t="s">
        <v>718</v>
      </c>
      <c r="C371" s="262" t="s">
        <v>718</v>
      </c>
      <c r="D371" s="262" t="s">
        <v>20</v>
      </c>
      <c r="E371" s="262" t="s">
        <v>712</v>
      </c>
      <c r="F371" s="263"/>
      <c r="G371" s="263"/>
      <c r="H371" s="263"/>
    </row>
    <row r="372" spans="1:11" ht="25.2" customHeight="1" x14ac:dyDescent="0.25">
      <c r="A372" s="252" t="s">
        <v>818</v>
      </c>
      <c r="B372" s="253" t="s">
        <v>720</v>
      </c>
      <c r="C372" s="253" t="s">
        <v>109</v>
      </c>
      <c r="D372" s="253" t="s">
        <v>699</v>
      </c>
      <c r="E372" s="253" t="s">
        <v>223</v>
      </c>
      <c r="F372" s="254">
        <f t="shared" ref="F372:H377" si="75">F373</f>
        <v>940</v>
      </c>
      <c r="G372" s="254">
        <f t="shared" si="75"/>
        <v>940</v>
      </c>
      <c r="H372" s="254">
        <f t="shared" si="75"/>
        <v>940</v>
      </c>
    </row>
    <row r="373" spans="1:11" ht="43.2" customHeight="1" x14ac:dyDescent="0.25">
      <c r="A373" s="256" t="s">
        <v>819</v>
      </c>
      <c r="B373" s="257" t="s">
        <v>720</v>
      </c>
      <c r="C373" s="257" t="s">
        <v>718</v>
      </c>
      <c r="D373" s="257" t="s">
        <v>699</v>
      </c>
      <c r="E373" s="257" t="s">
        <v>223</v>
      </c>
      <c r="F373" s="258">
        <f t="shared" si="75"/>
        <v>940</v>
      </c>
      <c r="G373" s="258">
        <f t="shared" si="75"/>
        <v>940</v>
      </c>
      <c r="H373" s="258">
        <f t="shared" si="75"/>
        <v>940</v>
      </c>
    </row>
    <row r="374" spans="1:11" ht="36.6" customHeight="1" x14ac:dyDescent="0.25">
      <c r="A374" s="294" t="s">
        <v>702</v>
      </c>
      <c r="B374" s="269" t="s">
        <v>720</v>
      </c>
      <c r="C374" s="269" t="s">
        <v>718</v>
      </c>
      <c r="D374" s="269" t="s">
        <v>5</v>
      </c>
      <c r="E374" s="269" t="s">
        <v>223</v>
      </c>
      <c r="F374" s="485">
        <f t="shared" si="75"/>
        <v>940</v>
      </c>
      <c r="G374" s="485">
        <f t="shared" si="75"/>
        <v>940</v>
      </c>
      <c r="H374" s="485">
        <f t="shared" si="75"/>
        <v>940</v>
      </c>
    </row>
    <row r="375" spans="1:11" ht="50.4" customHeight="1" x14ac:dyDescent="0.25">
      <c r="A375" s="293" t="s">
        <v>110</v>
      </c>
      <c r="B375" s="269" t="s">
        <v>720</v>
      </c>
      <c r="C375" s="269" t="s">
        <v>718</v>
      </c>
      <c r="D375" s="269" t="s">
        <v>6</v>
      </c>
      <c r="E375" s="269" t="s">
        <v>223</v>
      </c>
      <c r="F375" s="485">
        <f t="shared" si="75"/>
        <v>940</v>
      </c>
      <c r="G375" s="485">
        <f t="shared" si="75"/>
        <v>940</v>
      </c>
      <c r="H375" s="485">
        <f t="shared" si="75"/>
        <v>940</v>
      </c>
    </row>
    <row r="376" spans="1:11" ht="35.4" customHeight="1" x14ac:dyDescent="0.25">
      <c r="A376" s="293" t="s">
        <v>820</v>
      </c>
      <c r="B376" s="269" t="s">
        <v>720</v>
      </c>
      <c r="C376" s="269" t="s">
        <v>718</v>
      </c>
      <c r="D376" s="269" t="s">
        <v>593</v>
      </c>
      <c r="E376" s="269" t="s">
        <v>223</v>
      </c>
      <c r="F376" s="485">
        <f t="shared" si="75"/>
        <v>940</v>
      </c>
      <c r="G376" s="485">
        <f t="shared" si="75"/>
        <v>940</v>
      </c>
      <c r="H376" s="485">
        <f t="shared" si="75"/>
        <v>940</v>
      </c>
    </row>
    <row r="377" spans="1:11" ht="33" customHeight="1" x14ac:dyDescent="0.25">
      <c r="A377" s="293" t="s">
        <v>709</v>
      </c>
      <c r="B377" s="269" t="s">
        <v>720</v>
      </c>
      <c r="C377" s="269" t="s">
        <v>718</v>
      </c>
      <c r="D377" s="269" t="s">
        <v>593</v>
      </c>
      <c r="E377" s="269" t="s">
        <v>710</v>
      </c>
      <c r="F377" s="485">
        <f t="shared" si="75"/>
        <v>940</v>
      </c>
      <c r="G377" s="485">
        <f t="shared" si="75"/>
        <v>940</v>
      </c>
      <c r="H377" s="485">
        <f t="shared" si="75"/>
        <v>940</v>
      </c>
    </row>
    <row r="378" spans="1:11" ht="48.6" customHeight="1" x14ac:dyDescent="0.25">
      <c r="A378" s="294" t="s">
        <v>711</v>
      </c>
      <c r="B378" s="269" t="s">
        <v>720</v>
      </c>
      <c r="C378" s="269" t="s">
        <v>718</v>
      </c>
      <c r="D378" s="269" t="s">
        <v>593</v>
      </c>
      <c r="E378" s="269" t="s">
        <v>712</v>
      </c>
      <c r="F378" s="485">
        <f>'5'!D298</f>
        <v>940</v>
      </c>
      <c r="G378" s="485">
        <f>'5'!E298</f>
        <v>940</v>
      </c>
      <c r="H378" s="485">
        <f>'5'!F298</f>
        <v>940</v>
      </c>
    </row>
    <row r="379" spans="1:11" s="283" customFormat="1" ht="20.25" customHeight="1" x14ac:dyDescent="0.3">
      <c r="A379" s="252" t="s">
        <v>821</v>
      </c>
      <c r="B379" s="253" t="s">
        <v>212</v>
      </c>
      <c r="C379" s="253" t="s">
        <v>109</v>
      </c>
      <c r="D379" s="253" t="s">
        <v>699</v>
      </c>
      <c r="E379" s="253" t="s">
        <v>223</v>
      </c>
      <c r="F379" s="254">
        <f>F380+F409+F491+F540+F557+F575</f>
        <v>645753.07233999996</v>
      </c>
      <c r="G379" s="254">
        <f>G380+G409+G491+G540+G557+G575</f>
        <v>552319.05665000004</v>
      </c>
      <c r="H379" s="254">
        <f>H380+H409+H491+H540+H557+H575</f>
        <v>556076.17182000005</v>
      </c>
    </row>
    <row r="380" spans="1:11" ht="18.75" customHeight="1" x14ac:dyDescent="0.25">
      <c r="A380" s="256" t="s">
        <v>822</v>
      </c>
      <c r="B380" s="257" t="s">
        <v>212</v>
      </c>
      <c r="C380" s="257" t="s">
        <v>108</v>
      </c>
      <c r="D380" s="257" t="s">
        <v>699</v>
      </c>
      <c r="E380" s="257" t="s">
        <v>223</v>
      </c>
      <c r="F380" s="258">
        <f>F381+F391+F400+F404+F397</f>
        <v>97107.775999999998</v>
      </c>
      <c r="G380" s="258">
        <f t="shared" ref="G380:H380" si="76">G381+G391+G400+G404+G397</f>
        <v>90612.01999999999</v>
      </c>
      <c r="H380" s="258">
        <f t="shared" si="76"/>
        <v>93821.40400000001</v>
      </c>
      <c r="I380" s="268"/>
    </row>
    <row r="381" spans="1:11" s="266" customFormat="1" ht="49.5" customHeight="1" x14ac:dyDescent="0.3">
      <c r="A381" s="264" t="s">
        <v>757</v>
      </c>
      <c r="B381" s="13" t="s">
        <v>212</v>
      </c>
      <c r="C381" s="13" t="s">
        <v>108</v>
      </c>
      <c r="D381" s="13" t="s">
        <v>22</v>
      </c>
      <c r="E381" s="13" t="s">
        <v>223</v>
      </c>
      <c r="F381" s="265">
        <f>F382</f>
        <v>45143.356</v>
      </c>
      <c r="G381" s="265">
        <f t="shared" ref="G381:H381" si="77">G382</f>
        <v>35488.356</v>
      </c>
      <c r="H381" s="265">
        <f t="shared" si="77"/>
        <v>35488.356</v>
      </c>
      <c r="I381" s="309"/>
      <c r="J381" s="309"/>
      <c r="K381" s="309"/>
    </row>
    <row r="382" spans="1:11" ht="48" customHeight="1" x14ac:dyDescent="0.25">
      <c r="A382" s="298" t="s">
        <v>823</v>
      </c>
      <c r="B382" s="262" t="s">
        <v>212</v>
      </c>
      <c r="C382" s="262" t="s">
        <v>108</v>
      </c>
      <c r="D382" s="262" t="s">
        <v>31</v>
      </c>
      <c r="E382" s="262" t="s">
        <v>223</v>
      </c>
      <c r="F382" s="263">
        <f>F383+F385+F388</f>
        <v>45143.356</v>
      </c>
      <c r="G382" s="263">
        <f t="shared" ref="G382:H382" si="78">G383+G385+G388</f>
        <v>35488.356</v>
      </c>
      <c r="H382" s="263">
        <f t="shared" si="78"/>
        <v>35488.356</v>
      </c>
    </row>
    <row r="383" spans="1:11" ht="50.25" customHeight="1" x14ac:dyDescent="0.25">
      <c r="A383" s="261" t="s">
        <v>748</v>
      </c>
      <c r="B383" s="262" t="s">
        <v>212</v>
      </c>
      <c r="C383" s="262" t="s">
        <v>108</v>
      </c>
      <c r="D383" s="262" t="s">
        <v>824</v>
      </c>
      <c r="E383" s="262" t="s">
        <v>747</v>
      </c>
      <c r="F383" s="263">
        <f>F384</f>
        <v>150</v>
      </c>
      <c r="G383" s="263">
        <f>G384</f>
        <v>200</v>
      </c>
      <c r="H383" s="263">
        <f>H384</f>
        <v>200</v>
      </c>
    </row>
    <row r="384" spans="1:11" ht="19.5" customHeight="1" x14ac:dyDescent="0.25">
      <c r="A384" s="261" t="s">
        <v>124</v>
      </c>
      <c r="B384" s="262" t="s">
        <v>212</v>
      </c>
      <c r="C384" s="262" t="s">
        <v>108</v>
      </c>
      <c r="D384" s="262" t="s">
        <v>32</v>
      </c>
      <c r="E384" s="262" t="s">
        <v>165</v>
      </c>
      <c r="F384" s="485">
        <f>'5'!D57</f>
        <v>150</v>
      </c>
      <c r="G384" s="485">
        <f>'5'!E57</f>
        <v>200</v>
      </c>
      <c r="H384" s="485">
        <f>'5'!F57</f>
        <v>200</v>
      </c>
    </row>
    <row r="385" spans="1:8" ht="96" customHeight="1" x14ac:dyDescent="0.25">
      <c r="A385" s="261" t="s">
        <v>825</v>
      </c>
      <c r="B385" s="262" t="s">
        <v>212</v>
      </c>
      <c r="C385" s="262" t="s">
        <v>108</v>
      </c>
      <c r="D385" s="262" t="s">
        <v>824</v>
      </c>
      <c r="E385" s="262" t="s">
        <v>223</v>
      </c>
      <c r="F385" s="542">
        <f t="shared" ref="F385:H386" si="79">F386</f>
        <v>44688.356</v>
      </c>
      <c r="G385" s="263">
        <f t="shared" si="79"/>
        <v>35288.356</v>
      </c>
      <c r="H385" s="263">
        <f t="shared" si="79"/>
        <v>35288.356</v>
      </c>
    </row>
    <row r="386" spans="1:8" ht="48" customHeight="1" x14ac:dyDescent="0.25">
      <c r="A386" s="261" t="s">
        <v>748</v>
      </c>
      <c r="B386" s="262" t="s">
        <v>212</v>
      </c>
      <c r="C386" s="262" t="s">
        <v>108</v>
      </c>
      <c r="D386" s="262" t="s">
        <v>33</v>
      </c>
      <c r="E386" s="262" t="s">
        <v>747</v>
      </c>
      <c r="F386" s="542">
        <f t="shared" si="79"/>
        <v>44688.356</v>
      </c>
      <c r="G386" s="263">
        <f t="shared" si="79"/>
        <v>35288.356</v>
      </c>
      <c r="H386" s="263">
        <f t="shared" si="79"/>
        <v>35288.356</v>
      </c>
    </row>
    <row r="387" spans="1:8" ht="15.75" customHeight="1" x14ac:dyDescent="0.25">
      <c r="A387" s="261" t="s">
        <v>124</v>
      </c>
      <c r="B387" s="262" t="s">
        <v>212</v>
      </c>
      <c r="C387" s="262" t="s">
        <v>108</v>
      </c>
      <c r="D387" s="262" t="s">
        <v>33</v>
      </c>
      <c r="E387" s="262" t="s">
        <v>165</v>
      </c>
      <c r="F387" s="542">
        <f>'5'!D61+'5'!D62</f>
        <v>44688.356</v>
      </c>
      <c r="G387" s="485">
        <f>'5'!E61</f>
        <v>35288.356</v>
      </c>
      <c r="H387" s="485">
        <f>'5'!F61</f>
        <v>35288.356</v>
      </c>
    </row>
    <row r="388" spans="1:8" ht="49.95" customHeight="1" x14ac:dyDescent="0.25">
      <c r="A388" s="293" t="s">
        <v>826</v>
      </c>
      <c r="B388" s="269" t="s">
        <v>212</v>
      </c>
      <c r="C388" s="269" t="s">
        <v>108</v>
      </c>
      <c r="D388" s="269" t="s">
        <v>439</v>
      </c>
      <c r="E388" s="269" t="s">
        <v>223</v>
      </c>
      <c r="F388" s="542">
        <f t="shared" ref="F388:H389" si="80">F389</f>
        <v>305</v>
      </c>
      <c r="G388" s="485">
        <f t="shared" si="80"/>
        <v>0</v>
      </c>
      <c r="H388" s="485">
        <f t="shared" si="80"/>
        <v>0</v>
      </c>
    </row>
    <row r="389" spans="1:8" ht="52.95" customHeight="1" x14ac:dyDescent="0.25">
      <c r="A389" s="293" t="s">
        <v>748</v>
      </c>
      <c r="B389" s="269" t="s">
        <v>212</v>
      </c>
      <c r="C389" s="269" t="s">
        <v>108</v>
      </c>
      <c r="D389" s="269" t="s">
        <v>439</v>
      </c>
      <c r="E389" s="269" t="s">
        <v>747</v>
      </c>
      <c r="F389" s="542">
        <f t="shared" si="80"/>
        <v>305</v>
      </c>
      <c r="G389" s="485">
        <f t="shared" si="80"/>
        <v>0</v>
      </c>
      <c r="H389" s="485">
        <f t="shared" si="80"/>
        <v>0</v>
      </c>
    </row>
    <row r="390" spans="1:8" ht="24.6" customHeight="1" x14ac:dyDescent="0.25">
      <c r="A390" s="293" t="s">
        <v>116</v>
      </c>
      <c r="B390" s="269" t="s">
        <v>212</v>
      </c>
      <c r="C390" s="269" t="s">
        <v>108</v>
      </c>
      <c r="D390" s="269" t="s">
        <v>439</v>
      </c>
      <c r="E390" s="269" t="s">
        <v>165</v>
      </c>
      <c r="F390" s="542">
        <f>'5'!D59</f>
        <v>305</v>
      </c>
      <c r="G390" s="485">
        <f>'5'!E59</f>
        <v>0</v>
      </c>
      <c r="H390" s="485">
        <f>'5'!F59</f>
        <v>0</v>
      </c>
    </row>
    <row r="391" spans="1:8" ht="35.25" hidden="1" customHeight="1" x14ac:dyDescent="0.25">
      <c r="A391" s="17" t="s">
        <v>827</v>
      </c>
      <c r="B391" s="272" t="s">
        <v>212</v>
      </c>
      <c r="C391" s="272" t="s">
        <v>108</v>
      </c>
      <c r="D391" s="272" t="s">
        <v>699</v>
      </c>
      <c r="E391" s="272" t="s">
        <v>223</v>
      </c>
      <c r="F391" s="296">
        <f>F392</f>
        <v>0</v>
      </c>
      <c r="G391" s="273">
        <f t="shared" ref="F391:H393" si="81">G392</f>
        <v>0</v>
      </c>
      <c r="H391" s="273">
        <f t="shared" si="81"/>
        <v>0</v>
      </c>
    </row>
    <row r="392" spans="1:8" ht="30" hidden="1" customHeight="1" x14ac:dyDescent="0.25">
      <c r="A392" s="261" t="s">
        <v>828</v>
      </c>
      <c r="B392" s="262" t="s">
        <v>212</v>
      </c>
      <c r="C392" s="262" t="s">
        <v>108</v>
      </c>
      <c r="D392" s="262" t="s">
        <v>321</v>
      </c>
      <c r="E392" s="262" t="s">
        <v>223</v>
      </c>
      <c r="F392" s="542">
        <f t="shared" si="81"/>
        <v>0</v>
      </c>
      <c r="G392" s="263">
        <f t="shared" si="81"/>
        <v>0</v>
      </c>
      <c r="H392" s="263">
        <f t="shared" si="81"/>
        <v>0</v>
      </c>
    </row>
    <row r="393" spans="1:8" ht="51" hidden="1" customHeight="1" x14ac:dyDescent="0.25">
      <c r="A393" s="261" t="s">
        <v>748</v>
      </c>
      <c r="B393" s="262" t="s">
        <v>212</v>
      </c>
      <c r="C393" s="262" t="s">
        <v>108</v>
      </c>
      <c r="D393" s="262" t="s">
        <v>321</v>
      </c>
      <c r="E393" s="262" t="s">
        <v>747</v>
      </c>
      <c r="F393" s="542">
        <f t="shared" si="81"/>
        <v>0</v>
      </c>
      <c r="G393" s="263">
        <f t="shared" si="81"/>
        <v>0</v>
      </c>
      <c r="H393" s="263">
        <f t="shared" si="81"/>
        <v>0</v>
      </c>
    </row>
    <row r="394" spans="1:8" ht="22.5" hidden="1" customHeight="1" x14ac:dyDescent="0.25">
      <c r="A394" s="261" t="s">
        <v>124</v>
      </c>
      <c r="B394" s="262" t="s">
        <v>212</v>
      </c>
      <c r="C394" s="262" t="s">
        <v>108</v>
      </c>
      <c r="D394" s="262" t="s">
        <v>321</v>
      </c>
      <c r="E394" s="262" t="s">
        <v>165</v>
      </c>
      <c r="F394" s="542"/>
      <c r="G394" s="263"/>
      <c r="H394" s="263"/>
    </row>
    <row r="395" spans="1:8" ht="46.5" customHeight="1" x14ac:dyDescent="0.25">
      <c r="A395" s="264" t="s">
        <v>757</v>
      </c>
      <c r="B395" s="13" t="s">
        <v>212</v>
      </c>
      <c r="C395" s="13" t="s">
        <v>108</v>
      </c>
      <c r="D395" s="13" t="s">
        <v>22</v>
      </c>
      <c r="E395" s="13" t="s">
        <v>223</v>
      </c>
      <c r="F395" s="267">
        <f>F396</f>
        <v>51964.42</v>
      </c>
      <c r="G395" s="265">
        <f t="shared" ref="G395:H395" si="82">G396</f>
        <v>55123.663999999997</v>
      </c>
      <c r="H395" s="265">
        <f t="shared" si="82"/>
        <v>58333.048000000003</v>
      </c>
    </row>
    <row r="396" spans="1:8" ht="54.75" customHeight="1" x14ac:dyDescent="0.25">
      <c r="A396" s="298" t="s">
        <v>823</v>
      </c>
      <c r="B396" s="262" t="s">
        <v>212</v>
      </c>
      <c r="C396" s="262" t="s">
        <v>108</v>
      </c>
      <c r="D396" s="262" t="s">
        <v>31</v>
      </c>
      <c r="E396" s="262" t="s">
        <v>223</v>
      </c>
      <c r="F396" s="263">
        <f>F397</f>
        <v>51964.42</v>
      </c>
      <c r="G396" s="263">
        <f t="shared" ref="G396:H398" si="83">G397</f>
        <v>55123.663999999997</v>
      </c>
      <c r="H396" s="263">
        <f t="shared" si="83"/>
        <v>58333.048000000003</v>
      </c>
    </row>
    <row r="397" spans="1:8" s="266" customFormat="1" ht="81" customHeight="1" x14ac:dyDescent="0.3">
      <c r="A397" s="264" t="s">
        <v>829</v>
      </c>
      <c r="B397" s="13" t="s">
        <v>212</v>
      </c>
      <c r="C397" s="310" t="s">
        <v>108</v>
      </c>
      <c r="D397" s="13" t="s">
        <v>34</v>
      </c>
      <c r="E397" s="13" t="s">
        <v>223</v>
      </c>
      <c r="F397" s="265">
        <f>F398</f>
        <v>51964.42</v>
      </c>
      <c r="G397" s="265">
        <f t="shared" si="83"/>
        <v>55123.663999999997</v>
      </c>
      <c r="H397" s="265">
        <f t="shared" si="83"/>
        <v>58333.048000000003</v>
      </c>
    </row>
    <row r="398" spans="1:8" ht="51" customHeight="1" x14ac:dyDescent="0.25">
      <c r="A398" s="261" t="s">
        <v>748</v>
      </c>
      <c r="B398" s="262" t="s">
        <v>212</v>
      </c>
      <c r="C398" s="262" t="s">
        <v>108</v>
      </c>
      <c r="D398" s="262" t="s">
        <v>34</v>
      </c>
      <c r="E398" s="262" t="s">
        <v>747</v>
      </c>
      <c r="F398" s="263">
        <f>F399</f>
        <v>51964.42</v>
      </c>
      <c r="G398" s="263">
        <f t="shared" si="83"/>
        <v>55123.663999999997</v>
      </c>
      <c r="H398" s="263">
        <f t="shared" si="83"/>
        <v>58333.048000000003</v>
      </c>
    </row>
    <row r="399" spans="1:8" ht="18.75" customHeight="1" x14ac:dyDescent="0.25">
      <c r="A399" s="261" t="s">
        <v>124</v>
      </c>
      <c r="B399" s="262" t="s">
        <v>212</v>
      </c>
      <c r="C399" s="262" t="s">
        <v>108</v>
      </c>
      <c r="D399" s="262" t="s">
        <v>34</v>
      </c>
      <c r="E399" s="262" t="s">
        <v>165</v>
      </c>
      <c r="F399" s="485">
        <f>'5'!D63</f>
        <v>51964.42</v>
      </c>
      <c r="G399" s="485">
        <f>'5'!E63</f>
        <v>55123.663999999997</v>
      </c>
      <c r="H399" s="485">
        <f>'5'!F63</f>
        <v>58333.048000000003</v>
      </c>
    </row>
    <row r="400" spans="1:8" ht="53.25" hidden="1" customHeight="1" x14ac:dyDescent="0.25">
      <c r="A400" s="261" t="s">
        <v>830</v>
      </c>
      <c r="B400" s="262" t="s">
        <v>212</v>
      </c>
      <c r="C400" s="262" t="s">
        <v>108</v>
      </c>
      <c r="D400" s="262" t="s">
        <v>6</v>
      </c>
      <c r="E400" s="262" t="s">
        <v>223</v>
      </c>
      <c r="F400" s="263">
        <f>F401</f>
        <v>0</v>
      </c>
      <c r="G400" s="263">
        <f>G401</f>
        <v>0</v>
      </c>
      <c r="H400" s="263">
        <f>H401</f>
        <v>0</v>
      </c>
    </row>
    <row r="401" spans="1:11" ht="61.5" hidden="1" customHeight="1" x14ac:dyDescent="0.25">
      <c r="A401" s="261" t="s">
        <v>831</v>
      </c>
      <c r="B401" s="262" t="s">
        <v>212</v>
      </c>
      <c r="C401" s="262" t="s">
        <v>108</v>
      </c>
      <c r="D401" s="262" t="s">
        <v>6</v>
      </c>
      <c r="E401" s="262" t="s">
        <v>747</v>
      </c>
      <c r="F401" s="263">
        <f>F403</f>
        <v>0</v>
      </c>
      <c r="G401" s="263">
        <f>G403</f>
        <v>0</v>
      </c>
      <c r="H401" s="263">
        <f>H403</f>
        <v>0</v>
      </c>
    </row>
    <row r="402" spans="1:11" ht="27.75" hidden="1" customHeight="1" x14ac:dyDescent="0.25">
      <c r="A402" s="261" t="s">
        <v>748</v>
      </c>
      <c r="B402" s="262" t="s">
        <v>212</v>
      </c>
      <c r="C402" s="262" t="s">
        <v>108</v>
      </c>
      <c r="D402" s="262" t="s">
        <v>6</v>
      </c>
      <c r="E402" s="262" t="s">
        <v>747</v>
      </c>
      <c r="F402" s="263"/>
      <c r="G402" s="263"/>
      <c r="H402" s="263"/>
    </row>
    <row r="403" spans="1:11" ht="18.75" hidden="1" customHeight="1" x14ac:dyDescent="0.25">
      <c r="A403" s="261" t="s">
        <v>124</v>
      </c>
      <c r="B403" s="262" t="s">
        <v>212</v>
      </c>
      <c r="C403" s="262" t="s">
        <v>108</v>
      </c>
      <c r="D403" s="262" t="s">
        <v>6</v>
      </c>
      <c r="E403" s="262" t="s">
        <v>165</v>
      </c>
      <c r="F403" s="263">
        <f t="shared" ref="F403:H407" si="84">F404</f>
        <v>0</v>
      </c>
      <c r="G403" s="263">
        <f t="shared" si="84"/>
        <v>0</v>
      </c>
      <c r="H403" s="263">
        <f t="shared" si="84"/>
        <v>0</v>
      </c>
    </row>
    <row r="404" spans="1:11" ht="37.200000000000003" hidden="1" customHeight="1" x14ac:dyDescent="0.25">
      <c r="A404" s="261" t="s">
        <v>702</v>
      </c>
      <c r="B404" s="262" t="s">
        <v>212</v>
      </c>
      <c r="C404" s="262" t="s">
        <v>108</v>
      </c>
      <c r="D404" s="262" t="s">
        <v>5</v>
      </c>
      <c r="E404" s="262" t="s">
        <v>223</v>
      </c>
      <c r="F404" s="263">
        <f t="shared" si="84"/>
        <v>0</v>
      </c>
      <c r="G404" s="263">
        <f t="shared" si="84"/>
        <v>0</v>
      </c>
      <c r="H404" s="263">
        <f t="shared" si="84"/>
        <v>0</v>
      </c>
    </row>
    <row r="405" spans="1:11" ht="31.2" hidden="1" customHeight="1" x14ac:dyDescent="0.25">
      <c r="A405" s="261" t="s">
        <v>110</v>
      </c>
      <c r="B405" s="262" t="s">
        <v>212</v>
      </c>
      <c r="C405" s="262" t="s">
        <v>108</v>
      </c>
      <c r="D405" s="262" t="s">
        <v>6</v>
      </c>
      <c r="E405" s="262" t="s">
        <v>223</v>
      </c>
      <c r="F405" s="263">
        <f t="shared" si="84"/>
        <v>0</v>
      </c>
      <c r="G405" s="263">
        <f t="shared" si="84"/>
        <v>0</v>
      </c>
      <c r="H405" s="263">
        <f t="shared" si="84"/>
        <v>0</v>
      </c>
    </row>
    <row r="406" spans="1:11" ht="37.200000000000003" hidden="1" customHeight="1" x14ac:dyDescent="0.25">
      <c r="A406" s="300" t="s">
        <v>350</v>
      </c>
      <c r="B406" s="262" t="s">
        <v>212</v>
      </c>
      <c r="C406" s="262" t="s">
        <v>108</v>
      </c>
      <c r="D406" s="262" t="s">
        <v>321</v>
      </c>
      <c r="E406" s="262" t="s">
        <v>223</v>
      </c>
      <c r="F406" s="263">
        <f t="shared" si="84"/>
        <v>0</v>
      </c>
      <c r="G406" s="263">
        <f t="shared" si="84"/>
        <v>0</v>
      </c>
      <c r="H406" s="263">
        <f t="shared" si="84"/>
        <v>0</v>
      </c>
    </row>
    <row r="407" spans="1:11" ht="30" hidden="1" customHeight="1" x14ac:dyDescent="0.25">
      <c r="A407" s="261" t="s">
        <v>748</v>
      </c>
      <c r="B407" s="262" t="s">
        <v>212</v>
      </c>
      <c r="C407" s="262" t="s">
        <v>108</v>
      </c>
      <c r="D407" s="262" t="s">
        <v>321</v>
      </c>
      <c r="E407" s="262" t="s">
        <v>747</v>
      </c>
      <c r="F407" s="263">
        <f t="shared" si="84"/>
        <v>0</v>
      </c>
      <c r="G407" s="263">
        <f t="shared" si="84"/>
        <v>0</v>
      </c>
      <c r="H407" s="263">
        <f t="shared" si="84"/>
        <v>0</v>
      </c>
    </row>
    <row r="408" spans="1:11" ht="18.75" hidden="1" customHeight="1" x14ac:dyDescent="0.25">
      <c r="A408" s="261" t="s">
        <v>124</v>
      </c>
      <c r="B408" s="262" t="s">
        <v>212</v>
      </c>
      <c r="C408" s="262" t="s">
        <v>108</v>
      </c>
      <c r="D408" s="262" t="s">
        <v>321</v>
      </c>
      <c r="E408" s="262" t="s">
        <v>165</v>
      </c>
      <c r="F408" s="263"/>
      <c r="G408" s="263"/>
      <c r="H408" s="263"/>
    </row>
    <row r="409" spans="1:11" s="281" customFormat="1" ht="17.25" customHeight="1" x14ac:dyDescent="0.3">
      <c r="A409" s="256" t="s">
        <v>832</v>
      </c>
      <c r="B409" s="257" t="s">
        <v>212</v>
      </c>
      <c r="C409" s="257" t="s">
        <v>701</v>
      </c>
      <c r="D409" s="257" t="s">
        <v>699</v>
      </c>
      <c r="E409" s="257" t="s">
        <v>223</v>
      </c>
      <c r="F409" s="258">
        <f>F410+F464+F474+F477</f>
        <v>436692.98659000004</v>
      </c>
      <c r="G409" s="258">
        <f t="shared" ref="G409:H409" si="85">G410+G464+G474+G477</f>
        <v>357725.46946000005</v>
      </c>
      <c r="H409" s="258">
        <f t="shared" si="85"/>
        <v>362575.96680999995</v>
      </c>
    </row>
    <row r="410" spans="1:11" s="266" customFormat="1" ht="48" customHeight="1" x14ac:dyDescent="0.3">
      <c r="A410" s="264" t="s">
        <v>757</v>
      </c>
      <c r="B410" s="13" t="s">
        <v>212</v>
      </c>
      <c r="C410" s="13" t="s">
        <v>701</v>
      </c>
      <c r="D410" s="13" t="s">
        <v>22</v>
      </c>
      <c r="E410" s="13" t="s">
        <v>223</v>
      </c>
      <c r="F410" s="265">
        <f>F411+F448+F480</f>
        <v>150550.35378999999</v>
      </c>
      <c r="G410" s="265">
        <f t="shared" ref="G410:H410" si="86">G411+G448+G480</f>
        <v>65756.172820000007</v>
      </c>
      <c r="H410" s="265">
        <f t="shared" si="86"/>
        <v>53753.117010000009</v>
      </c>
      <c r="I410" s="309"/>
      <c r="J410" s="309"/>
      <c r="K410" s="309"/>
    </row>
    <row r="411" spans="1:11" ht="41.4" customHeight="1" x14ac:dyDescent="0.25">
      <c r="A411" s="298" t="s">
        <v>833</v>
      </c>
      <c r="B411" s="262" t="s">
        <v>212</v>
      </c>
      <c r="C411" s="262" t="s">
        <v>701</v>
      </c>
      <c r="D411" s="262" t="s">
        <v>35</v>
      </c>
      <c r="E411" s="262" t="s">
        <v>223</v>
      </c>
      <c r="F411" s="263">
        <f>F412+F415+F427+F418+F421+F424+F430+F437</f>
        <v>130394.59379</v>
      </c>
      <c r="G411" s="263">
        <f t="shared" ref="G411:H411" si="87">G412+G415+G427+G418+G421+G424+G430+G437</f>
        <v>36503.372820000004</v>
      </c>
      <c r="H411" s="263">
        <f t="shared" si="87"/>
        <v>24847.117010000009</v>
      </c>
    </row>
    <row r="412" spans="1:11" ht="34.5" customHeight="1" x14ac:dyDescent="0.25">
      <c r="A412" s="261" t="s">
        <v>141</v>
      </c>
      <c r="B412" s="262" t="s">
        <v>212</v>
      </c>
      <c r="C412" s="262" t="s">
        <v>701</v>
      </c>
      <c r="D412" s="262" t="s">
        <v>36</v>
      </c>
      <c r="E412" s="262" t="s">
        <v>223</v>
      </c>
      <c r="F412" s="542">
        <f t="shared" ref="F412:H413" si="88">F413</f>
        <v>997.09400000000005</v>
      </c>
      <c r="G412" s="542">
        <f t="shared" si="88"/>
        <v>500</v>
      </c>
      <c r="H412" s="542">
        <f t="shared" si="88"/>
        <v>500</v>
      </c>
    </row>
    <row r="413" spans="1:11" ht="50.25" customHeight="1" x14ac:dyDescent="0.25">
      <c r="A413" s="261" t="s">
        <v>748</v>
      </c>
      <c r="B413" s="262" t="s">
        <v>212</v>
      </c>
      <c r="C413" s="262" t="s">
        <v>701</v>
      </c>
      <c r="D413" s="262" t="s">
        <v>37</v>
      </c>
      <c r="E413" s="262" t="s">
        <v>747</v>
      </c>
      <c r="F413" s="542">
        <f t="shared" si="88"/>
        <v>997.09400000000005</v>
      </c>
      <c r="G413" s="542">
        <f t="shared" si="88"/>
        <v>500</v>
      </c>
      <c r="H413" s="542">
        <f t="shared" si="88"/>
        <v>500</v>
      </c>
    </row>
    <row r="414" spans="1:11" ht="19.95" customHeight="1" x14ac:dyDescent="0.25">
      <c r="A414" s="261" t="s">
        <v>124</v>
      </c>
      <c r="B414" s="262" t="s">
        <v>212</v>
      </c>
      <c r="C414" s="262" t="s">
        <v>701</v>
      </c>
      <c r="D414" s="262" t="s">
        <v>37</v>
      </c>
      <c r="E414" s="262" t="s">
        <v>165</v>
      </c>
      <c r="F414" s="542">
        <f>'5'!D15</f>
        <v>997.09400000000005</v>
      </c>
      <c r="G414" s="542">
        <f>'5'!E15</f>
        <v>500</v>
      </c>
      <c r="H414" s="542">
        <f>'5'!F15</f>
        <v>500</v>
      </c>
    </row>
    <row r="415" spans="1:11" ht="95.4" customHeight="1" x14ac:dyDescent="0.25">
      <c r="A415" s="261" t="s">
        <v>834</v>
      </c>
      <c r="B415" s="262" t="s">
        <v>212</v>
      </c>
      <c r="C415" s="262" t="s">
        <v>701</v>
      </c>
      <c r="D415" s="262" t="s">
        <v>36</v>
      </c>
      <c r="E415" s="262" t="s">
        <v>223</v>
      </c>
      <c r="F415" s="542">
        <f t="shared" ref="F415:H416" si="89">F416</f>
        <v>119409.59075</v>
      </c>
      <c r="G415" s="542">
        <f t="shared" si="89"/>
        <v>36003.372820000004</v>
      </c>
      <c r="H415" s="542">
        <f t="shared" si="89"/>
        <v>24347.117010000009</v>
      </c>
    </row>
    <row r="416" spans="1:11" ht="49.5" customHeight="1" x14ac:dyDescent="0.25">
      <c r="A416" s="261" t="s">
        <v>748</v>
      </c>
      <c r="B416" s="262" t="s">
        <v>212</v>
      </c>
      <c r="C416" s="262" t="s">
        <v>701</v>
      </c>
      <c r="D416" s="262" t="s">
        <v>38</v>
      </c>
      <c r="E416" s="262" t="s">
        <v>747</v>
      </c>
      <c r="F416" s="542">
        <f t="shared" si="89"/>
        <v>119409.59075</v>
      </c>
      <c r="G416" s="542">
        <f t="shared" si="89"/>
        <v>36003.372820000004</v>
      </c>
      <c r="H416" s="542">
        <f t="shared" si="89"/>
        <v>24347.117010000009</v>
      </c>
    </row>
    <row r="417" spans="1:8" ht="19.5" customHeight="1" x14ac:dyDescent="0.25">
      <c r="A417" s="293" t="s">
        <v>124</v>
      </c>
      <c r="B417" s="269" t="s">
        <v>212</v>
      </c>
      <c r="C417" s="269" t="s">
        <v>701</v>
      </c>
      <c r="D417" s="269" t="s">
        <v>38</v>
      </c>
      <c r="E417" s="269" t="s">
        <v>165</v>
      </c>
      <c r="F417" s="542">
        <f>'5'!D47+'5'!D48</f>
        <v>119409.59075</v>
      </c>
      <c r="G417" s="542">
        <f>'5'!E47</f>
        <v>36003.372820000004</v>
      </c>
      <c r="H417" s="542">
        <f>'5'!F47</f>
        <v>24347.117010000009</v>
      </c>
    </row>
    <row r="418" spans="1:8" ht="84.6" hidden="1" customHeight="1" x14ac:dyDescent="0.25">
      <c r="A418" s="293" t="s">
        <v>385</v>
      </c>
      <c r="B418" s="269" t="s">
        <v>212</v>
      </c>
      <c r="C418" s="269" t="s">
        <v>701</v>
      </c>
      <c r="D418" s="269" t="s">
        <v>379</v>
      </c>
      <c r="E418" s="269" t="s">
        <v>223</v>
      </c>
      <c r="F418" s="542">
        <f t="shared" ref="F418:H419" si="90">F419</f>
        <v>0</v>
      </c>
      <c r="G418" s="542">
        <f t="shared" si="90"/>
        <v>0</v>
      </c>
      <c r="H418" s="542">
        <f t="shared" si="90"/>
        <v>0</v>
      </c>
    </row>
    <row r="419" spans="1:8" ht="52.95" hidden="1" customHeight="1" x14ac:dyDescent="0.25">
      <c r="A419" s="293" t="s">
        <v>748</v>
      </c>
      <c r="B419" s="269" t="s">
        <v>212</v>
      </c>
      <c r="C419" s="269" t="s">
        <v>701</v>
      </c>
      <c r="D419" s="269" t="s">
        <v>379</v>
      </c>
      <c r="E419" s="269" t="s">
        <v>747</v>
      </c>
      <c r="F419" s="542">
        <f t="shared" si="90"/>
        <v>0</v>
      </c>
      <c r="G419" s="542">
        <f t="shared" si="90"/>
        <v>0</v>
      </c>
      <c r="H419" s="542">
        <f t="shared" si="90"/>
        <v>0</v>
      </c>
    </row>
    <row r="420" spans="1:8" ht="19.5" hidden="1" customHeight="1" x14ac:dyDescent="0.25">
      <c r="A420" s="293" t="s">
        <v>124</v>
      </c>
      <c r="B420" s="269" t="s">
        <v>212</v>
      </c>
      <c r="C420" s="269" t="s">
        <v>701</v>
      </c>
      <c r="D420" s="269" t="s">
        <v>379</v>
      </c>
      <c r="E420" s="269" t="s">
        <v>165</v>
      </c>
      <c r="F420" s="542"/>
      <c r="G420" s="542"/>
      <c r="H420" s="542"/>
    </row>
    <row r="421" spans="1:8" ht="50.25" customHeight="1" x14ac:dyDescent="0.25">
      <c r="A421" s="293" t="s">
        <v>835</v>
      </c>
      <c r="B421" s="269" t="s">
        <v>212</v>
      </c>
      <c r="C421" s="269" t="s">
        <v>701</v>
      </c>
      <c r="D421" s="269" t="s">
        <v>438</v>
      </c>
      <c r="E421" s="269" t="s">
        <v>223</v>
      </c>
      <c r="F421" s="542">
        <f t="shared" ref="F421:H422" si="91">F422</f>
        <v>935</v>
      </c>
      <c r="G421" s="542">
        <f t="shared" si="91"/>
        <v>0</v>
      </c>
      <c r="H421" s="542">
        <f t="shared" si="91"/>
        <v>0</v>
      </c>
    </row>
    <row r="422" spans="1:8" ht="49.2" customHeight="1" x14ac:dyDescent="0.25">
      <c r="A422" s="293" t="s">
        <v>748</v>
      </c>
      <c r="B422" s="269" t="s">
        <v>212</v>
      </c>
      <c r="C422" s="269" t="s">
        <v>701</v>
      </c>
      <c r="D422" s="269" t="s">
        <v>438</v>
      </c>
      <c r="E422" s="269" t="s">
        <v>747</v>
      </c>
      <c r="F422" s="485">
        <f t="shared" si="91"/>
        <v>935</v>
      </c>
      <c r="G422" s="485">
        <f t="shared" si="91"/>
        <v>0</v>
      </c>
      <c r="H422" s="485">
        <f t="shared" si="91"/>
        <v>0</v>
      </c>
    </row>
    <row r="423" spans="1:8" ht="19.5" customHeight="1" x14ac:dyDescent="0.25">
      <c r="A423" s="293" t="s">
        <v>124</v>
      </c>
      <c r="B423" s="269" t="s">
        <v>212</v>
      </c>
      <c r="C423" s="269" t="s">
        <v>701</v>
      </c>
      <c r="D423" s="269" t="s">
        <v>438</v>
      </c>
      <c r="E423" s="269" t="s">
        <v>165</v>
      </c>
      <c r="F423" s="485">
        <f>'5'!D20</f>
        <v>935</v>
      </c>
      <c r="G423" s="485">
        <f>'5'!E20</f>
        <v>0</v>
      </c>
      <c r="H423" s="485">
        <f>'5'!F20</f>
        <v>0</v>
      </c>
    </row>
    <row r="424" spans="1:8" ht="30.75" hidden="1" customHeight="1" x14ac:dyDescent="0.25">
      <c r="A424" s="264" t="s">
        <v>481</v>
      </c>
      <c r="B424" s="262" t="s">
        <v>212</v>
      </c>
      <c r="C424" s="262" t="s">
        <v>701</v>
      </c>
      <c r="D424" s="262" t="s">
        <v>482</v>
      </c>
      <c r="E424" s="262" t="s">
        <v>223</v>
      </c>
      <c r="F424" s="265">
        <f t="shared" ref="F424:H425" si="92">F425</f>
        <v>0</v>
      </c>
      <c r="G424" s="265">
        <f t="shared" si="92"/>
        <v>0</v>
      </c>
      <c r="H424" s="265">
        <f t="shared" si="92"/>
        <v>0</v>
      </c>
    </row>
    <row r="425" spans="1:8" ht="54" hidden="1" customHeight="1" x14ac:dyDescent="0.25">
      <c r="A425" s="261" t="s">
        <v>748</v>
      </c>
      <c r="B425" s="262" t="s">
        <v>212</v>
      </c>
      <c r="C425" s="262" t="s">
        <v>701</v>
      </c>
      <c r="D425" s="262" t="s">
        <v>482</v>
      </c>
      <c r="E425" s="262" t="s">
        <v>747</v>
      </c>
      <c r="F425" s="263">
        <f t="shared" si="92"/>
        <v>0</v>
      </c>
      <c r="G425" s="263">
        <f t="shared" si="92"/>
        <v>0</v>
      </c>
      <c r="H425" s="263">
        <f t="shared" si="92"/>
        <v>0</v>
      </c>
    </row>
    <row r="426" spans="1:8" ht="20.399999999999999" hidden="1" customHeight="1" x14ac:dyDescent="0.25">
      <c r="A426" s="261" t="s">
        <v>124</v>
      </c>
      <c r="B426" s="262" t="s">
        <v>212</v>
      </c>
      <c r="C426" s="262" t="s">
        <v>701</v>
      </c>
      <c r="D426" s="262" t="s">
        <v>482</v>
      </c>
      <c r="E426" s="262" t="s">
        <v>165</v>
      </c>
      <c r="F426" s="263"/>
      <c r="G426" s="263"/>
      <c r="H426" s="263"/>
    </row>
    <row r="427" spans="1:8" ht="79.95" customHeight="1" x14ac:dyDescent="0.25">
      <c r="A427" s="261" t="s">
        <v>424</v>
      </c>
      <c r="B427" s="262" t="s">
        <v>212</v>
      </c>
      <c r="C427" s="262" t="s">
        <v>701</v>
      </c>
      <c r="D427" s="311" t="s">
        <v>583</v>
      </c>
      <c r="E427" s="262" t="s">
        <v>223</v>
      </c>
      <c r="F427" s="263">
        <f t="shared" ref="F427:H428" si="93">F428</f>
        <v>22.605999999999995</v>
      </c>
      <c r="G427" s="263">
        <f t="shared" si="93"/>
        <v>0</v>
      </c>
      <c r="H427" s="263">
        <f t="shared" si="93"/>
        <v>0</v>
      </c>
    </row>
    <row r="428" spans="1:8" ht="51" customHeight="1" x14ac:dyDescent="0.25">
      <c r="A428" s="261" t="s">
        <v>748</v>
      </c>
      <c r="B428" s="262" t="s">
        <v>212</v>
      </c>
      <c r="C428" s="262" t="s">
        <v>701</v>
      </c>
      <c r="D428" s="311" t="s">
        <v>583</v>
      </c>
      <c r="E428" s="262" t="s">
        <v>747</v>
      </c>
      <c r="F428" s="263">
        <f t="shared" si="93"/>
        <v>22.605999999999995</v>
      </c>
      <c r="G428" s="263">
        <f t="shared" si="93"/>
        <v>0</v>
      </c>
      <c r="H428" s="263">
        <f t="shared" si="93"/>
        <v>0</v>
      </c>
    </row>
    <row r="429" spans="1:8" ht="19.95" customHeight="1" x14ac:dyDescent="0.25">
      <c r="A429" s="261" t="s">
        <v>124</v>
      </c>
      <c r="B429" s="262" t="s">
        <v>212</v>
      </c>
      <c r="C429" s="262" t="s">
        <v>701</v>
      </c>
      <c r="D429" s="311" t="s">
        <v>583</v>
      </c>
      <c r="E429" s="262" t="s">
        <v>165</v>
      </c>
      <c r="F429" s="542">
        <f>'5'!D27</f>
        <v>22.605999999999995</v>
      </c>
      <c r="G429" s="531">
        <f>'5'!E27</f>
        <v>0</v>
      </c>
      <c r="H429" s="531">
        <f>'5'!F27</f>
        <v>0</v>
      </c>
    </row>
    <row r="430" spans="1:8" ht="47.4" customHeight="1" x14ac:dyDescent="0.25">
      <c r="A430" s="312" t="s">
        <v>537</v>
      </c>
      <c r="B430" s="313" t="s">
        <v>212</v>
      </c>
      <c r="C430" s="313" t="s">
        <v>701</v>
      </c>
      <c r="D430" s="314" t="s">
        <v>35</v>
      </c>
      <c r="E430" s="313" t="s">
        <v>223</v>
      </c>
      <c r="F430" s="455">
        <f>F431+F434</f>
        <v>6000</v>
      </c>
      <c r="G430" s="455">
        <f>G431+G434</f>
        <v>0</v>
      </c>
      <c r="H430" s="455">
        <f>H431+H434</f>
        <v>0</v>
      </c>
    </row>
    <row r="431" spans="1:8" ht="82.2" customHeight="1" x14ac:dyDescent="0.25">
      <c r="A431" s="293" t="s">
        <v>1121</v>
      </c>
      <c r="B431" s="269" t="s">
        <v>212</v>
      </c>
      <c r="C431" s="269" t="s">
        <v>701</v>
      </c>
      <c r="D431" s="3" t="s">
        <v>1103</v>
      </c>
      <c r="E431" s="269" t="s">
        <v>223</v>
      </c>
      <c r="F431" s="508">
        <f t="shared" ref="F431:H432" si="94">F432</f>
        <v>3000</v>
      </c>
      <c r="G431" s="508">
        <f t="shared" si="94"/>
        <v>0</v>
      </c>
      <c r="H431" s="508">
        <f t="shared" si="94"/>
        <v>0</v>
      </c>
    </row>
    <row r="432" spans="1:8" ht="49.2" customHeight="1" x14ac:dyDescent="0.25">
      <c r="A432" s="293" t="s">
        <v>748</v>
      </c>
      <c r="B432" s="269" t="s">
        <v>212</v>
      </c>
      <c r="C432" s="269" t="s">
        <v>701</v>
      </c>
      <c r="D432" s="3" t="s">
        <v>1103</v>
      </c>
      <c r="E432" s="269" t="s">
        <v>747</v>
      </c>
      <c r="F432" s="508">
        <f t="shared" si="94"/>
        <v>3000</v>
      </c>
      <c r="G432" s="508">
        <f t="shared" si="94"/>
        <v>0</v>
      </c>
      <c r="H432" s="508">
        <f t="shared" si="94"/>
        <v>0</v>
      </c>
    </row>
    <row r="433" spans="1:8" ht="19.95" customHeight="1" x14ac:dyDescent="0.25">
      <c r="A433" s="293" t="s">
        <v>124</v>
      </c>
      <c r="B433" s="269" t="s">
        <v>212</v>
      </c>
      <c r="C433" s="269" t="s">
        <v>701</v>
      </c>
      <c r="D433" s="3" t="s">
        <v>1103</v>
      </c>
      <c r="E433" s="269" t="s">
        <v>165</v>
      </c>
      <c r="F433" s="508">
        <f>'5'!D31</f>
        <v>3000</v>
      </c>
      <c r="G433" s="508">
        <f>'5'!E29</f>
        <v>0</v>
      </c>
      <c r="H433" s="508">
        <f>'5'!F29</f>
        <v>0</v>
      </c>
    </row>
    <row r="434" spans="1:8" ht="82.95" customHeight="1" x14ac:dyDescent="0.25">
      <c r="A434" s="293" t="s">
        <v>1122</v>
      </c>
      <c r="B434" s="269" t="s">
        <v>212</v>
      </c>
      <c r="C434" s="269" t="s">
        <v>701</v>
      </c>
      <c r="D434" s="3" t="s">
        <v>1107</v>
      </c>
      <c r="E434" s="269" t="s">
        <v>223</v>
      </c>
      <c r="F434" s="508">
        <f t="shared" ref="F434:H435" si="95">F435</f>
        <v>3000</v>
      </c>
      <c r="G434" s="508">
        <f t="shared" si="95"/>
        <v>0</v>
      </c>
      <c r="H434" s="508">
        <f t="shared" si="95"/>
        <v>0</v>
      </c>
    </row>
    <row r="435" spans="1:8" ht="48" customHeight="1" x14ac:dyDescent="0.25">
      <c r="A435" s="293" t="s">
        <v>748</v>
      </c>
      <c r="B435" s="269" t="s">
        <v>212</v>
      </c>
      <c r="C435" s="269" t="s">
        <v>701</v>
      </c>
      <c r="D435" s="3" t="s">
        <v>1107</v>
      </c>
      <c r="E435" s="269" t="s">
        <v>747</v>
      </c>
      <c r="F435" s="508">
        <f t="shared" si="95"/>
        <v>3000</v>
      </c>
      <c r="G435" s="508">
        <f t="shared" si="95"/>
        <v>0</v>
      </c>
      <c r="H435" s="508">
        <f t="shared" si="95"/>
        <v>0</v>
      </c>
    </row>
    <row r="436" spans="1:8" ht="19.95" customHeight="1" x14ac:dyDescent="0.25">
      <c r="A436" s="293" t="s">
        <v>124</v>
      </c>
      <c r="B436" s="269" t="s">
        <v>212</v>
      </c>
      <c r="C436" s="269" t="s">
        <v>701</v>
      </c>
      <c r="D436" s="3" t="s">
        <v>1107</v>
      </c>
      <c r="E436" s="269" t="s">
        <v>165</v>
      </c>
      <c r="F436" s="508">
        <f>'5'!D34</f>
        <v>3000</v>
      </c>
      <c r="G436" s="508">
        <f>'5'!E30</f>
        <v>0</v>
      </c>
      <c r="H436" s="508">
        <f>'5'!F30</f>
        <v>0</v>
      </c>
    </row>
    <row r="437" spans="1:8" s="283" customFormat="1" ht="69.599999999999994" customHeight="1" x14ac:dyDescent="0.3">
      <c r="A437" s="312" t="s">
        <v>1093</v>
      </c>
      <c r="B437" s="313" t="s">
        <v>212</v>
      </c>
      <c r="C437" s="313" t="s">
        <v>701</v>
      </c>
      <c r="D437" s="314" t="s">
        <v>35</v>
      </c>
      <c r="E437" s="313" t="s">
        <v>223</v>
      </c>
      <c r="F437" s="296">
        <f>F438+F441</f>
        <v>3030.3030399999998</v>
      </c>
      <c r="G437" s="296">
        <f t="shared" ref="G437:H437" si="96">G438+G441</f>
        <v>0</v>
      </c>
      <c r="H437" s="296">
        <f t="shared" si="96"/>
        <v>0</v>
      </c>
    </row>
    <row r="438" spans="1:8" ht="84" customHeight="1" x14ac:dyDescent="0.25">
      <c r="A438" s="293" t="s">
        <v>1119</v>
      </c>
      <c r="B438" s="269" t="s">
        <v>212</v>
      </c>
      <c r="C438" s="269" t="s">
        <v>701</v>
      </c>
      <c r="D438" s="133" t="s">
        <v>1111</v>
      </c>
      <c r="E438" s="269" t="s">
        <v>223</v>
      </c>
      <c r="F438" s="508">
        <f>F439</f>
        <v>1515.1515199999999</v>
      </c>
      <c r="G438" s="494">
        <f t="shared" ref="G438:H438" si="97">G439</f>
        <v>0</v>
      </c>
      <c r="H438" s="494">
        <f t="shared" si="97"/>
        <v>0</v>
      </c>
    </row>
    <row r="439" spans="1:8" ht="49.2" customHeight="1" x14ac:dyDescent="0.25">
      <c r="A439" s="293" t="s">
        <v>748</v>
      </c>
      <c r="B439" s="269" t="s">
        <v>212</v>
      </c>
      <c r="C439" s="269" t="s">
        <v>701</v>
      </c>
      <c r="D439" s="133" t="s">
        <v>1111</v>
      </c>
      <c r="E439" s="269" t="s">
        <v>747</v>
      </c>
      <c r="F439" s="508">
        <f>F440</f>
        <v>1515.1515199999999</v>
      </c>
      <c r="G439" s="494">
        <f>G444</f>
        <v>0</v>
      </c>
      <c r="H439" s="494">
        <f>H444</f>
        <v>0</v>
      </c>
    </row>
    <row r="440" spans="1:8" ht="49.2" customHeight="1" x14ac:dyDescent="0.25">
      <c r="A440" s="293" t="s">
        <v>124</v>
      </c>
      <c r="B440" s="269" t="s">
        <v>212</v>
      </c>
      <c r="C440" s="269" t="s">
        <v>701</v>
      </c>
      <c r="D440" s="133" t="s">
        <v>1111</v>
      </c>
      <c r="E440" s="269" t="s">
        <v>165</v>
      </c>
      <c r="F440" s="508">
        <f>'5'!D40</f>
        <v>1515.1515199999999</v>
      </c>
      <c r="G440" s="505">
        <v>0</v>
      </c>
      <c r="H440" s="505">
        <v>0</v>
      </c>
    </row>
    <row r="441" spans="1:8" ht="98.25" customHeight="1" x14ac:dyDescent="0.25">
      <c r="A441" s="293" t="s">
        <v>1120</v>
      </c>
      <c r="B441" s="269" t="s">
        <v>212</v>
      </c>
      <c r="C441" s="269" t="s">
        <v>701</v>
      </c>
      <c r="D441" s="133" t="s">
        <v>1113</v>
      </c>
      <c r="E441" s="269" t="s">
        <v>223</v>
      </c>
      <c r="F441" s="508">
        <f>F442</f>
        <v>1515.1515199999999</v>
      </c>
      <c r="G441" s="505">
        <f t="shared" ref="G441:H442" si="98">G442</f>
        <v>0</v>
      </c>
      <c r="H441" s="505">
        <f t="shared" si="98"/>
        <v>0</v>
      </c>
    </row>
    <row r="442" spans="1:8" ht="49.2" customHeight="1" x14ac:dyDescent="0.25">
      <c r="A442" s="293" t="s">
        <v>748</v>
      </c>
      <c r="B442" s="269" t="s">
        <v>212</v>
      </c>
      <c r="C442" s="269" t="s">
        <v>701</v>
      </c>
      <c r="D442" s="133" t="s">
        <v>1113</v>
      </c>
      <c r="E442" s="269" t="s">
        <v>747</v>
      </c>
      <c r="F442" s="508">
        <f>F443</f>
        <v>1515.1515199999999</v>
      </c>
      <c r="G442" s="505">
        <f t="shared" si="98"/>
        <v>0</v>
      </c>
      <c r="H442" s="505">
        <f t="shared" si="98"/>
        <v>0</v>
      </c>
    </row>
    <row r="443" spans="1:8" ht="49.2" customHeight="1" x14ac:dyDescent="0.25">
      <c r="A443" s="293" t="s">
        <v>124</v>
      </c>
      <c r="B443" s="269" t="s">
        <v>212</v>
      </c>
      <c r="C443" s="269" t="s">
        <v>701</v>
      </c>
      <c r="D443" s="133" t="s">
        <v>1113</v>
      </c>
      <c r="E443" s="269" t="s">
        <v>165</v>
      </c>
      <c r="F443" s="508">
        <f>'5'!D43</f>
        <v>1515.1515199999999</v>
      </c>
      <c r="G443" s="505">
        <v>0</v>
      </c>
      <c r="H443" s="505">
        <v>0</v>
      </c>
    </row>
    <row r="444" spans="1:8" ht="33.6" hidden="1" customHeight="1" x14ac:dyDescent="0.25">
      <c r="A444" s="293"/>
      <c r="B444" s="269"/>
      <c r="C444" s="269"/>
      <c r="D444" s="3"/>
      <c r="E444" s="269"/>
      <c r="F444" s="505"/>
      <c r="G444" s="505"/>
      <c r="H444" s="505"/>
    </row>
    <row r="445" spans="1:8" ht="51" hidden="1" customHeight="1" x14ac:dyDescent="0.25">
      <c r="A445" s="293"/>
      <c r="B445" s="269"/>
      <c r="C445" s="269"/>
      <c r="D445" s="133"/>
      <c r="E445" s="269"/>
      <c r="F445" s="505"/>
      <c r="G445" s="505"/>
      <c r="H445" s="505"/>
    </row>
    <row r="446" spans="1:8" ht="58.5" hidden="1" customHeight="1" x14ac:dyDescent="0.25">
      <c r="A446" s="293"/>
      <c r="B446" s="269"/>
      <c r="C446" s="269"/>
      <c r="D446" s="133"/>
      <c r="E446" s="269"/>
      <c r="F446" s="505"/>
      <c r="G446" s="505"/>
      <c r="H446" s="505"/>
    </row>
    <row r="447" spans="1:8" ht="42.75" hidden="1" customHeight="1" x14ac:dyDescent="0.25">
      <c r="A447" s="293"/>
      <c r="B447" s="269"/>
      <c r="C447" s="269"/>
      <c r="D447" s="133"/>
      <c r="E447" s="269"/>
      <c r="F447" s="505"/>
      <c r="G447" s="505"/>
      <c r="H447" s="505"/>
    </row>
    <row r="448" spans="1:8" ht="36.6" customHeight="1" x14ac:dyDescent="0.25">
      <c r="A448" s="298" t="s">
        <v>836</v>
      </c>
      <c r="B448" s="262" t="s">
        <v>212</v>
      </c>
      <c r="C448" s="262" t="s">
        <v>701</v>
      </c>
      <c r="D448" s="262" t="s">
        <v>39</v>
      </c>
      <c r="E448" s="262" t="s">
        <v>223</v>
      </c>
      <c r="F448" s="263">
        <f>F449+F452</f>
        <v>1440.96</v>
      </c>
      <c r="G448" s="263">
        <f>G449+G452</f>
        <v>1800</v>
      </c>
      <c r="H448" s="263">
        <f>H449+H452</f>
        <v>1800</v>
      </c>
    </row>
    <row r="449" spans="1:8" ht="32.25" customHeight="1" x14ac:dyDescent="0.25">
      <c r="A449" s="264" t="s">
        <v>143</v>
      </c>
      <c r="B449" s="262" t="s">
        <v>212</v>
      </c>
      <c r="C449" s="262" t="s">
        <v>701</v>
      </c>
      <c r="D449" s="262" t="s">
        <v>837</v>
      </c>
      <c r="E449" s="262" t="s">
        <v>223</v>
      </c>
      <c r="F449" s="263">
        <f t="shared" ref="F449:H450" si="99">F450</f>
        <v>250</v>
      </c>
      <c r="G449" s="263">
        <f t="shared" si="99"/>
        <v>300</v>
      </c>
      <c r="H449" s="263">
        <f t="shared" si="99"/>
        <v>300</v>
      </c>
    </row>
    <row r="450" spans="1:8" ht="48.75" customHeight="1" x14ac:dyDescent="0.25">
      <c r="A450" s="261" t="s">
        <v>748</v>
      </c>
      <c r="B450" s="262" t="s">
        <v>212</v>
      </c>
      <c r="C450" s="262" t="s">
        <v>701</v>
      </c>
      <c r="D450" s="262" t="s">
        <v>40</v>
      </c>
      <c r="E450" s="262" t="s">
        <v>747</v>
      </c>
      <c r="F450" s="263">
        <f t="shared" si="99"/>
        <v>250</v>
      </c>
      <c r="G450" s="263">
        <f t="shared" si="99"/>
        <v>300</v>
      </c>
      <c r="H450" s="263">
        <f t="shared" si="99"/>
        <v>300</v>
      </c>
    </row>
    <row r="451" spans="1:8" ht="15.75" customHeight="1" x14ac:dyDescent="0.25">
      <c r="A451" s="261" t="s">
        <v>124</v>
      </c>
      <c r="B451" s="262" t="s">
        <v>212</v>
      </c>
      <c r="C451" s="262" t="s">
        <v>701</v>
      </c>
      <c r="D451" s="262" t="s">
        <v>40</v>
      </c>
      <c r="E451" s="262" t="s">
        <v>165</v>
      </c>
      <c r="F451" s="263">
        <f>'5'!D66</f>
        <v>250</v>
      </c>
      <c r="G451" s="263">
        <f>'5'!E66</f>
        <v>300</v>
      </c>
      <c r="H451" s="263">
        <f>'5'!F66</f>
        <v>300</v>
      </c>
    </row>
    <row r="452" spans="1:8" ht="33" customHeight="1" x14ac:dyDescent="0.25">
      <c r="A452" s="264" t="s">
        <v>142</v>
      </c>
      <c r="B452" s="262" t="s">
        <v>212</v>
      </c>
      <c r="C452" s="262" t="s">
        <v>701</v>
      </c>
      <c r="D452" s="262" t="s">
        <v>837</v>
      </c>
      <c r="E452" s="262" t="s">
        <v>223</v>
      </c>
      <c r="F452" s="263">
        <f t="shared" ref="F452:H453" si="100">F453</f>
        <v>1190.96</v>
      </c>
      <c r="G452" s="263">
        <f t="shared" si="100"/>
        <v>1500</v>
      </c>
      <c r="H452" s="263">
        <f t="shared" si="100"/>
        <v>1500</v>
      </c>
    </row>
    <row r="453" spans="1:8" ht="50.25" customHeight="1" x14ac:dyDescent="0.25">
      <c r="A453" s="261" t="s">
        <v>748</v>
      </c>
      <c r="B453" s="262" t="s">
        <v>212</v>
      </c>
      <c r="C453" s="262" t="s">
        <v>701</v>
      </c>
      <c r="D453" s="262" t="s">
        <v>41</v>
      </c>
      <c r="E453" s="262" t="s">
        <v>747</v>
      </c>
      <c r="F453" s="542">
        <f t="shared" si="100"/>
        <v>1190.96</v>
      </c>
      <c r="G453" s="542">
        <f t="shared" si="100"/>
        <v>1500</v>
      </c>
      <c r="H453" s="542">
        <f t="shared" si="100"/>
        <v>1500</v>
      </c>
    </row>
    <row r="454" spans="1:8" ht="21.75" customHeight="1" x14ac:dyDescent="0.25">
      <c r="A454" s="261" t="s">
        <v>124</v>
      </c>
      <c r="B454" s="262" t="s">
        <v>212</v>
      </c>
      <c r="C454" s="262" t="s">
        <v>701</v>
      </c>
      <c r="D454" s="262" t="s">
        <v>41</v>
      </c>
      <c r="E454" s="262" t="s">
        <v>165</v>
      </c>
      <c r="F454" s="542">
        <f>'5'!D67</f>
        <v>1190.96</v>
      </c>
      <c r="G454" s="542">
        <f>'5'!E67</f>
        <v>1500</v>
      </c>
      <c r="H454" s="542">
        <f>'5'!F67</f>
        <v>1500</v>
      </c>
    </row>
    <row r="455" spans="1:8" ht="33" hidden="1" customHeight="1" x14ac:dyDescent="0.25">
      <c r="A455" s="298" t="s">
        <v>838</v>
      </c>
      <c r="B455" s="262" t="s">
        <v>212</v>
      </c>
      <c r="C455" s="262" t="s">
        <v>701</v>
      </c>
      <c r="D455" s="262" t="s">
        <v>42</v>
      </c>
      <c r="E455" s="262" t="s">
        <v>223</v>
      </c>
      <c r="F455" s="542">
        <f t="shared" ref="F455:H456" si="101">F456</f>
        <v>0</v>
      </c>
      <c r="G455" s="542">
        <f t="shared" si="101"/>
        <v>0</v>
      </c>
      <c r="H455" s="542">
        <f t="shared" si="101"/>
        <v>0</v>
      </c>
    </row>
    <row r="456" spans="1:8" ht="33.75" hidden="1" customHeight="1" x14ac:dyDescent="0.25">
      <c r="A456" s="261" t="s">
        <v>839</v>
      </c>
      <c r="B456" s="262" t="s">
        <v>212</v>
      </c>
      <c r="C456" s="262" t="s">
        <v>701</v>
      </c>
      <c r="D456" s="262" t="s">
        <v>840</v>
      </c>
      <c r="E456" s="262" t="s">
        <v>223</v>
      </c>
      <c r="F456" s="542">
        <f t="shared" si="101"/>
        <v>0</v>
      </c>
      <c r="G456" s="542">
        <f t="shared" si="101"/>
        <v>0</v>
      </c>
      <c r="H456" s="542">
        <f t="shared" si="101"/>
        <v>0</v>
      </c>
    </row>
    <row r="457" spans="1:8" ht="50.25" hidden="1" customHeight="1" x14ac:dyDescent="0.25">
      <c r="A457" s="261" t="s">
        <v>748</v>
      </c>
      <c r="B457" s="262" t="s">
        <v>212</v>
      </c>
      <c r="C457" s="262" t="s">
        <v>701</v>
      </c>
      <c r="D457" s="262" t="s">
        <v>840</v>
      </c>
      <c r="E457" s="262" t="s">
        <v>747</v>
      </c>
      <c r="F457" s="542">
        <f>F458+F459+F460+F461</f>
        <v>0</v>
      </c>
      <c r="G457" s="542">
        <f>G458+G459+G460+G461</f>
        <v>0</v>
      </c>
      <c r="H457" s="542">
        <f>H458+H459+H460+H461</f>
        <v>0</v>
      </c>
    </row>
    <row r="458" spans="1:8" ht="35.25" hidden="1" customHeight="1" x14ac:dyDescent="0.25">
      <c r="A458" s="261" t="s">
        <v>841</v>
      </c>
      <c r="B458" s="262" t="s">
        <v>212</v>
      </c>
      <c r="C458" s="262" t="s">
        <v>701</v>
      </c>
      <c r="D458" s="262" t="s">
        <v>43</v>
      </c>
      <c r="E458" s="262" t="s">
        <v>165</v>
      </c>
      <c r="F458" s="542"/>
      <c r="G458" s="542"/>
      <c r="H458" s="542"/>
    </row>
    <row r="459" spans="1:8" ht="31.2" hidden="1" x14ac:dyDescent="0.25">
      <c r="A459" s="261" t="s">
        <v>842</v>
      </c>
      <c r="B459" s="262" t="s">
        <v>212</v>
      </c>
      <c r="C459" s="262" t="s">
        <v>701</v>
      </c>
      <c r="D459" s="262" t="s">
        <v>44</v>
      </c>
      <c r="E459" s="262" t="s">
        <v>165</v>
      </c>
      <c r="F459" s="542"/>
      <c r="G459" s="542"/>
      <c r="H459" s="542"/>
    </row>
    <row r="460" spans="1:8" ht="31.5" hidden="1" customHeight="1" x14ac:dyDescent="0.25">
      <c r="A460" s="261" t="s">
        <v>843</v>
      </c>
      <c r="B460" s="262" t="s">
        <v>212</v>
      </c>
      <c r="C460" s="262" t="s">
        <v>701</v>
      </c>
      <c r="D460" s="262" t="s">
        <v>45</v>
      </c>
      <c r="E460" s="262" t="s">
        <v>165</v>
      </c>
      <c r="F460" s="542"/>
      <c r="G460" s="542"/>
      <c r="H460" s="542"/>
    </row>
    <row r="461" spans="1:8" ht="34.5" hidden="1" customHeight="1" x14ac:dyDescent="0.25">
      <c r="A461" s="261" t="s">
        <v>844</v>
      </c>
      <c r="B461" s="262" t="s">
        <v>212</v>
      </c>
      <c r="C461" s="262" t="s">
        <v>701</v>
      </c>
      <c r="D461" s="262" t="s">
        <v>46</v>
      </c>
      <c r="E461" s="262" t="s">
        <v>165</v>
      </c>
      <c r="F461" s="542"/>
      <c r="G461" s="542"/>
      <c r="H461" s="542"/>
    </row>
    <row r="462" spans="1:8" ht="49.2" customHeight="1" x14ac:dyDescent="0.25">
      <c r="A462" s="264" t="s">
        <v>845</v>
      </c>
      <c r="B462" s="13" t="s">
        <v>212</v>
      </c>
      <c r="C462" s="13" t="s">
        <v>701</v>
      </c>
      <c r="D462" s="13" t="s">
        <v>22</v>
      </c>
      <c r="E462" s="13" t="s">
        <v>223</v>
      </c>
      <c r="F462" s="542">
        <f>F463</f>
        <v>260089.158</v>
      </c>
      <c r="G462" s="542">
        <f t="shared" ref="G462:H463" si="102">G463</f>
        <v>267175.44</v>
      </c>
      <c r="H462" s="542">
        <f t="shared" si="102"/>
        <v>283183.27899999998</v>
      </c>
    </row>
    <row r="463" spans="1:8" ht="39" customHeight="1" x14ac:dyDescent="0.25">
      <c r="A463" s="298" t="s">
        <v>833</v>
      </c>
      <c r="B463" s="262" t="s">
        <v>212</v>
      </c>
      <c r="C463" s="262" t="s">
        <v>701</v>
      </c>
      <c r="D463" s="262" t="s">
        <v>35</v>
      </c>
      <c r="E463" s="262" t="s">
        <v>223</v>
      </c>
      <c r="F463" s="542">
        <f>F464</f>
        <v>260089.158</v>
      </c>
      <c r="G463" s="542">
        <f t="shared" si="102"/>
        <v>267175.44</v>
      </c>
      <c r="H463" s="542">
        <f t="shared" si="102"/>
        <v>283183.27899999998</v>
      </c>
    </row>
    <row r="464" spans="1:8" s="266" customFormat="1" ht="16.5" customHeight="1" x14ac:dyDescent="0.3">
      <c r="A464" s="264" t="s">
        <v>737</v>
      </c>
      <c r="B464" s="13" t="s">
        <v>212</v>
      </c>
      <c r="C464" s="13" t="s">
        <v>701</v>
      </c>
      <c r="D464" s="13" t="s">
        <v>22</v>
      </c>
      <c r="E464" s="13" t="s">
        <v>223</v>
      </c>
      <c r="F464" s="267">
        <f>F465+F468+F471</f>
        <v>260089.158</v>
      </c>
      <c r="G464" s="267">
        <f t="shared" ref="G464:H464" si="103">G465+G468+G471</f>
        <v>267175.44</v>
      </c>
      <c r="H464" s="267">
        <f t="shared" si="103"/>
        <v>283183.27899999998</v>
      </c>
    </row>
    <row r="465" spans="1:9" s="266" customFormat="1" ht="47.25" customHeight="1" x14ac:dyDescent="0.3">
      <c r="A465" s="264" t="s">
        <v>846</v>
      </c>
      <c r="B465" s="13" t="s">
        <v>212</v>
      </c>
      <c r="C465" s="13" t="s">
        <v>701</v>
      </c>
      <c r="D465" s="13" t="s">
        <v>35</v>
      </c>
      <c r="E465" s="13" t="s">
        <v>223</v>
      </c>
      <c r="F465" s="267">
        <f t="shared" ref="F465:H466" si="104">F466</f>
        <v>4200</v>
      </c>
      <c r="G465" s="267">
        <f t="shared" si="104"/>
        <v>0</v>
      </c>
      <c r="H465" s="267">
        <f t="shared" si="104"/>
        <v>0</v>
      </c>
    </row>
    <row r="466" spans="1:9" ht="49.5" customHeight="1" x14ac:dyDescent="0.25">
      <c r="A466" s="261" t="s">
        <v>748</v>
      </c>
      <c r="B466" s="262" t="s">
        <v>212</v>
      </c>
      <c r="C466" s="262" t="s">
        <v>701</v>
      </c>
      <c r="D466" s="262" t="s">
        <v>325</v>
      </c>
      <c r="E466" s="262" t="s">
        <v>747</v>
      </c>
      <c r="F466" s="542">
        <f t="shared" si="104"/>
        <v>4200</v>
      </c>
      <c r="G466" s="542">
        <f t="shared" si="104"/>
        <v>0</v>
      </c>
      <c r="H466" s="542">
        <f t="shared" si="104"/>
        <v>0</v>
      </c>
    </row>
    <row r="467" spans="1:9" ht="18" customHeight="1" x14ac:dyDescent="0.25">
      <c r="A467" s="261" t="s">
        <v>124</v>
      </c>
      <c r="B467" s="262" t="s">
        <v>212</v>
      </c>
      <c r="C467" s="262" t="s">
        <v>701</v>
      </c>
      <c r="D467" s="262" t="s">
        <v>325</v>
      </c>
      <c r="E467" s="262" t="s">
        <v>165</v>
      </c>
      <c r="F467" s="542">
        <f>'5'!D50</f>
        <v>4200</v>
      </c>
      <c r="G467" s="542">
        <f>'5'!E50</f>
        <v>0</v>
      </c>
      <c r="H467" s="542">
        <f>'5'!F50</f>
        <v>0</v>
      </c>
      <c r="I467" s="268">
        <f>F467+200</f>
        <v>4400</v>
      </c>
    </row>
    <row r="468" spans="1:9" ht="80.7" customHeight="1" x14ac:dyDescent="0.25">
      <c r="A468" s="264" t="s">
        <v>415</v>
      </c>
      <c r="B468" s="13" t="s">
        <v>212</v>
      </c>
      <c r="C468" s="13" t="s">
        <v>701</v>
      </c>
      <c r="D468" s="13" t="s">
        <v>535</v>
      </c>
      <c r="E468" s="13" t="s">
        <v>223</v>
      </c>
      <c r="F468" s="267">
        <f t="shared" ref="F468:H469" si="105">F469</f>
        <v>4500</v>
      </c>
      <c r="G468" s="267">
        <f t="shared" si="105"/>
        <v>0</v>
      </c>
      <c r="H468" s="267">
        <f t="shared" si="105"/>
        <v>0</v>
      </c>
    </row>
    <row r="469" spans="1:9" ht="45.6" customHeight="1" x14ac:dyDescent="0.25">
      <c r="A469" s="261" t="s">
        <v>748</v>
      </c>
      <c r="B469" s="262" t="s">
        <v>212</v>
      </c>
      <c r="C469" s="262" t="s">
        <v>701</v>
      </c>
      <c r="D469" s="262" t="s">
        <v>535</v>
      </c>
      <c r="E469" s="262" t="s">
        <v>747</v>
      </c>
      <c r="F469" s="542">
        <f t="shared" si="105"/>
        <v>4500</v>
      </c>
      <c r="G469" s="542">
        <f t="shared" si="105"/>
        <v>0</v>
      </c>
      <c r="H469" s="542">
        <f t="shared" si="105"/>
        <v>0</v>
      </c>
    </row>
    <row r="470" spans="1:9" ht="15.6" customHeight="1" x14ac:dyDescent="0.25">
      <c r="A470" s="261" t="s">
        <v>124</v>
      </c>
      <c r="B470" s="262" t="s">
        <v>212</v>
      </c>
      <c r="C470" s="262" t="s">
        <v>701</v>
      </c>
      <c r="D470" s="262" t="s">
        <v>535</v>
      </c>
      <c r="E470" s="262" t="s">
        <v>165</v>
      </c>
      <c r="F470" s="542">
        <f>'5'!D52</f>
        <v>4500</v>
      </c>
      <c r="G470" s="542">
        <f>'5'!E52</f>
        <v>0</v>
      </c>
      <c r="H470" s="542">
        <f>'5'!F52</f>
        <v>0</v>
      </c>
    </row>
    <row r="471" spans="1:9" s="266" customFormat="1" ht="80.25" customHeight="1" x14ac:dyDescent="0.3">
      <c r="A471" s="264" t="s">
        <v>847</v>
      </c>
      <c r="B471" s="13" t="s">
        <v>212</v>
      </c>
      <c r="C471" s="13" t="s">
        <v>701</v>
      </c>
      <c r="D471" s="13" t="s">
        <v>35</v>
      </c>
      <c r="E471" s="13" t="s">
        <v>223</v>
      </c>
      <c r="F471" s="267">
        <f t="shared" ref="F471:H472" si="106">F472</f>
        <v>251389.158</v>
      </c>
      <c r="G471" s="267">
        <f t="shared" si="106"/>
        <v>267175.44</v>
      </c>
      <c r="H471" s="267">
        <f t="shared" si="106"/>
        <v>283183.27899999998</v>
      </c>
    </row>
    <row r="472" spans="1:9" ht="48.75" customHeight="1" x14ac:dyDescent="0.25">
      <c r="A472" s="261" t="s">
        <v>748</v>
      </c>
      <c r="B472" s="262" t="s">
        <v>212</v>
      </c>
      <c r="C472" s="262" t="s">
        <v>701</v>
      </c>
      <c r="D472" s="262" t="s">
        <v>47</v>
      </c>
      <c r="E472" s="262" t="s">
        <v>747</v>
      </c>
      <c r="F472" s="263">
        <f t="shared" si="106"/>
        <v>251389.158</v>
      </c>
      <c r="G472" s="263">
        <f t="shared" si="106"/>
        <v>267175.44</v>
      </c>
      <c r="H472" s="263">
        <f t="shared" si="106"/>
        <v>283183.27899999998</v>
      </c>
    </row>
    <row r="473" spans="1:9" ht="17.25" customHeight="1" x14ac:dyDescent="0.25">
      <c r="A473" s="261" t="s">
        <v>124</v>
      </c>
      <c r="B473" s="262" t="s">
        <v>212</v>
      </c>
      <c r="C473" s="262" t="s">
        <v>701</v>
      </c>
      <c r="D473" s="262" t="s">
        <v>47</v>
      </c>
      <c r="E473" s="262" t="s">
        <v>165</v>
      </c>
      <c r="F473" s="485">
        <f>'5'!D49</f>
        <v>251389.158</v>
      </c>
      <c r="G473" s="485">
        <f>'5'!E49</f>
        <v>267175.44</v>
      </c>
      <c r="H473" s="485">
        <f>'5'!F49</f>
        <v>283183.27899999998</v>
      </c>
    </row>
    <row r="474" spans="1:9" ht="97.95" customHeight="1" x14ac:dyDescent="0.25">
      <c r="A474" s="264" t="s">
        <v>412</v>
      </c>
      <c r="B474" s="13" t="s">
        <v>212</v>
      </c>
      <c r="C474" s="13" t="s">
        <v>701</v>
      </c>
      <c r="D474" s="13" t="s">
        <v>416</v>
      </c>
      <c r="E474" s="13" t="s">
        <v>223</v>
      </c>
      <c r="F474" s="265">
        <f t="shared" ref="F474:H475" si="107">F475</f>
        <v>24804</v>
      </c>
      <c r="G474" s="265">
        <f t="shared" si="107"/>
        <v>21411</v>
      </c>
      <c r="H474" s="265">
        <f t="shared" si="107"/>
        <v>21411</v>
      </c>
    </row>
    <row r="475" spans="1:9" ht="46.2" customHeight="1" x14ac:dyDescent="0.25">
      <c r="A475" s="261" t="s">
        <v>748</v>
      </c>
      <c r="B475" s="262" t="s">
        <v>212</v>
      </c>
      <c r="C475" s="262" t="s">
        <v>701</v>
      </c>
      <c r="D475" s="262" t="s">
        <v>416</v>
      </c>
      <c r="E475" s="262" t="s">
        <v>747</v>
      </c>
      <c r="F475" s="263">
        <f t="shared" si="107"/>
        <v>24804</v>
      </c>
      <c r="G475" s="263">
        <f t="shared" si="107"/>
        <v>21411</v>
      </c>
      <c r="H475" s="263">
        <f t="shared" si="107"/>
        <v>21411</v>
      </c>
    </row>
    <row r="476" spans="1:9" ht="17.25" customHeight="1" x14ac:dyDescent="0.25">
      <c r="A476" s="293" t="s">
        <v>124</v>
      </c>
      <c r="B476" s="269" t="s">
        <v>212</v>
      </c>
      <c r="C476" s="269" t="s">
        <v>701</v>
      </c>
      <c r="D476" s="269" t="s">
        <v>416</v>
      </c>
      <c r="E476" s="269" t="s">
        <v>165</v>
      </c>
      <c r="F476" s="485">
        <f>'5'!D53</f>
        <v>24804</v>
      </c>
      <c r="G476" s="485">
        <f>'5'!E53</f>
        <v>21411</v>
      </c>
      <c r="H476" s="485">
        <f>'5'!F53</f>
        <v>21411</v>
      </c>
    </row>
    <row r="477" spans="1:9" ht="111.6" customHeight="1" x14ac:dyDescent="0.25">
      <c r="A477" s="301" t="s">
        <v>603</v>
      </c>
      <c r="B477" s="292" t="s">
        <v>212</v>
      </c>
      <c r="C477" s="292" t="s">
        <v>701</v>
      </c>
      <c r="D477" s="315" t="s">
        <v>604</v>
      </c>
      <c r="E477" s="292" t="s">
        <v>223</v>
      </c>
      <c r="F477" s="267">
        <f t="shared" ref="F477:H478" si="108">F478</f>
        <v>1249.4748</v>
      </c>
      <c r="G477" s="267">
        <f t="shared" si="108"/>
        <v>3382.85664</v>
      </c>
      <c r="H477" s="267">
        <f t="shared" si="108"/>
        <v>4228.5708000000004</v>
      </c>
    </row>
    <row r="478" spans="1:9" ht="48.6" customHeight="1" x14ac:dyDescent="0.25">
      <c r="A478" s="293" t="s">
        <v>748</v>
      </c>
      <c r="B478" s="269" t="s">
        <v>212</v>
      </c>
      <c r="C478" s="269" t="s">
        <v>701</v>
      </c>
      <c r="D478" s="311" t="s">
        <v>604</v>
      </c>
      <c r="E478" s="269" t="s">
        <v>747</v>
      </c>
      <c r="F478" s="485">
        <f t="shared" si="108"/>
        <v>1249.4748</v>
      </c>
      <c r="G478" s="485">
        <f t="shared" si="108"/>
        <v>3382.85664</v>
      </c>
      <c r="H478" s="485">
        <f t="shared" si="108"/>
        <v>4228.5708000000004</v>
      </c>
    </row>
    <row r="479" spans="1:9" ht="17.25" customHeight="1" x14ac:dyDescent="0.25">
      <c r="A479" s="293" t="s">
        <v>124</v>
      </c>
      <c r="B479" s="269" t="s">
        <v>212</v>
      </c>
      <c r="C479" s="269" t="s">
        <v>701</v>
      </c>
      <c r="D479" s="316" t="s">
        <v>604</v>
      </c>
      <c r="E479" s="269" t="s">
        <v>165</v>
      </c>
      <c r="F479" s="542">
        <f>'5'!D54</f>
        <v>1249.4748</v>
      </c>
      <c r="G479" s="485">
        <f>'5'!E54</f>
        <v>3382.85664</v>
      </c>
      <c r="H479" s="485">
        <f>'5'!F54</f>
        <v>4228.5708000000004</v>
      </c>
    </row>
    <row r="480" spans="1:9" ht="44.4" customHeight="1" x14ac:dyDescent="0.25">
      <c r="A480" s="532" t="s">
        <v>1132</v>
      </c>
      <c r="B480" s="533" t="s">
        <v>212</v>
      </c>
      <c r="C480" s="533" t="s">
        <v>701</v>
      </c>
      <c r="D480" s="533" t="s">
        <v>54</v>
      </c>
      <c r="E480" s="533" t="s">
        <v>223</v>
      </c>
      <c r="F480" s="534">
        <f>F481</f>
        <v>18714.8</v>
      </c>
      <c r="G480" s="534">
        <f>G481</f>
        <v>27452.799999999999</v>
      </c>
      <c r="H480" s="534">
        <f>H481</f>
        <v>27106</v>
      </c>
    </row>
    <row r="481" spans="1:11" ht="25.95" customHeight="1" x14ac:dyDescent="0.25">
      <c r="A481" s="264" t="s">
        <v>737</v>
      </c>
      <c r="B481" s="13" t="s">
        <v>212</v>
      </c>
      <c r="C481" s="13" t="s">
        <v>701</v>
      </c>
      <c r="D481" s="13" t="s">
        <v>54</v>
      </c>
      <c r="E481" s="13" t="s">
        <v>223</v>
      </c>
      <c r="F481" s="265">
        <f>F482+F485+F488</f>
        <v>18714.8</v>
      </c>
      <c r="G481" s="265">
        <f>G482+G485+G488</f>
        <v>27452.799999999999</v>
      </c>
      <c r="H481" s="265">
        <f>H482+H485+H488</f>
        <v>27106</v>
      </c>
    </row>
    <row r="482" spans="1:11" s="283" customFormat="1" ht="40.950000000000003" customHeight="1" x14ac:dyDescent="0.3">
      <c r="A482" s="17" t="s">
        <v>846</v>
      </c>
      <c r="B482" s="272" t="s">
        <v>212</v>
      </c>
      <c r="C482" s="272" t="s">
        <v>701</v>
      </c>
      <c r="D482" s="272" t="s">
        <v>54</v>
      </c>
      <c r="E482" s="272" t="s">
        <v>223</v>
      </c>
      <c r="F482" s="273">
        <f t="shared" ref="F482:H483" si="109">F483</f>
        <v>7334.25</v>
      </c>
      <c r="G482" s="273">
        <f t="shared" si="109"/>
        <v>11534.25</v>
      </c>
      <c r="H482" s="273">
        <f t="shared" si="109"/>
        <v>11534.25</v>
      </c>
    </row>
    <row r="483" spans="1:11" ht="33" customHeight="1" x14ac:dyDescent="0.25">
      <c r="A483" s="261" t="s">
        <v>748</v>
      </c>
      <c r="B483" s="262" t="s">
        <v>212</v>
      </c>
      <c r="C483" s="262" t="s">
        <v>701</v>
      </c>
      <c r="D483" s="262" t="s">
        <v>1133</v>
      </c>
      <c r="E483" s="262" t="s">
        <v>747</v>
      </c>
      <c r="F483" s="542">
        <f t="shared" si="109"/>
        <v>7334.25</v>
      </c>
      <c r="G483" s="542">
        <f t="shared" si="109"/>
        <v>11534.25</v>
      </c>
      <c r="H483" s="542">
        <f t="shared" si="109"/>
        <v>11534.25</v>
      </c>
    </row>
    <row r="484" spans="1:11" ht="25.95" customHeight="1" x14ac:dyDescent="0.25">
      <c r="A484" s="261" t="s">
        <v>124</v>
      </c>
      <c r="B484" s="262" t="s">
        <v>212</v>
      </c>
      <c r="C484" s="262" t="s">
        <v>701</v>
      </c>
      <c r="D484" s="262" t="s">
        <v>1133</v>
      </c>
      <c r="E484" s="262" t="s">
        <v>165</v>
      </c>
      <c r="F484" s="542">
        <f>'5'!D101-F784</f>
        <v>7334.25</v>
      </c>
      <c r="G484" s="542">
        <f>'5'!E101-G784</f>
        <v>11534.25</v>
      </c>
      <c r="H484" s="542">
        <f>'5'!F101-H784</f>
        <v>11534.25</v>
      </c>
    </row>
    <row r="485" spans="1:11" s="283" customFormat="1" ht="25.95" customHeight="1" x14ac:dyDescent="0.3">
      <c r="A485" s="17" t="s">
        <v>415</v>
      </c>
      <c r="B485" s="272" t="s">
        <v>212</v>
      </c>
      <c r="C485" s="272" t="s">
        <v>701</v>
      </c>
      <c r="D485" s="272" t="s">
        <v>1129</v>
      </c>
      <c r="E485" s="272" t="s">
        <v>223</v>
      </c>
      <c r="F485" s="296">
        <f t="shared" ref="F485:H486" si="110">F486</f>
        <v>11380.55</v>
      </c>
      <c r="G485" s="296">
        <f t="shared" si="110"/>
        <v>15880.55</v>
      </c>
      <c r="H485" s="296">
        <f t="shared" si="110"/>
        <v>15533.75</v>
      </c>
    </row>
    <row r="486" spans="1:11" ht="25.95" customHeight="1" x14ac:dyDescent="0.25">
      <c r="A486" s="261" t="s">
        <v>748</v>
      </c>
      <c r="B486" s="262" t="s">
        <v>212</v>
      </c>
      <c r="C486" s="262" t="s">
        <v>701</v>
      </c>
      <c r="D486" s="262" t="s">
        <v>1129</v>
      </c>
      <c r="E486" s="262" t="s">
        <v>747</v>
      </c>
      <c r="F486" s="542">
        <f t="shared" si="110"/>
        <v>11380.55</v>
      </c>
      <c r="G486" s="542">
        <f t="shared" si="110"/>
        <v>15880.55</v>
      </c>
      <c r="H486" s="542">
        <f t="shared" si="110"/>
        <v>15533.75</v>
      </c>
    </row>
    <row r="487" spans="1:11" ht="25.95" customHeight="1" x14ac:dyDescent="0.25">
      <c r="A487" s="261" t="s">
        <v>124</v>
      </c>
      <c r="B487" s="262" t="s">
        <v>212</v>
      </c>
      <c r="C487" s="262" t="s">
        <v>701</v>
      </c>
      <c r="D487" s="262" t="s">
        <v>1129</v>
      </c>
      <c r="E487" s="262" t="s">
        <v>165</v>
      </c>
      <c r="F487" s="542">
        <f>'5'!D102</f>
        <v>11380.55</v>
      </c>
      <c r="G487" s="542">
        <f>'5'!E102</f>
        <v>15880.55</v>
      </c>
      <c r="H487" s="542">
        <f>'5'!F102</f>
        <v>15533.75</v>
      </c>
    </row>
    <row r="488" spans="1:11" s="281" customFormat="1" ht="25.95" customHeight="1" x14ac:dyDescent="0.3">
      <c r="A488" s="17" t="s">
        <v>1131</v>
      </c>
      <c r="B488" s="272" t="s">
        <v>212</v>
      </c>
      <c r="C488" s="272" t="s">
        <v>701</v>
      </c>
      <c r="D488" s="272" t="s">
        <v>1130</v>
      </c>
      <c r="E488" s="272" t="s">
        <v>223</v>
      </c>
      <c r="F488" s="296">
        <f>F489</f>
        <v>0</v>
      </c>
      <c r="G488" s="296">
        <f t="shared" ref="G488:H489" si="111">G489</f>
        <v>38</v>
      </c>
      <c r="H488" s="296">
        <f t="shared" si="111"/>
        <v>38</v>
      </c>
    </row>
    <row r="489" spans="1:11" ht="25.95" customHeight="1" x14ac:dyDescent="0.25">
      <c r="A489" s="261" t="s">
        <v>748</v>
      </c>
      <c r="B489" s="262" t="s">
        <v>212</v>
      </c>
      <c r="C489" s="262" t="s">
        <v>701</v>
      </c>
      <c r="D489" s="262" t="s">
        <v>1130</v>
      </c>
      <c r="E489" s="262" t="s">
        <v>747</v>
      </c>
      <c r="F489" s="542">
        <f>F490</f>
        <v>0</v>
      </c>
      <c r="G489" s="542">
        <f t="shared" si="111"/>
        <v>38</v>
      </c>
      <c r="H489" s="542">
        <f t="shared" si="111"/>
        <v>38</v>
      </c>
    </row>
    <row r="490" spans="1:11" ht="25.95" customHeight="1" x14ac:dyDescent="0.25">
      <c r="A490" s="261" t="s">
        <v>124</v>
      </c>
      <c r="B490" s="262" t="s">
        <v>212</v>
      </c>
      <c r="C490" s="262" t="s">
        <v>701</v>
      </c>
      <c r="D490" s="262" t="s">
        <v>1130</v>
      </c>
      <c r="E490" s="262" t="s">
        <v>165</v>
      </c>
      <c r="F490" s="531">
        <f>'5'!D103</f>
        <v>0</v>
      </c>
      <c r="G490" s="531">
        <f>'5'!E103</f>
        <v>38</v>
      </c>
      <c r="H490" s="531">
        <v>38</v>
      </c>
    </row>
    <row r="491" spans="1:11" ht="20.25" customHeight="1" x14ac:dyDescent="0.25">
      <c r="A491" s="256" t="s">
        <v>848</v>
      </c>
      <c r="B491" s="257" t="s">
        <v>212</v>
      </c>
      <c r="C491" s="257" t="s">
        <v>111</v>
      </c>
      <c r="D491" s="257" t="s">
        <v>699</v>
      </c>
      <c r="E491" s="257" t="s">
        <v>223</v>
      </c>
      <c r="F491" s="258">
        <f>F492+F537+F516+F521+F529+F509</f>
        <v>48219.301009999996</v>
      </c>
      <c r="G491" s="258">
        <f t="shared" ref="G491:H491" si="112">G492+G537+G516+G521+G529+G509</f>
        <v>42276.503009999993</v>
      </c>
      <c r="H491" s="258">
        <f t="shared" si="112"/>
        <v>42084.301009999996</v>
      </c>
    </row>
    <row r="492" spans="1:11" s="266" customFormat="1" ht="48.75" customHeight="1" x14ac:dyDescent="0.3">
      <c r="A492" s="264" t="s">
        <v>845</v>
      </c>
      <c r="B492" s="13" t="s">
        <v>212</v>
      </c>
      <c r="C492" s="13" t="s">
        <v>111</v>
      </c>
      <c r="D492" s="13" t="s">
        <v>22</v>
      </c>
      <c r="E492" s="13" t="s">
        <v>223</v>
      </c>
      <c r="F492" s="265">
        <f>F493</f>
        <v>28471.999999999996</v>
      </c>
      <c r="G492" s="265">
        <f t="shared" ref="G492:H492" si="113">G493</f>
        <v>25387</v>
      </c>
      <c r="H492" s="265">
        <f t="shared" si="113"/>
        <v>25387</v>
      </c>
      <c r="I492" s="309"/>
      <c r="J492" s="309"/>
      <c r="K492" s="309"/>
    </row>
    <row r="493" spans="1:11" ht="33.75" customHeight="1" x14ac:dyDescent="0.25">
      <c r="A493" s="298" t="s">
        <v>838</v>
      </c>
      <c r="B493" s="262" t="s">
        <v>212</v>
      </c>
      <c r="C493" s="262" t="s">
        <v>111</v>
      </c>
      <c r="D493" s="262" t="s">
        <v>42</v>
      </c>
      <c r="E493" s="262" t="s">
        <v>223</v>
      </c>
      <c r="F493" s="263">
        <f>F494+F502+F498+F504</f>
        <v>28471.999999999996</v>
      </c>
      <c r="G493" s="263">
        <f>G494+G502+G498+G504</f>
        <v>25387</v>
      </c>
      <c r="H493" s="263">
        <f t="shared" ref="H493" si="114">H494+H502+H498+H504</f>
        <v>25387</v>
      </c>
    </row>
    <row r="494" spans="1:11" ht="30" customHeight="1" x14ac:dyDescent="0.25">
      <c r="A494" s="261" t="s">
        <v>839</v>
      </c>
      <c r="B494" s="262" t="s">
        <v>212</v>
      </c>
      <c r="C494" s="262" t="s">
        <v>111</v>
      </c>
      <c r="D494" s="262" t="s">
        <v>840</v>
      </c>
      <c r="E494" s="262" t="s">
        <v>223</v>
      </c>
      <c r="F494" s="263">
        <f>F495</f>
        <v>26605.766659999998</v>
      </c>
      <c r="G494" s="263">
        <f t="shared" ref="G494:H494" si="115">G495</f>
        <v>23349.132000000001</v>
      </c>
      <c r="H494" s="263">
        <f t="shared" si="115"/>
        <v>23349.132000000001</v>
      </c>
    </row>
    <row r="495" spans="1:11" ht="52.5" customHeight="1" x14ac:dyDescent="0.25">
      <c r="A495" s="261" t="s">
        <v>748</v>
      </c>
      <c r="B495" s="262" t="s">
        <v>212</v>
      </c>
      <c r="C495" s="262" t="s">
        <v>111</v>
      </c>
      <c r="D495" s="262" t="s">
        <v>840</v>
      </c>
      <c r="E495" s="262" t="s">
        <v>747</v>
      </c>
      <c r="F495" s="263">
        <f>F496+F497+F503+F508</f>
        <v>26605.766659999998</v>
      </c>
      <c r="G495" s="263">
        <f t="shared" ref="G495:H495" si="116">G496+G497+G503+G508</f>
        <v>23349.132000000001</v>
      </c>
      <c r="H495" s="263">
        <f t="shared" si="116"/>
        <v>23349.132000000001</v>
      </c>
    </row>
    <row r="496" spans="1:11" ht="36" customHeight="1" x14ac:dyDescent="0.25">
      <c r="A496" s="261" t="s">
        <v>451</v>
      </c>
      <c r="B496" s="262" t="s">
        <v>212</v>
      </c>
      <c r="C496" s="262" t="s">
        <v>111</v>
      </c>
      <c r="D496" s="262" t="s">
        <v>452</v>
      </c>
      <c r="E496" s="262" t="s">
        <v>165</v>
      </c>
      <c r="F496" s="542">
        <f>'5'!D71</f>
        <v>50</v>
      </c>
      <c r="G496" s="485">
        <f>'5'!E71</f>
        <v>0</v>
      </c>
      <c r="H496" s="485">
        <f>'5'!F71</f>
        <v>0</v>
      </c>
    </row>
    <row r="497" spans="1:9" ht="35.1" customHeight="1" x14ac:dyDescent="0.25">
      <c r="A497" s="261" t="s">
        <v>525</v>
      </c>
      <c r="B497" s="262" t="s">
        <v>212</v>
      </c>
      <c r="C497" s="262" t="s">
        <v>111</v>
      </c>
      <c r="D497" s="262" t="s">
        <v>43</v>
      </c>
      <c r="E497" s="262" t="s">
        <v>165</v>
      </c>
      <c r="F497" s="542">
        <f>'5'!D74</f>
        <v>9509.4951799999999</v>
      </c>
      <c r="G497" s="485">
        <f>'5'!E74</f>
        <v>7974.3330000000005</v>
      </c>
      <c r="H497" s="485">
        <f>'5'!F74</f>
        <v>7974.3330000000005</v>
      </c>
      <c r="I497" s="268">
        <f>F497+F501</f>
        <v>10235.1</v>
      </c>
    </row>
    <row r="498" spans="1:9" ht="54.6" customHeight="1" x14ac:dyDescent="0.25">
      <c r="A498" s="261" t="s">
        <v>849</v>
      </c>
      <c r="B498" s="262" t="s">
        <v>212</v>
      </c>
      <c r="C498" s="262" t="s">
        <v>111</v>
      </c>
      <c r="D498" s="262" t="s">
        <v>536</v>
      </c>
      <c r="E498" s="262" t="s">
        <v>223</v>
      </c>
      <c r="F498" s="542">
        <f>F499</f>
        <v>725.60482000000002</v>
      </c>
      <c r="G498" s="485">
        <f t="shared" ref="G498:H498" si="117">G499</f>
        <v>860.76700000000005</v>
      </c>
      <c r="H498" s="485">
        <f t="shared" si="117"/>
        <v>860.76700000000005</v>
      </c>
      <c r="I498" s="247">
        <f>'5'!D74</f>
        <v>9509.4951799999999</v>
      </c>
    </row>
    <row r="499" spans="1:9" ht="51" customHeight="1" x14ac:dyDescent="0.25">
      <c r="A499" s="261" t="s">
        <v>748</v>
      </c>
      <c r="B499" s="262" t="s">
        <v>212</v>
      </c>
      <c r="C499" s="262" t="s">
        <v>111</v>
      </c>
      <c r="D499" s="262" t="s">
        <v>536</v>
      </c>
      <c r="E499" s="262" t="s">
        <v>747</v>
      </c>
      <c r="F499" s="542">
        <f>F500+F501</f>
        <v>725.60482000000002</v>
      </c>
      <c r="G499" s="485">
        <f t="shared" ref="G499:H499" si="118">G500+G501</f>
        <v>860.76700000000005</v>
      </c>
      <c r="H499" s="485">
        <f t="shared" si="118"/>
        <v>860.76700000000005</v>
      </c>
      <c r="I499" s="448">
        <f>I497-I498</f>
        <v>725.60482000000047</v>
      </c>
    </row>
    <row r="500" spans="1:9" ht="64.2" hidden="1" customHeight="1" x14ac:dyDescent="0.25">
      <c r="A500" s="261" t="s">
        <v>124</v>
      </c>
      <c r="B500" s="262" t="s">
        <v>212</v>
      </c>
      <c r="C500" s="262" t="s">
        <v>111</v>
      </c>
      <c r="D500" s="262" t="s">
        <v>536</v>
      </c>
      <c r="E500" s="262" t="s">
        <v>165</v>
      </c>
      <c r="F500" s="542"/>
      <c r="G500" s="485"/>
      <c r="H500" s="263"/>
    </row>
    <row r="501" spans="1:9" ht="64.2" customHeight="1" x14ac:dyDescent="0.25">
      <c r="A501" s="293" t="s">
        <v>641</v>
      </c>
      <c r="B501" s="269" t="s">
        <v>212</v>
      </c>
      <c r="C501" s="269" t="s">
        <v>111</v>
      </c>
      <c r="D501" s="269" t="s">
        <v>536</v>
      </c>
      <c r="E501" s="269" t="s">
        <v>165</v>
      </c>
      <c r="F501" s="542">
        <f>860.767-135.16218</f>
        <v>725.60482000000002</v>
      </c>
      <c r="G501" s="485">
        <v>860.76700000000005</v>
      </c>
      <c r="H501" s="485">
        <v>860.76700000000005</v>
      </c>
    </row>
    <row r="502" spans="1:9" ht="64.2" customHeight="1" x14ac:dyDescent="0.25">
      <c r="A502" s="293" t="s">
        <v>517</v>
      </c>
      <c r="B502" s="269" t="s">
        <v>212</v>
      </c>
      <c r="C502" s="269" t="s">
        <v>111</v>
      </c>
      <c r="D502" s="269" t="s">
        <v>440</v>
      </c>
      <c r="E502" s="269" t="s">
        <v>165</v>
      </c>
      <c r="F502" s="542">
        <f>'5'!D73</f>
        <v>135</v>
      </c>
      <c r="G502" s="485">
        <f>'5'!E73</f>
        <v>0</v>
      </c>
      <c r="H502" s="485">
        <f>'5'!F73</f>
        <v>0</v>
      </c>
    </row>
    <row r="503" spans="1:9" ht="31.5" customHeight="1" x14ac:dyDescent="0.25">
      <c r="A503" s="261" t="s">
        <v>460</v>
      </c>
      <c r="B503" s="262" t="s">
        <v>212</v>
      </c>
      <c r="C503" s="262" t="s">
        <v>111</v>
      </c>
      <c r="D503" s="262" t="s">
        <v>44</v>
      </c>
      <c r="E503" s="262" t="s">
        <v>165</v>
      </c>
      <c r="F503" s="542">
        <f>'5'!D75</f>
        <v>16252.47148</v>
      </c>
      <c r="G503" s="485">
        <f>'5'!E75</f>
        <v>14580.999</v>
      </c>
      <c r="H503" s="485">
        <f>'5'!F75</f>
        <v>14580.999</v>
      </c>
      <c r="I503" s="268">
        <f>F503+F507</f>
        <v>17258.099999999999</v>
      </c>
    </row>
    <row r="504" spans="1:9" ht="63.6" customHeight="1" x14ac:dyDescent="0.25">
      <c r="A504" s="261" t="s">
        <v>850</v>
      </c>
      <c r="B504" s="262" t="s">
        <v>212</v>
      </c>
      <c r="C504" s="262" t="s">
        <v>111</v>
      </c>
      <c r="D504" s="262" t="s">
        <v>536</v>
      </c>
      <c r="E504" s="262" t="s">
        <v>223</v>
      </c>
      <c r="F504" s="542">
        <f>F505</f>
        <v>1005.6285200000001</v>
      </c>
      <c r="G504" s="485">
        <f>G505</f>
        <v>1177.1010000000001</v>
      </c>
      <c r="H504" s="263">
        <f>H505</f>
        <v>1177.1010000000001</v>
      </c>
      <c r="I504" s="247">
        <f>'5'!D75</f>
        <v>16252.47148</v>
      </c>
    </row>
    <row r="505" spans="1:9" ht="51.6" customHeight="1" x14ac:dyDescent="0.25">
      <c r="A505" s="261" t="s">
        <v>748</v>
      </c>
      <c r="B505" s="262" t="s">
        <v>212</v>
      </c>
      <c r="C505" s="262" t="s">
        <v>111</v>
      </c>
      <c r="D505" s="262" t="s">
        <v>536</v>
      </c>
      <c r="E505" s="262" t="s">
        <v>747</v>
      </c>
      <c r="F505" s="542">
        <f>F506+F507</f>
        <v>1005.6285200000001</v>
      </c>
      <c r="G505" s="485">
        <f t="shared" ref="G505:H505" si="119">G506+G507</f>
        <v>1177.1010000000001</v>
      </c>
      <c r="H505" s="485">
        <f t="shared" si="119"/>
        <v>1177.1010000000001</v>
      </c>
      <c r="I505" s="268">
        <f>I503-I504</f>
        <v>1005.6285199999984</v>
      </c>
    </row>
    <row r="506" spans="1:9" ht="35.25" hidden="1" customHeight="1" x14ac:dyDescent="0.25">
      <c r="A506" s="261" t="s">
        <v>124</v>
      </c>
      <c r="B506" s="262" t="s">
        <v>212</v>
      </c>
      <c r="C506" s="262" t="s">
        <v>111</v>
      </c>
      <c r="D506" s="262" t="s">
        <v>536</v>
      </c>
      <c r="E506" s="262" t="s">
        <v>165</v>
      </c>
      <c r="F506" s="542"/>
      <c r="G506" s="263"/>
      <c r="H506" s="263"/>
    </row>
    <row r="507" spans="1:9" ht="116.25" customHeight="1" x14ac:dyDescent="0.25">
      <c r="A507" s="293" t="s">
        <v>641</v>
      </c>
      <c r="B507" s="269" t="s">
        <v>212</v>
      </c>
      <c r="C507" s="269" t="s">
        <v>111</v>
      </c>
      <c r="D507" s="269" t="s">
        <v>536</v>
      </c>
      <c r="E507" s="269" t="s">
        <v>165</v>
      </c>
      <c r="F507" s="542">
        <f>1177.101-171.47248</f>
        <v>1005.6285200000001</v>
      </c>
      <c r="G507" s="485">
        <v>1177.1010000000001</v>
      </c>
      <c r="H507" s="485">
        <v>1177.1010000000001</v>
      </c>
    </row>
    <row r="508" spans="1:9" ht="115.5" customHeight="1" x14ac:dyDescent="0.25">
      <c r="A508" s="261" t="s">
        <v>613</v>
      </c>
      <c r="B508" s="262" t="s">
        <v>212</v>
      </c>
      <c r="C508" s="262" t="s">
        <v>111</v>
      </c>
      <c r="D508" s="262" t="s">
        <v>461</v>
      </c>
      <c r="E508" s="262" t="s">
        <v>165</v>
      </c>
      <c r="F508" s="485">
        <f>'5'!D83</f>
        <v>793.8</v>
      </c>
      <c r="G508" s="485">
        <f>'5'!E83</f>
        <v>793.8</v>
      </c>
      <c r="H508" s="485">
        <f>'5'!F83</f>
        <v>793.8</v>
      </c>
    </row>
    <row r="509" spans="1:9" ht="82.2" customHeight="1" x14ac:dyDescent="0.25">
      <c r="A509" s="17" t="s">
        <v>370</v>
      </c>
      <c r="B509" s="262" t="s">
        <v>212</v>
      </c>
      <c r="C509" s="262" t="s">
        <v>111</v>
      </c>
      <c r="D509" s="262" t="s">
        <v>699</v>
      </c>
      <c r="E509" s="262" t="s">
        <v>223</v>
      </c>
      <c r="F509" s="296">
        <f>F510+F513</f>
        <v>2000</v>
      </c>
      <c r="G509" s="296">
        <f t="shared" ref="G509:H509" si="120">G510+G513</f>
        <v>192.202</v>
      </c>
      <c r="H509" s="296">
        <f t="shared" si="120"/>
        <v>0</v>
      </c>
    </row>
    <row r="510" spans="1:9" ht="82.2" customHeight="1" x14ac:dyDescent="0.25">
      <c r="A510" s="261" t="s">
        <v>867</v>
      </c>
      <c r="B510" s="262" t="s">
        <v>212</v>
      </c>
      <c r="C510" s="262" t="s">
        <v>111</v>
      </c>
      <c r="D510" s="262" t="s">
        <v>868</v>
      </c>
      <c r="E510" s="262" t="s">
        <v>223</v>
      </c>
      <c r="F510" s="485">
        <f>F511</f>
        <v>1980</v>
      </c>
      <c r="G510" s="485">
        <f t="shared" ref="G510:H511" si="121">G511</f>
        <v>0</v>
      </c>
      <c r="H510" s="485">
        <f t="shared" si="121"/>
        <v>0</v>
      </c>
    </row>
    <row r="511" spans="1:9" ht="45" customHeight="1" x14ac:dyDescent="0.25">
      <c r="A511" s="261" t="s">
        <v>748</v>
      </c>
      <c r="B511" s="262" t="s">
        <v>212</v>
      </c>
      <c r="C511" s="262" t="s">
        <v>111</v>
      </c>
      <c r="D511" s="262" t="s">
        <v>868</v>
      </c>
      <c r="E511" s="262" t="s">
        <v>747</v>
      </c>
      <c r="F511" s="485">
        <f>F512</f>
        <v>1980</v>
      </c>
      <c r="G511" s="485">
        <f t="shared" si="121"/>
        <v>0</v>
      </c>
      <c r="H511" s="485">
        <f t="shared" si="121"/>
        <v>0</v>
      </c>
    </row>
    <row r="512" spans="1:9" ht="29.25" customHeight="1" x14ac:dyDescent="0.25">
      <c r="A512" s="261" t="s">
        <v>124</v>
      </c>
      <c r="B512" s="262" t="s">
        <v>212</v>
      </c>
      <c r="C512" s="262" t="s">
        <v>111</v>
      </c>
      <c r="D512" s="262" t="s">
        <v>868</v>
      </c>
      <c r="E512" s="262" t="s">
        <v>165</v>
      </c>
      <c r="F512" s="263">
        <f>'5'!D79</f>
        <v>1980</v>
      </c>
      <c r="G512" s="263">
        <f>'5'!E79</f>
        <v>0</v>
      </c>
      <c r="H512" s="263">
        <f>'5'!F79</f>
        <v>0</v>
      </c>
    </row>
    <row r="513" spans="1:8" ht="63.75" customHeight="1" x14ac:dyDescent="0.25">
      <c r="A513" s="264" t="s">
        <v>1067</v>
      </c>
      <c r="B513" s="13" t="s">
        <v>212</v>
      </c>
      <c r="C513" s="13" t="s">
        <v>111</v>
      </c>
      <c r="D513" s="13" t="s">
        <v>1066</v>
      </c>
      <c r="E513" s="13" t="s">
        <v>223</v>
      </c>
      <c r="F513" s="265">
        <f>F514</f>
        <v>20</v>
      </c>
      <c r="G513" s="265">
        <f t="shared" ref="G513:H514" si="122">G514</f>
        <v>192.202</v>
      </c>
      <c r="H513" s="265">
        <f t="shared" si="122"/>
        <v>0</v>
      </c>
    </row>
    <row r="514" spans="1:8" ht="20.399999999999999" customHeight="1" x14ac:dyDescent="0.25">
      <c r="A514" s="261" t="s">
        <v>748</v>
      </c>
      <c r="B514" s="262" t="s">
        <v>212</v>
      </c>
      <c r="C514" s="262" t="s">
        <v>111</v>
      </c>
      <c r="D514" s="262" t="s">
        <v>1066</v>
      </c>
      <c r="E514" s="262" t="s">
        <v>747</v>
      </c>
      <c r="F514" s="542">
        <f>F515</f>
        <v>20</v>
      </c>
      <c r="G514" s="542">
        <f t="shared" si="122"/>
        <v>192.202</v>
      </c>
      <c r="H514" s="542">
        <f t="shared" si="122"/>
        <v>0</v>
      </c>
    </row>
    <row r="515" spans="1:8" ht="20.399999999999999" customHeight="1" x14ac:dyDescent="0.25">
      <c r="A515" s="261" t="s">
        <v>124</v>
      </c>
      <c r="B515" s="262" t="s">
        <v>212</v>
      </c>
      <c r="C515" s="262" t="s">
        <v>111</v>
      </c>
      <c r="D515" s="262" t="s">
        <v>1066</v>
      </c>
      <c r="E515" s="262" t="s">
        <v>165</v>
      </c>
      <c r="F515" s="542">
        <v>20</v>
      </c>
      <c r="G515" s="542">
        <f>'5'!E80</f>
        <v>192.202</v>
      </c>
      <c r="H515" s="542">
        <v>0</v>
      </c>
    </row>
    <row r="516" spans="1:8" s="266" customFormat="1" ht="55.2" customHeight="1" x14ac:dyDescent="0.3">
      <c r="A516" s="264" t="s">
        <v>560</v>
      </c>
      <c r="B516" s="13" t="s">
        <v>212</v>
      </c>
      <c r="C516" s="13" t="s">
        <v>111</v>
      </c>
      <c r="D516" s="13" t="s">
        <v>58</v>
      </c>
      <c r="E516" s="13" t="s">
        <v>223</v>
      </c>
      <c r="F516" s="267">
        <f>F518+F524</f>
        <v>17747.301009999999</v>
      </c>
      <c r="G516" s="267">
        <f>G518+G524</f>
        <v>16697.301009999999</v>
      </c>
      <c r="H516" s="267">
        <f>H518+H524</f>
        <v>16697.301009999999</v>
      </c>
    </row>
    <row r="517" spans="1:8" s="266" customFormat="1" ht="52.95" customHeight="1" x14ac:dyDescent="0.3">
      <c r="A517" s="264" t="s">
        <v>490</v>
      </c>
      <c r="B517" s="13" t="s">
        <v>212</v>
      </c>
      <c r="C517" s="13" t="s">
        <v>111</v>
      </c>
      <c r="D517" s="13" t="s">
        <v>58</v>
      </c>
      <c r="E517" s="13" t="s">
        <v>223</v>
      </c>
      <c r="F517" s="267">
        <f>F518</f>
        <v>16737.2</v>
      </c>
      <c r="G517" s="267">
        <f>G518</f>
        <v>15687.2</v>
      </c>
      <c r="H517" s="267">
        <f>H518</f>
        <v>15687.2</v>
      </c>
    </row>
    <row r="518" spans="1:8" ht="25.2" customHeight="1" x14ac:dyDescent="0.25">
      <c r="A518" s="261" t="s">
        <v>116</v>
      </c>
      <c r="B518" s="262" t="s">
        <v>212</v>
      </c>
      <c r="C518" s="262" t="s">
        <v>111</v>
      </c>
      <c r="D518" s="262" t="s">
        <v>58</v>
      </c>
      <c r="E518" s="262" t="s">
        <v>747</v>
      </c>
      <c r="F518" s="542">
        <f>F519+F520</f>
        <v>16737.2</v>
      </c>
      <c r="G518" s="542">
        <f>G519+G520</f>
        <v>15687.2</v>
      </c>
      <c r="H518" s="542">
        <f>H519+H520</f>
        <v>15687.2</v>
      </c>
    </row>
    <row r="519" spans="1:8" ht="60.75" customHeight="1" x14ac:dyDescent="0.25">
      <c r="A519" s="17" t="s">
        <v>508</v>
      </c>
      <c r="B519" s="272" t="s">
        <v>212</v>
      </c>
      <c r="C519" s="272" t="s">
        <v>111</v>
      </c>
      <c r="D519" s="272" t="s">
        <v>491</v>
      </c>
      <c r="E519" s="272" t="s">
        <v>165</v>
      </c>
      <c r="F519" s="296">
        <f>'5'!D184</f>
        <v>11874.7</v>
      </c>
      <c r="G519" s="296">
        <f>'5'!E184</f>
        <v>11174.7</v>
      </c>
      <c r="H519" s="296">
        <f>'5'!F184</f>
        <v>11174.7</v>
      </c>
    </row>
    <row r="520" spans="1:8" ht="60.75" customHeight="1" x14ac:dyDescent="0.25">
      <c r="A520" s="17" t="s">
        <v>851</v>
      </c>
      <c r="B520" s="272" t="s">
        <v>212</v>
      </c>
      <c r="C520" s="272" t="s">
        <v>111</v>
      </c>
      <c r="D520" s="272" t="s">
        <v>492</v>
      </c>
      <c r="E520" s="272" t="s">
        <v>165</v>
      </c>
      <c r="F520" s="296">
        <f>'5'!D186</f>
        <v>4862.5</v>
      </c>
      <c r="G520" s="296">
        <f>'5'!E186</f>
        <v>4512.5</v>
      </c>
      <c r="H520" s="296">
        <f>'5'!F186</f>
        <v>4512.5</v>
      </c>
    </row>
    <row r="521" spans="1:8" ht="57" hidden="1" customHeight="1" x14ac:dyDescent="0.25">
      <c r="A521" s="34" t="s">
        <v>451</v>
      </c>
      <c r="B521" s="272" t="s">
        <v>212</v>
      </c>
      <c r="C521" s="272" t="s">
        <v>111</v>
      </c>
      <c r="D521" s="32" t="s">
        <v>639</v>
      </c>
      <c r="E521" s="272" t="s">
        <v>747</v>
      </c>
      <c r="F521" s="296">
        <f>F522</f>
        <v>0</v>
      </c>
      <c r="G521" s="296">
        <f>G522</f>
        <v>0</v>
      </c>
      <c r="H521" s="296">
        <f>H522</f>
        <v>0</v>
      </c>
    </row>
    <row r="522" spans="1:8" ht="58.5" hidden="1" customHeight="1" x14ac:dyDescent="0.25">
      <c r="A522" s="261" t="s">
        <v>638</v>
      </c>
      <c r="B522" s="262" t="s">
        <v>212</v>
      </c>
      <c r="C522" s="262" t="s">
        <v>111</v>
      </c>
      <c r="D522" s="8" t="s">
        <v>639</v>
      </c>
      <c r="E522" s="262" t="s">
        <v>165</v>
      </c>
      <c r="F522" s="459">
        <v>0</v>
      </c>
      <c r="G522" s="263">
        <v>0</v>
      </c>
      <c r="H522" s="263">
        <v>0</v>
      </c>
    </row>
    <row r="523" spans="1:8" ht="34.5" hidden="1" customHeight="1" x14ac:dyDescent="0.25">
      <c r="A523" s="17"/>
      <c r="B523" s="272"/>
      <c r="C523" s="272"/>
      <c r="D523" s="272"/>
      <c r="E523" s="272"/>
      <c r="F523" s="296"/>
      <c r="G523" s="273"/>
      <c r="H523" s="273"/>
    </row>
    <row r="524" spans="1:8" ht="80.7" customHeight="1" x14ac:dyDescent="0.25">
      <c r="A524" s="17" t="s">
        <v>338</v>
      </c>
      <c r="B524" s="272" t="s">
        <v>212</v>
      </c>
      <c r="C524" s="272" t="s">
        <v>111</v>
      </c>
      <c r="D524" s="272" t="s">
        <v>699</v>
      </c>
      <c r="E524" s="272" t="s">
        <v>223</v>
      </c>
      <c r="F524" s="273">
        <f>F525+F527</f>
        <v>1010.10101</v>
      </c>
      <c r="G524" s="273">
        <f>G525+G527</f>
        <v>1010.10101</v>
      </c>
      <c r="H524" s="273">
        <f>H525+H527</f>
        <v>1010.10101</v>
      </c>
    </row>
    <row r="525" spans="1:8" ht="88.95" customHeight="1" x14ac:dyDescent="0.25">
      <c r="A525" s="261" t="s">
        <v>852</v>
      </c>
      <c r="B525" s="262" t="s">
        <v>212</v>
      </c>
      <c r="C525" s="262" t="s">
        <v>111</v>
      </c>
      <c r="D525" s="262" t="s">
        <v>393</v>
      </c>
      <c r="E525" s="262" t="s">
        <v>223</v>
      </c>
      <c r="F525" s="263">
        <f>F526</f>
        <v>1000</v>
      </c>
      <c r="G525" s="263">
        <f>G526</f>
        <v>1000</v>
      </c>
      <c r="H525" s="263">
        <f>H526</f>
        <v>1000</v>
      </c>
    </row>
    <row r="526" spans="1:8" ht="23.25" customHeight="1" x14ac:dyDescent="0.25">
      <c r="A526" s="261" t="s">
        <v>124</v>
      </c>
      <c r="B526" s="262" t="s">
        <v>212</v>
      </c>
      <c r="C526" s="262" t="s">
        <v>111</v>
      </c>
      <c r="D526" s="262" t="s">
        <v>393</v>
      </c>
      <c r="E526" s="262" t="s">
        <v>747</v>
      </c>
      <c r="F526" s="263">
        <v>1000</v>
      </c>
      <c r="G526" s="263">
        <v>1000</v>
      </c>
      <c r="H526" s="263">
        <v>1000</v>
      </c>
    </row>
    <row r="527" spans="1:8" ht="111.75" customHeight="1" x14ac:dyDescent="0.25">
      <c r="A527" s="261" t="s">
        <v>853</v>
      </c>
      <c r="B527" s="262" t="s">
        <v>212</v>
      </c>
      <c r="C527" s="262" t="s">
        <v>111</v>
      </c>
      <c r="D527" s="269" t="s">
        <v>612</v>
      </c>
      <c r="E527" s="262" t="s">
        <v>747</v>
      </c>
      <c r="F527" s="263">
        <f>F528</f>
        <v>10.10101</v>
      </c>
      <c r="G527" s="263">
        <f>G528</f>
        <v>10.10101</v>
      </c>
      <c r="H527" s="263">
        <f>H528</f>
        <v>10.10101</v>
      </c>
    </row>
    <row r="528" spans="1:8" ht="26.25" customHeight="1" x14ac:dyDescent="0.25">
      <c r="A528" s="261" t="s">
        <v>124</v>
      </c>
      <c r="B528" s="262" t="s">
        <v>212</v>
      </c>
      <c r="C528" s="262" t="s">
        <v>111</v>
      </c>
      <c r="D528" s="269" t="s">
        <v>612</v>
      </c>
      <c r="E528" s="262" t="s">
        <v>165</v>
      </c>
      <c r="F528" s="263">
        <f>'5'!D178</f>
        <v>10.10101</v>
      </c>
      <c r="G528" s="263">
        <f>'5'!E178</f>
        <v>10.10101</v>
      </c>
      <c r="H528" s="263">
        <f>'5'!F178</f>
        <v>10.10101</v>
      </c>
    </row>
    <row r="529" spans="1:8" s="266" customFormat="1" ht="48.75" hidden="1" customHeight="1" x14ac:dyDescent="0.3">
      <c r="A529" s="12" t="s">
        <v>487</v>
      </c>
      <c r="B529" s="29" t="s">
        <v>212</v>
      </c>
      <c r="C529" s="29" t="s">
        <v>111</v>
      </c>
      <c r="D529" s="317" t="s">
        <v>632</v>
      </c>
      <c r="E529" s="317" t="s">
        <v>223</v>
      </c>
      <c r="F529" s="128">
        <f t="shared" ref="F529:H530" si="123">F530</f>
        <v>0</v>
      </c>
      <c r="G529" s="128">
        <f t="shared" si="123"/>
        <v>0</v>
      </c>
      <c r="H529" s="128">
        <f t="shared" si="123"/>
        <v>0</v>
      </c>
    </row>
    <row r="530" spans="1:8" ht="26.25" hidden="1" customHeight="1" x14ac:dyDescent="0.25">
      <c r="A530" s="21" t="s">
        <v>854</v>
      </c>
      <c r="B530" s="8" t="s">
        <v>212</v>
      </c>
      <c r="C530" s="8" t="s">
        <v>111</v>
      </c>
      <c r="D530" s="6" t="s">
        <v>632</v>
      </c>
      <c r="E530" s="6" t="s">
        <v>747</v>
      </c>
      <c r="F530" s="19">
        <f t="shared" si="123"/>
        <v>0</v>
      </c>
      <c r="G530" s="19">
        <f t="shared" si="123"/>
        <v>0</v>
      </c>
      <c r="H530" s="19">
        <f t="shared" si="123"/>
        <v>0</v>
      </c>
    </row>
    <row r="531" spans="1:8" ht="26.25" hidden="1" customHeight="1" x14ac:dyDescent="0.25">
      <c r="A531" s="21" t="s">
        <v>855</v>
      </c>
      <c r="B531" s="8" t="s">
        <v>212</v>
      </c>
      <c r="C531" s="8" t="s">
        <v>111</v>
      </c>
      <c r="D531" s="6" t="s">
        <v>632</v>
      </c>
      <c r="E531" s="6" t="s">
        <v>165</v>
      </c>
      <c r="F531" s="19">
        <v>0</v>
      </c>
      <c r="G531" s="263">
        <v>0</v>
      </c>
      <c r="H531" s="263">
        <v>0</v>
      </c>
    </row>
    <row r="532" spans="1:8" ht="26.25" hidden="1" customHeight="1" x14ac:dyDescent="0.25">
      <c r="A532" s="17" t="s">
        <v>827</v>
      </c>
      <c r="B532" s="262" t="s">
        <v>212</v>
      </c>
      <c r="C532" s="262" t="s">
        <v>111</v>
      </c>
      <c r="D532" s="262" t="s">
        <v>856</v>
      </c>
      <c r="E532" s="272" t="s">
        <v>223</v>
      </c>
      <c r="F532" s="273">
        <f>F533</f>
        <v>0</v>
      </c>
      <c r="G532" s="273">
        <f t="shared" ref="G532:H534" si="124">G533</f>
        <v>0</v>
      </c>
      <c r="H532" s="273">
        <f t="shared" si="124"/>
        <v>0</v>
      </c>
    </row>
    <row r="533" spans="1:8" ht="26.25" hidden="1" customHeight="1" x14ac:dyDescent="0.25">
      <c r="A533" s="261" t="s">
        <v>857</v>
      </c>
      <c r="B533" s="262" t="s">
        <v>212</v>
      </c>
      <c r="C533" s="262" t="s">
        <v>111</v>
      </c>
      <c r="D533" s="262" t="s">
        <v>858</v>
      </c>
      <c r="E533" s="262" t="s">
        <v>223</v>
      </c>
      <c r="F533" s="263">
        <f>F534</f>
        <v>0</v>
      </c>
      <c r="G533" s="263">
        <f t="shared" si="124"/>
        <v>0</v>
      </c>
      <c r="H533" s="263">
        <f t="shared" si="124"/>
        <v>0</v>
      </c>
    </row>
    <row r="534" spans="1:8" ht="47.25" hidden="1" customHeight="1" x14ac:dyDescent="0.25">
      <c r="A534" s="261" t="s">
        <v>748</v>
      </c>
      <c r="B534" s="262" t="s">
        <v>212</v>
      </c>
      <c r="C534" s="262" t="s">
        <v>111</v>
      </c>
      <c r="D534" s="262" t="s">
        <v>859</v>
      </c>
      <c r="E534" s="262" t="s">
        <v>747</v>
      </c>
      <c r="F534" s="263">
        <f>F535</f>
        <v>0</v>
      </c>
      <c r="G534" s="263">
        <f t="shared" si="124"/>
        <v>0</v>
      </c>
      <c r="H534" s="263">
        <f t="shared" si="124"/>
        <v>0</v>
      </c>
    </row>
    <row r="535" spans="1:8" ht="21" hidden="1" customHeight="1" x14ac:dyDescent="0.25">
      <c r="A535" s="261" t="s">
        <v>124</v>
      </c>
      <c r="B535" s="262" t="s">
        <v>212</v>
      </c>
      <c r="C535" s="262" t="s">
        <v>111</v>
      </c>
      <c r="D535" s="262" t="s">
        <v>860</v>
      </c>
      <c r="E535" s="262" t="s">
        <v>165</v>
      </c>
      <c r="F535" s="263"/>
      <c r="G535" s="263"/>
      <c r="H535" s="263"/>
    </row>
    <row r="536" spans="1:8" ht="12.75" hidden="1" customHeight="1" x14ac:dyDescent="0.25">
      <c r="A536" s="261"/>
      <c r="B536" s="262"/>
      <c r="C536" s="262"/>
      <c r="D536" s="262"/>
      <c r="E536" s="262"/>
      <c r="F536" s="263"/>
      <c r="G536" s="263"/>
      <c r="H536" s="263"/>
    </row>
    <row r="537" spans="1:8" ht="50.4" hidden="1" customHeight="1" x14ac:dyDescent="0.25">
      <c r="A537" s="264" t="s">
        <v>861</v>
      </c>
      <c r="B537" s="13" t="s">
        <v>212</v>
      </c>
      <c r="C537" s="13" t="s">
        <v>111</v>
      </c>
      <c r="D537" s="13" t="s">
        <v>473</v>
      </c>
      <c r="E537" s="13" t="s">
        <v>223</v>
      </c>
      <c r="F537" s="265">
        <f t="shared" ref="F537:H538" si="125">F538</f>
        <v>0</v>
      </c>
      <c r="G537" s="265">
        <f t="shared" si="125"/>
        <v>0</v>
      </c>
      <c r="H537" s="265">
        <f t="shared" si="125"/>
        <v>0</v>
      </c>
    </row>
    <row r="538" spans="1:8" ht="49.95" hidden="1" customHeight="1" x14ac:dyDescent="0.25">
      <c r="A538" s="261" t="s">
        <v>748</v>
      </c>
      <c r="B538" s="262" t="s">
        <v>212</v>
      </c>
      <c r="C538" s="262" t="s">
        <v>111</v>
      </c>
      <c r="D538" s="262" t="s">
        <v>473</v>
      </c>
      <c r="E538" s="262" t="s">
        <v>747</v>
      </c>
      <c r="F538" s="263">
        <f t="shared" si="125"/>
        <v>0</v>
      </c>
      <c r="G538" s="263">
        <f t="shared" si="125"/>
        <v>0</v>
      </c>
      <c r="H538" s="263">
        <f t="shared" si="125"/>
        <v>0</v>
      </c>
    </row>
    <row r="539" spans="1:8" ht="19.2" hidden="1" customHeight="1" x14ac:dyDescent="0.25">
      <c r="A539" s="261" t="s">
        <v>124</v>
      </c>
      <c r="B539" s="262" t="s">
        <v>212</v>
      </c>
      <c r="C539" s="262" t="s">
        <v>111</v>
      </c>
      <c r="D539" s="262" t="s">
        <v>473</v>
      </c>
      <c r="E539" s="262" t="s">
        <v>165</v>
      </c>
      <c r="F539" s="263"/>
      <c r="G539" s="263"/>
      <c r="H539" s="263"/>
    </row>
    <row r="540" spans="1:8" s="266" customFormat="1" ht="48.75" customHeight="1" x14ac:dyDescent="0.3">
      <c r="A540" s="256" t="s">
        <v>845</v>
      </c>
      <c r="B540" s="257" t="s">
        <v>212</v>
      </c>
      <c r="C540" s="257" t="s">
        <v>718</v>
      </c>
      <c r="D540" s="257" t="s">
        <v>22</v>
      </c>
      <c r="E540" s="257" t="s">
        <v>223</v>
      </c>
      <c r="F540" s="258">
        <f>F541+F545</f>
        <v>218</v>
      </c>
      <c r="G540" s="258">
        <f t="shared" ref="G540:H540" si="126">G541+G545</f>
        <v>138</v>
      </c>
      <c r="H540" s="258">
        <f t="shared" si="126"/>
        <v>138</v>
      </c>
    </row>
    <row r="541" spans="1:8" ht="32.25" customHeight="1" x14ac:dyDescent="0.25">
      <c r="A541" s="298" t="s">
        <v>862</v>
      </c>
      <c r="B541" s="262" t="s">
        <v>212</v>
      </c>
      <c r="C541" s="262" t="s">
        <v>718</v>
      </c>
      <c r="D541" s="262" t="s">
        <v>48</v>
      </c>
      <c r="E541" s="262" t="s">
        <v>223</v>
      </c>
      <c r="F541" s="263">
        <f t="shared" ref="F541:H543" si="127">F542</f>
        <v>80</v>
      </c>
      <c r="G541" s="263">
        <f t="shared" si="127"/>
        <v>50</v>
      </c>
      <c r="H541" s="263">
        <f t="shared" si="127"/>
        <v>50</v>
      </c>
    </row>
    <row r="542" spans="1:8" ht="32.25" customHeight="1" x14ac:dyDescent="0.25">
      <c r="A542" s="261" t="s">
        <v>863</v>
      </c>
      <c r="B542" s="262" t="s">
        <v>212</v>
      </c>
      <c r="C542" s="262" t="s">
        <v>718</v>
      </c>
      <c r="D542" s="262" t="s">
        <v>49</v>
      </c>
      <c r="E542" s="262" t="s">
        <v>223</v>
      </c>
      <c r="F542" s="263">
        <f>F543</f>
        <v>80</v>
      </c>
      <c r="G542" s="263">
        <f t="shared" si="127"/>
        <v>50</v>
      </c>
      <c r="H542" s="263">
        <f t="shared" si="127"/>
        <v>50</v>
      </c>
    </row>
    <row r="543" spans="1:8" ht="49.5" customHeight="1" x14ac:dyDescent="0.25">
      <c r="A543" s="261" t="s">
        <v>748</v>
      </c>
      <c r="B543" s="262" t="s">
        <v>212</v>
      </c>
      <c r="C543" s="262" t="s">
        <v>718</v>
      </c>
      <c r="D543" s="262" t="s">
        <v>49</v>
      </c>
      <c r="E543" s="262" t="s">
        <v>747</v>
      </c>
      <c r="F543" s="263">
        <f>F544</f>
        <v>80</v>
      </c>
      <c r="G543" s="263">
        <f t="shared" si="127"/>
        <v>50</v>
      </c>
      <c r="H543" s="263">
        <f t="shared" si="127"/>
        <v>50</v>
      </c>
    </row>
    <row r="544" spans="1:8" ht="20.25" customHeight="1" x14ac:dyDescent="0.25">
      <c r="A544" s="261" t="s">
        <v>124</v>
      </c>
      <c r="B544" s="262" t="s">
        <v>212</v>
      </c>
      <c r="C544" s="262" t="s">
        <v>718</v>
      </c>
      <c r="D544" s="262" t="s">
        <v>49</v>
      </c>
      <c r="E544" s="262" t="s">
        <v>165</v>
      </c>
      <c r="F544" s="485">
        <f>'5'!D88</f>
        <v>80</v>
      </c>
      <c r="G544" s="485">
        <f>'5'!E88</f>
        <v>50</v>
      </c>
      <c r="H544" s="485">
        <f>'5'!F88</f>
        <v>50</v>
      </c>
    </row>
    <row r="545" spans="1:9" ht="68.25" customHeight="1" x14ac:dyDescent="0.25">
      <c r="A545" s="261" t="s">
        <v>1064</v>
      </c>
      <c r="B545" s="262" t="s">
        <v>212</v>
      </c>
      <c r="C545" s="262" t="s">
        <v>718</v>
      </c>
      <c r="D545" s="262" t="s">
        <v>1061</v>
      </c>
      <c r="E545" s="262" t="s">
        <v>223</v>
      </c>
      <c r="F545" s="485">
        <f>F546</f>
        <v>138</v>
      </c>
      <c r="G545" s="485">
        <f t="shared" ref="G545:H546" si="128">G546</f>
        <v>88</v>
      </c>
      <c r="H545" s="485">
        <f t="shared" si="128"/>
        <v>88</v>
      </c>
      <c r="I545" s="247" t="s">
        <v>1048</v>
      </c>
    </row>
    <row r="546" spans="1:9" ht="39" customHeight="1" x14ac:dyDescent="0.25">
      <c r="A546" s="21" t="s">
        <v>709</v>
      </c>
      <c r="B546" s="262" t="s">
        <v>212</v>
      </c>
      <c r="C546" s="262" t="s">
        <v>718</v>
      </c>
      <c r="D546" s="262" t="s">
        <v>1061</v>
      </c>
      <c r="E546" s="262" t="s">
        <v>710</v>
      </c>
      <c r="F546" s="485">
        <f>F547</f>
        <v>138</v>
      </c>
      <c r="G546" s="485">
        <f t="shared" si="128"/>
        <v>88</v>
      </c>
      <c r="H546" s="485">
        <f t="shared" si="128"/>
        <v>88</v>
      </c>
    </row>
    <row r="547" spans="1:9" ht="51.75" customHeight="1" x14ac:dyDescent="0.25">
      <c r="A547" s="22" t="s">
        <v>711</v>
      </c>
      <c r="B547" s="262" t="s">
        <v>212</v>
      </c>
      <c r="C547" s="262" t="s">
        <v>718</v>
      </c>
      <c r="D547" s="262" t="s">
        <v>1061</v>
      </c>
      <c r="E547" s="262" t="s">
        <v>712</v>
      </c>
      <c r="F547" s="485">
        <f>'5'!D260</f>
        <v>138</v>
      </c>
      <c r="G547" s="485">
        <f>'5'!E260</f>
        <v>88</v>
      </c>
      <c r="H547" s="485">
        <f>'5'!F260</f>
        <v>88</v>
      </c>
    </row>
    <row r="548" spans="1:9" ht="51.75" hidden="1" customHeight="1" x14ac:dyDescent="0.25">
      <c r="A548" s="261"/>
      <c r="B548" s="262"/>
      <c r="C548" s="262"/>
      <c r="D548" s="262"/>
      <c r="E548" s="262"/>
      <c r="F548" s="485"/>
      <c r="G548" s="485"/>
      <c r="H548" s="485"/>
    </row>
    <row r="549" spans="1:9" ht="20.25" hidden="1" customHeight="1" x14ac:dyDescent="0.25">
      <c r="A549" s="261"/>
      <c r="B549" s="262"/>
      <c r="C549" s="262"/>
      <c r="D549" s="262"/>
      <c r="E549" s="262"/>
      <c r="F549" s="485"/>
      <c r="G549" s="485"/>
      <c r="H549" s="485"/>
    </row>
    <row r="550" spans="1:9" ht="20.25" hidden="1" customHeight="1" x14ac:dyDescent="0.25">
      <c r="A550" s="261"/>
      <c r="B550" s="262"/>
      <c r="C550" s="262"/>
      <c r="D550" s="262"/>
      <c r="E550" s="262"/>
      <c r="F550" s="485"/>
      <c r="G550" s="485"/>
      <c r="H550" s="485"/>
    </row>
    <row r="551" spans="1:9" ht="20.25" hidden="1" customHeight="1" x14ac:dyDescent="0.25">
      <c r="A551" s="261"/>
      <c r="B551" s="262"/>
      <c r="C551" s="262"/>
      <c r="D551" s="262"/>
      <c r="E551" s="262"/>
      <c r="F551" s="485"/>
      <c r="G551" s="485"/>
      <c r="H551" s="485"/>
    </row>
    <row r="552" spans="1:9" ht="20.25" hidden="1" customHeight="1" x14ac:dyDescent="0.25">
      <c r="A552" s="261"/>
      <c r="B552" s="262"/>
      <c r="C552" s="262"/>
      <c r="D552" s="262"/>
      <c r="E552" s="262"/>
      <c r="F552" s="485"/>
      <c r="G552" s="485"/>
      <c r="H552" s="485"/>
    </row>
    <row r="553" spans="1:9" ht="20.25" hidden="1" customHeight="1" x14ac:dyDescent="0.25">
      <c r="A553" s="261"/>
      <c r="B553" s="262"/>
      <c r="C553" s="262"/>
      <c r="D553" s="262"/>
      <c r="E553" s="262"/>
      <c r="F553" s="485"/>
      <c r="G553" s="485"/>
      <c r="H553" s="485"/>
    </row>
    <row r="554" spans="1:9" ht="20.25" hidden="1" customHeight="1" x14ac:dyDescent="0.25">
      <c r="A554" s="261"/>
      <c r="B554" s="262"/>
      <c r="C554" s="262"/>
      <c r="D554" s="262"/>
      <c r="E554" s="262"/>
      <c r="F554" s="485"/>
      <c r="G554" s="485"/>
      <c r="H554" s="485"/>
    </row>
    <row r="555" spans="1:9" ht="20.25" hidden="1" customHeight="1" x14ac:dyDescent="0.25">
      <c r="A555" s="261"/>
      <c r="B555" s="262"/>
      <c r="C555" s="262"/>
      <c r="D555" s="262"/>
      <c r="E555" s="262"/>
      <c r="F555" s="485"/>
      <c r="G555" s="485"/>
      <c r="H555" s="485"/>
    </row>
    <row r="556" spans="1:9" ht="20.25" hidden="1" customHeight="1" x14ac:dyDescent="0.25">
      <c r="A556" s="261"/>
      <c r="B556" s="262"/>
      <c r="C556" s="262"/>
      <c r="D556" s="262"/>
      <c r="E556" s="262"/>
      <c r="F556" s="485"/>
      <c r="G556" s="485"/>
      <c r="H556" s="485"/>
    </row>
    <row r="557" spans="1:9" ht="20.25" hidden="1" customHeight="1" x14ac:dyDescent="0.25">
      <c r="A557" s="318" t="s">
        <v>864</v>
      </c>
      <c r="B557" s="319" t="s">
        <v>212</v>
      </c>
      <c r="C557" s="319" t="s">
        <v>212</v>
      </c>
      <c r="D557" s="319" t="s">
        <v>699</v>
      </c>
      <c r="E557" s="319" t="s">
        <v>223</v>
      </c>
      <c r="F557" s="320">
        <f t="shared" ref="F557:H559" si="129">F558</f>
        <v>0</v>
      </c>
      <c r="G557" s="320">
        <f t="shared" si="129"/>
        <v>0</v>
      </c>
      <c r="H557" s="320">
        <f t="shared" si="129"/>
        <v>0</v>
      </c>
    </row>
    <row r="558" spans="1:9" ht="50.1" hidden="1" customHeight="1" x14ac:dyDescent="0.25">
      <c r="A558" s="318" t="s">
        <v>255</v>
      </c>
      <c r="B558" s="319" t="s">
        <v>212</v>
      </c>
      <c r="C558" s="319" t="s">
        <v>212</v>
      </c>
      <c r="D558" s="319" t="s">
        <v>22</v>
      </c>
      <c r="E558" s="319" t="s">
        <v>223</v>
      </c>
      <c r="F558" s="284">
        <f t="shared" si="129"/>
        <v>0</v>
      </c>
      <c r="G558" s="284">
        <f t="shared" si="129"/>
        <v>0</v>
      </c>
      <c r="H558" s="284">
        <f t="shared" si="129"/>
        <v>0</v>
      </c>
    </row>
    <row r="559" spans="1:9" ht="33.75" hidden="1" customHeight="1" x14ac:dyDescent="0.25">
      <c r="A559" s="321" t="s">
        <v>250</v>
      </c>
      <c r="B559" s="322" t="s">
        <v>212</v>
      </c>
      <c r="C559" s="322" t="s">
        <v>212</v>
      </c>
      <c r="D559" s="322" t="s">
        <v>50</v>
      </c>
      <c r="E559" s="322" t="s">
        <v>223</v>
      </c>
      <c r="F559" s="284">
        <f t="shared" si="129"/>
        <v>0</v>
      </c>
      <c r="G559" s="284">
        <f t="shared" si="129"/>
        <v>0</v>
      </c>
      <c r="H559" s="284">
        <f t="shared" si="129"/>
        <v>0</v>
      </c>
    </row>
    <row r="560" spans="1:9" s="266" customFormat="1" ht="65.25" hidden="1" customHeight="1" x14ac:dyDescent="0.3">
      <c r="A560" s="318" t="s">
        <v>396</v>
      </c>
      <c r="B560" s="319" t="s">
        <v>212</v>
      </c>
      <c r="C560" s="319" t="s">
        <v>212</v>
      </c>
      <c r="D560" s="319" t="s">
        <v>50</v>
      </c>
      <c r="E560" s="319" t="s">
        <v>223</v>
      </c>
      <c r="F560" s="320">
        <f>F561+F562</f>
        <v>0</v>
      </c>
      <c r="G560" s="320">
        <f>G561+G562</f>
        <v>0</v>
      </c>
      <c r="H560" s="320">
        <f>H561+H562</f>
        <v>0</v>
      </c>
    </row>
    <row r="561" spans="1:8" ht="33" hidden="1" customHeight="1" x14ac:dyDescent="0.25">
      <c r="A561" s="323" t="s">
        <v>865</v>
      </c>
      <c r="B561" s="322" t="s">
        <v>212</v>
      </c>
      <c r="C561" s="322" t="s">
        <v>212</v>
      </c>
      <c r="D561" s="322" t="s">
        <v>51</v>
      </c>
      <c r="E561" s="322" t="s">
        <v>866</v>
      </c>
      <c r="F561" s="284">
        <f>F562</f>
        <v>0</v>
      </c>
      <c r="G561" s="284">
        <f>G562</f>
        <v>0</v>
      </c>
      <c r="H561" s="284">
        <f>H562</f>
        <v>0</v>
      </c>
    </row>
    <row r="562" spans="1:8" ht="33" hidden="1" customHeight="1" x14ac:dyDescent="0.25">
      <c r="A562" s="323" t="s">
        <v>120</v>
      </c>
      <c r="B562" s="322" t="s">
        <v>212</v>
      </c>
      <c r="C562" s="322" t="s">
        <v>212</v>
      </c>
      <c r="D562" s="322" t="s">
        <v>51</v>
      </c>
      <c r="E562" s="322" t="s">
        <v>121</v>
      </c>
      <c r="F562" s="284"/>
      <c r="G562" s="284"/>
      <c r="H562" s="284"/>
    </row>
    <row r="563" spans="1:8" ht="48.75" hidden="1" customHeight="1" x14ac:dyDescent="0.25">
      <c r="A563" s="323" t="s">
        <v>748</v>
      </c>
      <c r="B563" s="322" t="s">
        <v>212</v>
      </c>
      <c r="C563" s="322" t="s">
        <v>212</v>
      </c>
      <c r="D563" s="322" t="s">
        <v>51</v>
      </c>
      <c r="E563" s="322" t="s">
        <v>747</v>
      </c>
      <c r="F563" s="284">
        <f>F564</f>
        <v>0</v>
      </c>
      <c r="G563" s="284">
        <f>G564</f>
        <v>0</v>
      </c>
      <c r="H563" s="284">
        <f>H564</f>
        <v>0</v>
      </c>
    </row>
    <row r="564" spans="1:8" ht="18" hidden="1" customHeight="1" x14ac:dyDescent="0.25">
      <c r="A564" s="323" t="s">
        <v>124</v>
      </c>
      <c r="B564" s="322" t="s">
        <v>212</v>
      </c>
      <c r="C564" s="322" t="s">
        <v>212</v>
      </c>
      <c r="D564" s="322" t="s">
        <v>51</v>
      </c>
      <c r="E564" s="322" t="s">
        <v>165</v>
      </c>
      <c r="F564" s="284"/>
      <c r="G564" s="284"/>
      <c r="H564" s="284"/>
    </row>
    <row r="565" spans="1:8" ht="51" hidden="1" customHeight="1" x14ac:dyDescent="0.25">
      <c r="A565" s="17" t="s">
        <v>370</v>
      </c>
      <c r="B565" s="262" t="s">
        <v>212</v>
      </c>
      <c r="C565" s="262" t="s">
        <v>212</v>
      </c>
      <c r="D565" s="272" t="s">
        <v>699</v>
      </c>
      <c r="E565" s="272" t="s">
        <v>223</v>
      </c>
      <c r="F565" s="273">
        <f>F566</f>
        <v>0</v>
      </c>
      <c r="G565" s="273">
        <f t="shared" ref="G565:H567" si="130">G566</f>
        <v>0</v>
      </c>
      <c r="H565" s="273">
        <f t="shared" si="130"/>
        <v>0</v>
      </c>
    </row>
    <row r="566" spans="1:8" ht="82.95" hidden="1" customHeight="1" x14ac:dyDescent="0.25">
      <c r="A566" s="261" t="s">
        <v>867</v>
      </c>
      <c r="B566" s="262" t="s">
        <v>212</v>
      </c>
      <c r="C566" s="262" t="s">
        <v>212</v>
      </c>
      <c r="D566" s="262" t="s">
        <v>868</v>
      </c>
      <c r="E566" s="262" t="s">
        <v>223</v>
      </c>
      <c r="F566" s="263">
        <f>F567</f>
        <v>0</v>
      </c>
      <c r="G566" s="263">
        <f t="shared" si="130"/>
        <v>0</v>
      </c>
      <c r="H566" s="263">
        <f t="shared" si="130"/>
        <v>0</v>
      </c>
    </row>
    <row r="567" spans="1:8" ht="45.6" hidden="1" customHeight="1" x14ac:dyDescent="0.25">
      <c r="A567" s="261" t="s">
        <v>748</v>
      </c>
      <c r="B567" s="262" t="s">
        <v>212</v>
      </c>
      <c r="C567" s="262" t="s">
        <v>212</v>
      </c>
      <c r="D567" s="262" t="s">
        <v>868</v>
      </c>
      <c r="E567" s="262" t="s">
        <v>747</v>
      </c>
      <c r="F567" s="263">
        <f>F568</f>
        <v>0</v>
      </c>
      <c r="G567" s="263">
        <f t="shared" si="130"/>
        <v>0</v>
      </c>
      <c r="H567" s="263">
        <f t="shared" si="130"/>
        <v>0</v>
      </c>
    </row>
    <row r="568" spans="1:8" ht="23.25" hidden="1" customHeight="1" x14ac:dyDescent="0.25">
      <c r="A568" s="261" t="s">
        <v>124</v>
      </c>
      <c r="B568" s="262" t="s">
        <v>212</v>
      </c>
      <c r="C568" s="262" t="s">
        <v>212</v>
      </c>
      <c r="D568" s="262" t="s">
        <v>868</v>
      </c>
      <c r="E568" s="262" t="s">
        <v>165</v>
      </c>
      <c r="F568" s="263"/>
      <c r="G568" s="263"/>
      <c r="H568" s="263"/>
    </row>
    <row r="569" spans="1:8" ht="94.2" hidden="1" customHeight="1" x14ac:dyDescent="0.25">
      <c r="A569" s="261" t="s">
        <v>869</v>
      </c>
      <c r="B569" s="262" t="s">
        <v>212</v>
      </c>
      <c r="C569" s="262" t="s">
        <v>212</v>
      </c>
      <c r="D569" s="262" t="s">
        <v>1066</v>
      </c>
      <c r="E569" s="262" t="s">
        <v>223</v>
      </c>
      <c r="F569" s="263">
        <f t="shared" ref="F569:H570" si="131">F570</f>
        <v>0</v>
      </c>
      <c r="G569" s="263">
        <f t="shared" si="131"/>
        <v>0</v>
      </c>
      <c r="H569" s="263">
        <f t="shared" si="131"/>
        <v>0</v>
      </c>
    </row>
    <row r="570" spans="1:8" ht="48" hidden="1" customHeight="1" x14ac:dyDescent="0.25">
      <c r="A570" s="261" t="s">
        <v>748</v>
      </c>
      <c r="B570" s="262" t="s">
        <v>212</v>
      </c>
      <c r="C570" s="262" t="s">
        <v>212</v>
      </c>
      <c r="D570" s="262" t="s">
        <v>1065</v>
      </c>
      <c r="E570" s="262" t="s">
        <v>747</v>
      </c>
      <c r="F570" s="263">
        <f t="shared" si="131"/>
        <v>0</v>
      </c>
      <c r="G570" s="263">
        <f t="shared" si="131"/>
        <v>0</v>
      </c>
      <c r="H570" s="263">
        <f t="shared" si="131"/>
        <v>0</v>
      </c>
    </row>
    <row r="571" spans="1:8" ht="23.25" hidden="1" customHeight="1" x14ac:dyDescent="0.25">
      <c r="A571" s="261" t="s">
        <v>124</v>
      </c>
      <c r="B571" s="262" t="s">
        <v>212</v>
      </c>
      <c r="C571" s="262" t="s">
        <v>212</v>
      </c>
      <c r="D571" s="262" t="s">
        <v>1065</v>
      </c>
      <c r="E571" s="262" t="s">
        <v>165</v>
      </c>
      <c r="F571" s="263"/>
      <c r="G571" s="263"/>
      <c r="H571" s="263"/>
    </row>
    <row r="572" spans="1:8" ht="66" hidden="1" customHeight="1" x14ac:dyDescent="0.25">
      <c r="A572" s="261" t="s">
        <v>458</v>
      </c>
      <c r="B572" s="262" t="s">
        <v>212</v>
      </c>
      <c r="C572" s="262" t="s">
        <v>212</v>
      </c>
      <c r="D572" s="262" t="s">
        <v>457</v>
      </c>
      <c r="E572" s="262" t="s">
        <v>223</v>
      </c>
      <c r="F572" s="263">
        <f t="shared" ref="F572:H573" si="132">F573</f>
        <v>0</v>
      </c>
      <c r="G572" s="263">
        <f t="shared" si="132"/>
        <v>0</v>
      </c>
      <c r="H572" s="263">
        <f t="shared" si="132"/>
        <v>0</v>
      </c>
    </row>
    <row r="573" spans="1:8" ht="23.25" hidden="1" customHeight="1" x14ac:dyDescent="0.25">
      <c r="A573" s="278" t="s">
        <v>748</v>
      </c>
      <c r="B573" s="262" t="s">
        <v>212</v>
      </c>
      <c r="C573" s="262" t="s">
        <v>212</v>
      </c>
      <c r="D573" s="262" t="s">
        <v>457</v>
      </c>
      <c r="E573" s="262" t="s">
        <v>747</v>
      </c>
      <c r="F573" s="263">
        <f t="shared" si="132"/>
        <v>0</v>
      </c>
      <c r="G573" s="263">
        <f t="shared" si="132"/>
        <v>0</v>
      </c>
      <c r="H573" s="263">
        <f t="shared" si="132"/>
        <v>0</v>
      </c>
    </row>
    <row r="574" spans="1:8" ht="23.25" hidden="1" customHeight="1" x14ac:dyDescent="0.25">
      <c r="A574" s="278" t="s">
        <v>124</v>
      </c>
      <c r="B574" s="262" t="s">
        <v>212</v>
      </c>
      <c r="C574" s="262" t="s">
        <v>212</v>
      </c>
      <c r="D574" s="262" t="s">
        <v>457</v>
      </c>
      <c r="E574" s="262" t="s">
        <v>165</v>
      </c>
      <c r="F574" s="263"/>
      <c r="G574" s="263"/>
      <c r="H574" s="263"/>
    </row>
    <row r="575" spans="1:8" s="266" customFormat="1" ht="18" customHeight="1" x14ac:dyDescent="0.3">
      <c r="A575" s="256" t="s">
        <v>871</v>
      </c>
      <c r="B575" s="257" t="s">
        <v>212</v>
      </c>
      <c r="C575" s="257" t="s">
        <v>780</v>
      </c>
      <c r="D575" s="257" t="s">
        <v>699</v>
      </c>
      <c r="E575" s="257" t="s">
        <v>223</v>
      </c>
      <c r="F575" s="258">
        <f>F576+F607+F615+F621+F633+F626+F630</f>
        <v>63515.008739999997</v>
      </c>
      <c r="G575" s="258">
        <f>G576+G607+G615+G621+G633+G626+G630</f>
        <v>61567.064180000001</v>
      </c>
      <c r="H575" s="258">
        <f>H576+H607+H615+H621+H633+H626+H630</f>
        <v>57456.5</v>
      </c>
    </row>
    <row r="576" spans="1:8" s="266" customFormat="1" ht="49.5" customHeight="1" x14ac:dyDescent="0.3">
      <c r="A576" s="301" t="s">
        <v>845</v>
      </c>
      <c r="B576" s="269" t="s">
        <v>212</v>
      </c>
      <c r="C576" s="269" t="s">
        <v>780</v>
      </c>
      <c r="D576" s="292" t="s">
        <v>22</v>
      </c>
      <c r="E576" s="292" t="s">
        <v>223</v>
      </c>
      <c r="F576" s="485">
        <f>F584+F590+F604+F577</f>
        <v>60800.008739999997</v>
      </c>
      <c r="G576" s="485">
        <f t="shared" ref="G576:H576" si="133">G584+G590+G604+G577</f>
        <v>58937.064180000001</v>
      </c>
      <c r="H576" s="485">
        <f t="shared" si="133"/>
        <v>54796.5</v>
      </c>
    </row>
    <row r="577" spans="1:12" s="266" customFormat="1" ht="49.5" customHeight="1" x14ac:dyDescent="0.3">
      <c r="A577" s="479" t="s">
        <v>1076</v>
      </c>
      <c r="B577" s="292" t="s">
        <v>212</v>
      </c>
      <c r="C577" s="292" t="s">
        <v>780</v>
      </c>
      <c r="D577" s="292" t="s">
        <v>42</v>
      </c>
      <c r="E577" s="292" t="s">
        <v>223</v>
      </c>
      <c r="F577" s="267">
        <f>F578+F581</f>
        <v>0</v>
      </c>
      <c r="G577" s="267">
        <f t="shared" ref="G577:H577" si="134">G578+G581</f>
        <v>4190.5641800000003</v>
      </c>
      <c r="H577" s="267">
        <f t="shared" si="134"/>
        <v>0</v>
      </c>
    </row>
    <row r="578" spans="1:12" s="266" customFormat="1" ht="49.5" customHeight="1" x14ac:dyDescent="0.3">
      <c r="A578" s="21" t="s">
        <v>1077</v>
      </c>
      <c r="B578" s="269" t="s">
        <v>212</v>
      </c>
      <c r="C578" s="269" t="s">
        <v>780</v>
      </c>
      <c r="D578" s="3" t="s">
        <v>1075</v>
      </c>
      <c r="E578" s="292" t="s">
        <v>223</v>
      </c>
      <c r="F578" s="485">
        <f>F579</f>
        <v>0</v>
      </c>
      <c r="G578" s="485">
        <f t="shared" ref="G578:H579" si="135">G579</f>
        <v>4148.6585400000004</v>
      </c>
      <c r="H578" s="485">
        <f t="shared" si="135"/>
        <v>0</v>
      </c>
    </row>
    <row r="579" spans="1:12" s="266" customFormat="1" ht="49.5" customHeight="1" x14ac:dyDescent="0.3">
      <c r="A579" s="294" t="s">
        <v>748</v>
      </c>
      <c r="B579" s="269" t="s">
        <v>212</v>
      </c>
      <c r="C579" s="269" t="s">
        <v>780</v>
      </c>
      <c r="D579" s="3" t="s">
        <v>1075</v>
      </c>
      <c r="E579" s="292" t="s">
        <v>747</v>
      </c>
      <c r="F579" s="485">
        <f>F580</f>
        <v>0</v>
      </c>
      <c r="G579" s="485">
        <f t="shared" si="135"/>
        <v>4148.6585400000004</v>
      </c>
      <c r="H579" s="485">
        <f t="shared" si="135"/>
        <v>0</v>
      </c>
    </row>
    <row r="580" spans="1:12" s="266" customFormat="1" ht="24.75" customHeight="1" x14ac:dyDescent="0.3">
      <c r="A580" s="294" t="s">
        <v>124</v>
      </c>
      <c r="B580" s="269" t="s">
        <v>212</v>
      </c>
      <c r="C580" s="269" t="s">
        <v>780</v>
      </c>
      <c r="D580" s="3" t="s">
        <v>1075</v>
      </c>
      <c r="E580" s="292" t="s">
        <v>165</v>
      </c>
      <c r="F580" s="485">
        <f>'5'!D85</f>
        <v>0</v>
      </c>
      <c r="G580" s="485">
        <f>'5'!E85</f>
        <v>4148.6585400000004</v>
      </c>
      <c r="H580" s="485">
        <f>'5'!F85</f>
        <v>0</v>
      </c>
    </row>
    <row r="581" spans="1:12" s="266" customFormat="1" ht="49.5" customHeight="1" x14ac:dyDescent="0.3">
      <c r="A581" s="473" t="s">
        <v>1078</v>
      </c>
      <c r="B581" s="269" t="s">
        <v>212</v>
      </c>
      <c r="C581" s="269" t="s">
        <v>780</v>
      </c>
      <c r="D581" s="292" t="s">
        <v>1079</v>
      </c>
      <c r="E581" s="292" t="s">
        <v>223</v>
      </c>
      <c r="F581" s="485">
        <f>F582</f>
        <v>0</v>
      </c>
      <c r="G581" s="485">
        <f t="shared" ref="G581:H582" si="136">G582</f>
        <v>41.905639999999998</v>
      </c>
      <c r="H581" s="485">
        <f t="shared" si="136"/>
        <v>0</v>
      </c>
    </row>
    <row r="582" spans="1:12" s="266" customFormat="1" ht="49.5" customHeight="1" x14ac:dyDescent="0.3">
      <c r="A582" s="294" t="s">
        <v>748</v>
      </c>
      <c r="B582" s="269" t="s">
        <v>212</v>
      </c>
      <c r="C582" s="269" t="s">
        <v>780</v>
      </c>
      <c r="D582" s="292" t="s">
        <v>1079</v>
      </c>
      <c r="E582" s="292" t="s">
        <v>747</v>
      </c>
      <c r="F582" s="485">
        <f>F583</f>
        <v>0</v>
      </c>
      <c r="G582" s="485">
        <f t="shared" si="136"/>
        <v>41.905639999999998</v>
      </c>
      <c r="H582" s="485">
        <f t="shared" si="136"/>
        <v>0</v>
      </c>
    </row>
    <row r="583" spans="1:12" s="266" customFormat="1" ht="21" customHeight="1" x14ac:dyDescent="0.3">
      <c r="A583" s="294" t="s">
        <v>124</v>
      </c>
      <c r="B583" s="269" t="s">
        <v>212</v>
      </c>
      <c r="C583" s="269" t="s">
        <v>780</v>
      </c>
      <c r="D583" s="292" t="s">
        <v>1079</v>
      </c>
      <c r="E583" s="292" t="s">
        <v>165</v>
      </c>
      <c r="F583" s="485">
        <f>'5'!D86</f>
        <v>0</v>
      </c>
      <c r="G583" s="485">
        <f>'5'!E86</f>
        <v>41.905639999999998</v>
      </c>
      <c r="H583" s="485">
        <f>'5'!F86</f>
        <v>0</v>
      </c>
    </row>
    <row r="584" spans="1:12" s="266" customFormat="1" ht="43.5" customHeight="1" x14ac:dyDescent="0.3">
      <c r="A584" s="324" t="s">
        <v>250</v>
      </c>
      <c r="B584" s="269" t="s">
        <v>212</v>
      </c>
      <c r="C584" s="269" t="s">
        <v>780</v>
      </c>
      <c r="D584" s="269" t="s">
        <v>50</v>
      </c>
      <c r="E584" s="269" t="s">
        <v>223</v>
      </c>
      <c r="F584" s="485">
        <f>F585</f>
        <v>3371.3712</v>
      </c>
      <c r="G584" s="485">
        <f>G585</f>
        <v>5812.8</v>
      </c>
      <c r="H584" s="485">
        <f>H585</f>
        <v>5812.8</v>
      </c>
    </row>
    <row r="585" spans="1:12" s="266" customFormat="1" ht="63.75" customHeight="1" x14ac:dyDescent="0.3">
      <c r="A585" s="301" t="s">
        <v>396</v>
      </c>
      <c r="B585" s="269" t="s">
        <v>212</v>
      </c>
      <c r="C585" s="269" t="s">
        <v>780</v>
      </c>
      <c r="D585" s="292" t="s">
        <v>50</v>
      </c>
      <c r="E585" s="292" t="s">
        <v>223</v>
      </c>
      <c r="F585" s="267">
        <f>F586+F588</f>
        <v>3371.3712</v>
      </c>
      <c r="G585" s="267">
        <f>G586+G588</f>
        <v>5812.8</v>
      </c>
      <c r="H585" s="267">
        <f>H586+H588</f>
        <v>5812.8</v>
      </c>
    </row>
    <row r="586" spans="1:12" s="266" customFormat="1" ht="44.25" hidden="1" customHeight="1" x14ac:dyDescent="0.3">
      <c r="A586" s="294" t="s">
        <v>865</v>
      </c>
      <c r="B586" s="269" t="s">
        <v>212</v>
      </c>
      <c r="C586" s="269" t="s">
        <v>780</v>
      </c>
      <c r="D586" s="269" t="s">
        <v>51</v>
      </c>
      <c r="E586" s="269" t="s">
        <v>866</v>
      </c>
      <c r="F586" s="485">
        <f>F587</f>
        <v>0</v>
      </c>
      <c r="G586" s="485">
        <f>G587</f>
        <v>0</v>
      </c>
      <c r="H586" s="485">
        <f>H587</f>
        <v>0</v>
      </c>
    </row>
    <row r="587" spans="1:12" s="266" customFormat="1" ht="30.75" hidden="1" customHeight="1" x14ac:dyDescent="0.3">
      <c r="A587" s="294" t="s">
        <v>120</v>
      </c>
      <c r="B587" s="269" t="s">
        <v>212</v>
      </c>
      <c r="C587" s="269" t="s">
        <v>780</v>
      </c>
      <c r="D587" s="269" t="s">
        <v>51</v>
      </c>
      <c r="E587" s="269" t="s">
        <v>121</v>
      </c>
      <c r="F587" s="485"/>
      <c r="G587" s="485"/>
      <c r="H587" s="485"/>
    </row>
    <row r="588" spans="1:12" s="266" customFormat="1" ht="38.25" customHeight="1" x14ac:dyDescent="0.3">
      <c r="A588" s="294" t="s">
        <v>748</v>
      </c>
      <c r="B588" s="269" t="s">
        <v>212</v>
      </c>
      <c r="C588" s="269" t="s">
        <v>780</v>
      </c>
      <c r="D588" s="269" t="s">
        <v>51</v>
      </c>
      <c r="E588" s="269" t="s">
        <v>747</v>
      </c>
      <c r="F588" s="485">
        <f>F589</f>
        <v>3371.3712</v>
      </c>
      <c r="G588" s="485">
        <f>G589</f>
        <v>5812.8</v>
      </c>
      <c r="H588" s="485">
        <f>H589</f>
        <v>5812.8</v>
      </c>
    </row>
    <row r="589" spans="1:12" s="266" customFormat="1" ht="27" customHeight="1" x14ac:dyDescent="0.3">
      <c r="A589" s="294" t="s">
        <v>124</v>
      </c>
      <c r="B589" s="269" t="s">
        <v>212</v>
      </c>
      <c r="C589" s="269" t="s">
        <v>780</v>
      </c>
      <c r="D589" s="269" t="s">
        <v>51</v>
      </c>
      <c r="E589" s="269" t="s">
        <v>165</v>
      </c>
      <c r="F589" s="460">
        <f>'5'!D90-300</f>
        <v>3371.3712</v>
      </c>
      <c r="G589" s="460">
        <f>'5'!E90-300</f>
        <v>5812.8</v>
      </c>
      <c r="H589" s="460">
        <f>'5'!F90-300</f>
        <v>5812.8</v>
      </c>
      <c r="I589" s="309">
        <f>F589+300</f>
        <v>3671.3712</v>
      </c>
    </row>
    <row r="590" spans="1:12" ht="33.75" customHeight="1" x14ac:dyDescent="0.25">
      <c r="A590" s="298" t="s">
        <v>872</v>
      </c>
      <c r="B590" s="262" t="s">
        <v>212</v>
      </c>
      <c r="C590" s="262" t="s">
        <v>780</v>
      </c>
      <c r="D590" s="262" t="s">
        <v>52</v>
      </c>
      <c r="E590" s="262" t="s">
        <v>223</v>
      </c>
      <c r="F590" s="263">
        <f>F591+F599</f>
        <v>57317.637539999996</v>
      </c>
      <c r="G590" s="263">
        <f>G591+G599</f>
        <v>48772.7</v>
      </c>
      <c r="H590" s="263">
        <f>H591+H599</f>
        <v>48772.7</v>
      </c>
      <c r="I590" s="268"/>
      <c r="J590" s="268"/>
      <c r="K590" s="268"/>
      <c r="L590" s="268"/>
    </row>
    <row r="591" spans="1:12" ht="50.25" customHeight="1" x14ac:dyDescent="0.25">
      <c r="A591" s="261" t="s">
        <v>873</v>
      </c>
      <c r="B591" s="262" t="s">
        <v>212</v>
      </c>
      <c r="C591" s="262" t="s">
        <v>780</v>
      </c>
      <c r="D591" s="262" t="s">
        <v>53</v>
      </c>
      <c r="E591" s="262" t="s">
        <v>223</v>
      </c>
      <c r="F591" s="263">
        <f>F592+F594+F596</f>
        <v>57317.637539999996</v>
      </c>
      <c r="G591" s="263">
        <f>G592+G594+G596</f>
        <v>48772.7</v>
      </c>
      <c r="H591" s="263">
        <f>H592+H594+H596</f>
        <v>48772.7</v>
      </c>
      <c r="I591" s="247">
        <f>'5'!D93</f>
        <v>57317.637539999996</v>
      </c>
    </row>
    <row r="592" spans="1:12" ht="95.25" customHeight="1" x14ac:dyDescent="0.25">
      <c r="A592" s="261" t="s">
        <v>703</v>
      </c>
      <c r="B592" s="262" t="s">
        <v>212</v>
      </c>
      <c r="C592" s="262" t="s">
        <v>780</v>
      </c>
      <c r="D592" s="262" t="s">
        <v>53</v>
      </c>
      <c r="E592" s="262" t="s">
        <v>704</v>
      </c>
      <c r="F592" s="263">
        <f>F593</f>
        <v>48958.159999999996</v>
      </c>
      <c r="G592" s="263">
        <f>G593</f>
        <v>45292.1</v>
      </c>
      <c r="H592" s="263">
        <f>H593</f>
        <v>45292.1</v>
      </c>
      <c r="I592" s="268">
        <f>I591-F593-30</f>
        <v>8329.4775399999999</v>
      </c>
    </row>
    <row r="593" spans="1:9" ht="32.25" customHeight="1" x14ac:dyDescent="0.25">
      <c r="A593" s="261" t="s">
        <v>874</v>
      </c>
      <c r="B593" s="262" t="s">
        <v>212</v>
      </c>
      <c r="C593" s="262" t="s">
        <v>780</v>
      </c>
      <c r="D593" s="262" t="s">
        <v>53</v>
      </c>
      <c r="E593" s="262" t="s">
        <v>875</v>
      </c>
      <c r="F593" s="541">
        <f>34720.5+86+10485.6+3666.06</f>
        <v>48958.159999999996</v>
      </c>
      <c r="G593" s="485">
        <f t="shared" ref="G593:H593" si="137">34720.5+86+10485.6</f>
        <v>45292.1</v>
      </c>
      <c r="H593" s="485">
        <f t="shared" si="137"/>
        <v>45292.1</v>
      </c>
    </row>
    <row r="594" spans="1:9" ht="33" customHeight="1" x14ac:dyDescent="0.25">
      <c r="A594" s="261" t="s">
        <v>709</v>
      </c>
      <c r="B594" s="262" t="s">
        <v>212</v>
      </c>
      <c r="C594" s="262" t="s">
        <v>780</v>
      </c>
      <c r="D594" s="262" t="s">
        <v>53</v>
      </c>
      <c r="E594" s="262" t="s">
        <v>710</v>
      </c>
      <c r="F594" s="485">
        <f>F595</f>
        <v>8329.4775399999999</v>
      </c>
      <c r="G594" s="485">
        <f>G595</f>
        <v>3450.6</v>
      </c>
      <c r="H594" s="485">
        <f>H595</f>
        <v>3450.6</v>
      </c>
      <c r="I594" s="268">
        <f>59976.8-F598-F593</f>
        <v>10988.640000000007</v>
      </c>
    </row>
    <row r="595" spans="1:9" ht="48.75" customHeight="1" x14ac:dyDescent="0.25">
      <c r="A595" s="278" t="s">
        <v>711</v>
      </c>
      <c r="B595" s="262" t="s">
        <v>212</v>
      </c>
      <c r="C595" s="262" t="s">
        <v>780</v>
      </c>
      <c r="D595" s="262" t="s">
        <v>53</v>
      </c>
      <c r="E595" s="262" t="s">
        <v>712</v>
      </c>
      <c r="F595" s="542">
        <f>3450.6+129.6+199+50+2000+137.5+46+100+2216.77754</f>
        <v>8329.4775399999999</v>
      </c>
      <c r="G595" s="542">
        <v>3450.6</v>
      </c>
      <c r="H595" s="542">
        <v>3450.6</v>
      </c>
    </row>
    <row r="596" spans="1:9" ht="19.5" customHeight="1" x14ac:dyDescent="0.25">
      <c r="A596" s="261" t="s">
        <v>713</v>
      </c>
      <c r="B596" s="262" t="s">
        <v>212</v>
      </c>
      <c r="C596" s="262" t="s">
        <v>780</v>
      </c>
      <c r="D596" s="262" t="s">
        <v>53</v>
      </c>
      <c r="E596" s="262" t="s">
        <v>714</v>
      </c>
      <c r="F596" s="542">
        <f>F597+F598</f>
        <v>30</v>
      </c>
      <c r="G596" s="542">
        <f>G597+G598</f>
        <v>30</v>
      </c>
      <c r="H596" s="542">
        <f>H597+H598</f>
        <v>30</v>
      </c>
    </row>
    <row r="597" spans="1:9" ht="19.5" hidden="1" customHeight="1" x14ac:dyDescent="0.25">
      <c r="A597" s="261" t="s">
        <v>753</v>
      </c>
      <c r="B597" s="262" t="s">
        <v>212</v>
      </c>
      <c r="C597" s="262" t="s">
        <v>780</v>
      </c>
      <c r="D597" s="262" t="s">
        <v>53</v>
      </c>
      <c r="E597" s="262" t="s">
        <v>754</v>
      </c>
      <c r="F597" s="542"/>
      <c r="G597" s="542"/>
      <c r="H597" s="542"/>
    </row>
    <row r="598" spans="1:9" ht="19.5" customHeight="1" x14ac:dyDescent="0.25">
      <c r="A598" s="261" t="s">
        <v>715</v>
      </c>
      <c r="B598" s="262" t="s">
        <v>212</v>
      </c>
      <c r="C598" s="262" t="s">
        <v>780</v>
      </c>
      <c r="D598" s="262" t="s">
        <v>53</v>
      </c>
      <c r="E598" s="262" t="s">
        <v>716</v>
      </c>
      <c r="F598" s="542">
        <v>30</v>
      </c>
      <c r="G598" s="542">
        <v>30</v>
      </c>
      <c r="H598" s="542">
        <v>30</v>
      </c>
    </row>
    <row r="599" spans="1:9" ht="61.95" hidden="1" customHeight="1" x14ac:dyDescent="0.25">
      <c r="A599" s="324" t="s">
        <v>591</v>
      </c>
      <c r="B599" s="269" t="s">
        <v>212</v>
      </c>
      <c r="C599" s="269" t="s">
        <v>780</v>
      </c>
      <c r="D599" s="269" t="s">
        <v>53</v>
      </c>
      <c r="E599" s="269" t="s">
        <v>223</v>
      </c>
      <c r="F599" s="542">
        <f>F600+F602</f>
        <v>0</v>
      </c>
      <c r="G599" s="542">
        <f>G600+G602</f>
        <v>0</v>
      </c>
      <c r="H599" s="542">
        <f>H600+H602</f>
        <v>0</v>
      </c>
    </row>
    <row r="600" spans="1:9" ht="94.2" hidden="1" customHeight="1" x14ac:dyDescent="0.25">
      <c r="A600" s="293" t="s">
        <v>703</v>
      </c>
      <c r="B600" s="269" t="s">
        <v>212</v>
      </c>
      <c r="C600" s="269" t="s">
        <v>780</v>
      </c>
      <c r="D600" s="269" t="s">
        <v>53</v>
      </c>
      <c r="E600" s="269" t="s">
        <v>704</v>
      </c>
      <c r="F600" s="542">
        <f>F601</f>
        <v>0</v>
      </c>
      <c r="G600" s="542">
        <f>G601</f>
        <v>0</v>
      </c>
      <c r="H600" s="542">
        <f>H601</f>
        <v>0</v>
      </c>
    </row>
    <row r="601" spans="1:9" ht="33" hidden="1" customHeight="1" x14ac:dyDescent="0.25">
      <c r="A601" s="293" t="s">
        <v>874</v>
      </c>
      <c r="B601" s="269" t="s">
        <v>212</v>
      </c>
      <c r="C601" s="269" t="s">
        <v>780</v>
      </c>
      <c r="D601" s="269" t="s">
        <v>53</v>
      </c>
      <c r="E601" s="269" t="s">
        <v>875</v>
      </c>
      <c r="F601" s="542">
        <f>'5'!D94</f>
        <v>0</v>
      </c>
      <c r="G601" s="542">
        <f>'5'!E94</f>
        <v>0</v>
      </c>
      <c r="H601" s="542">
        <f>'5'!F94</f>
        <v>0</v>
      </c>
    </row>
    <row r="602" spans="1:9" ht="34.200000000000003" hidden="1" customHeight="1" x14ac:dyDescent="0.25">
      <c r="A602" s="261" t="s">
        <v>709</v>
      </c>
      <c r="B602" s="262" t="s">
        <v>212</v>
      </c>
      <c r="C602" s="262" t="s">
        <v>780</v>
      </c>
      <c r="D602" s="262" t="s">
        <v>53</v>
      </c>
      <c r="E602" s="262" t="s">
        <v>710</v>
      </c>
      <c r="F602" s="542">
        <f>F603</f>
        <v>0</v>
      </c>
      <c r="G602" s="542">
        <f>G603</f>
        <v>0</v>
      </c>
      <c r="H602" s="542">
        <f>H603</f>
        <v>0</v>
      </c>
    </row>
    <row r="603" spans="1:9" ht="47.25" hidden="1" customHeight="1" x14ac:dyDescent="0.25">
      <c r="A603" s="278" t="s">
        <v>711</v>
      </c>
      <c r="B603" s="262" t="s">
        <v>212</v>
      </c>
      <c r="C603" s="262" t="s">
        <v>780</v>
      </c>
      <c r="D603" s="262" t="s">
        <v>53</v>
      </c>
      <c r="E603" s="262" t="s">
        <v>712</v>
      </c>
      <c r="F603" s="542">
        <v>0</v>
      </c>
      <c r="G603" s="542">
        <v>0</v>
      </c>
      <c r="H603" s="542">
        <v>0</v>
      </c>
    </row>
    <row r="604" spans="1:9" ht="33.75" customHeight="1" x14ac:dyDescent="0.25">
      <c r="A604" s="298" t="s">
        <v>758</v>
      </c>
      <c r="B604" s="262" t="s">
        <v>212</v>
      </c>
      <c r="C604" s="262" t="s">
        <v>780</v>
      </c>
      <c r="D604" s="279" t="s">
        <v>23</v>
      </c>
      <c r="E604" s="262" t="s">
        <v>223</v>
      </c>
      <c r="F604" s="542">
        <f t="shared" ref="F604:H605" si="138">F605</f>
        <v>111</v>
      </c>
      <c r="G604" s="542">
        <f t="shared" si="138"/>
        <v>161</v>
      </c>
      <c r="H604" s="542">
        <f t="shared" si="138"/>
        <v>211</v>
      </c>
    </row>
    <row r="605" spans="1:9" ht="33" customHeight="1" x14ac:dyDescent="0.25">
      <c r="A605" s="261" t="s">
        <v>709</v>
      </c>
      <c r="B605" s="262" t="s">
        <v>212</v>
      </c>
      <c r="C605" s="262" t="s">
        <v>780</v>
      </c>
      <c r="D605" s="279" t="s">
        <v>24</v>
      </c>
      <c r="E605" s="262" t="s">
        <v>710</v>
      </c>
      <c r="F605" s="542">
        <f t="shared" si="138"/>
        <v>111</v>
      </c>
      <c r="G605" s="542">
        <f t="shared" si="138"/>
        <v>161</v>
      </c>
      <c r="H605" s="542">
        <f t="shared" si="138"/>
        <v>211</v>
      </c>
    </row>
    <row r="606" spans="1:9" ht="51" customHeight="1" x14ac:dyDescent="0.25">
      <c r="A606" s="278" t="s">
        <v>711</v>
      </c>
      <c r="B606" s="262" t="s">
        <v>212</v>
      </c>
      <c r="C606" s="262" t="s">
        <v>780</v>
      </c>
      <c r="D606" s="279" t="s">
        <v>24</v>
      </c>
      <c r="E606" s="262" t="s">
        <v>712</v>
      </c>
      <c r="F606" s="460">
        <f>'5'!D96</f>
        <v>111</v>
      </c>
      <c r="G606" s="460">
        <f>'5'!E96</f>
        <v>161</v>
      </c>
      <c r="H606" s="460">
        <f>'5'!F96</f>
        <v>211</v>
      </c>
    </row>
    <row r="607" spans="1:9" s="266" customFormat="1" ht="63" customHeight="1" x14ac:dyDescent="0.3">
      <c r="A607" s="264" t="s">
        <v>876</v>
      </c>
      <c r="B607" s="13" t="s">
        <v>212</v>
      </c>
      <c r="C607" s="13" t="s">
        <v>780</v>
      </c>
      <c r="D607" s="13" t="s">
        <v>54</v>
      </c>
      <c r="E607" s="13" t="s">
        <v>223</v>
      </c>
      <c r="F607" s="267">
        <f>F608+F612</f>
        <v>1465</v>
      </c>
      <c r="G607" s="267">
        <f>G608+G612</f>
        <v>1048</v>
      </c>
      <c r="H607" s="267">
        <f>H608+H612</f>
        <v>1078</v>
      </c>
    </row>
    <row r="608" spans="1:9" ht="18" customHeight="1" x14ac:dyDescent="0.25">
      <c r="A608" s="261" t="s">
        <v>216</v>
      </c>
      <c r="B608" s="262" t="s">
        <v>212</v>
      </c>
      <c r="C608" s="262" t="s">
        <v>780</v>
      </c>
      <c r="D608" s="262" t="s">
        <v>877</v>
      </c>
      <c r="E608" s="262" t="s">
        <v>223</v>
      </c>
      <c r="F608" s="542">
        <f>F609+F611</f>
        <v>600</v>
      </c>
      <c r="G608" s="542">
        <f t="shared" ref="G608:H608" si="139">G609+G611</f>
        <v>758</v>
      </c>
      <c r="H608" s="542">
        <f t="shared" si="139"/>
        <v>778</v>
      </c>
    </row>
    <row r="609" spans="1:8" ht="37.5" customHeight="1" x14ac:dyDescent="0.25">
      <c r="A609" s="261" t="s">
        <v>709</v>
      </c>
      <c r="B609" s="262" t="s">
        <v>212</v>
      </c>
      <c r="C609" s="262" t="s">
        <v>780</v>
      </c>
      <c r="D609" s="262" t="s">
        <v>55</v>
      </c>
      <c r="E609" s="262" t="s">
        <v>710</v>
      </c>
      <c r="F609" s="542">
        <f t="shared" ref="F609:H609" si="140">F610</f>
        <v>3</v>
      </c>
      <c r="G609" s="542">
        <f t="shared" si="140"/>
        <v>236</v>
      </c>
      <c r="H609" s="542">
        <f t="shared" si="140"/>
        <v>256</v>
      </c>
    </row>
    <row r="610" spans="1:8" ht="50.25" customHeight="1" x14ac:dyDescent="0.25">
      <c r="A610" s="278" t="s">
        <v>711</v>
      </c>
      <c r="B610" s="269" t="s">
        <v>212</v>
      </c>
      <c r="C610" s="269" t="s">
        <v>780</v>
      </c>
      <c r="D610" s="269" t="s">
        <v>55</v>
      </c>
      <c r="E610" s="269" t="s">
        <v>712</v>
      </c>
      <c r="F610" s="542">
        <f>'5'!D108-522-75</f>
        <v>3</v>
      </c>
      <c r="G610" s="542">
        <f>'5'!E108-522</f>
        <v>236</v>
      </c>
      <c r="H610" s="542">
        <f>'5'!F108-522</f>
        <v>256</v>
      </c>
    </row>
    <row r="611" spans="1:8" ht="30.6" customHeight="1" x14ac:dyDescent="0.25">
      <c r="A611" s="278" t="s">
        <v>1139</v>
      </c>
      <c r="B611" s="269" t="s">
        <v>212</v>
      </c>
      <c r="C611" s="269" t="s">
        <v>780</v>
      </c>
      <c r="D611" s="269" t="s">
        <v>55</v>
      </c>
      <c r="E611" s="269" t="s">
        <v>875</v>
      </c>
      <c r="F611" s="542">
        <f>522+75</f>
        <v>597</v>
      </c>
      <c r="G611" s="542">
        <v>522</v>
      </c>
      <c r="H611" s="542">
        <v>522</v>
      </c>
    </row>
    <row r="612" spans="1:8" ht="33" customHeight="1" x14ac:dyDescent="0.25">
      <c r="A612" s="261" t="s">
        <v>839</v>
      </c>
      <c r="B612" s="262" t="s">
        <v>212</v>
      </c>
      <c r="C612" s="262" t="s">
        <v>780</v>
      </c>
      <c r="D612" s="262" t="s">
        <v>56</v>
      </c>
      <c r="E612" s="262" t="s">
        <v>223</v>
      </c>
      <c r="F612" s="542">
        <f t="shared" ref="F612:H613" si="141">F613</f>
        <v>865</v>
      </c>
      <c r="G612" s="542">
        <f t="shared" si="141"/>
        <v>290</v>
      </c>
      <c r="H612" s="542">
        <f t="shared" si="141"/>
        <v>300</v>
      </c>
    </row>
    <row r="613" spans="1:8" ht="49.5" customHeight="1" x14ac:dyDescent="0.25">
      <c r="A613" s="261" t="s">
        <v>748</v>
      </c>
      <c r="B613" s="262" t="s">
        <v>212</v>
      </c>
      <c r="C613" s="262" t="s">
        <v>780</v>
      </c>
      <c r="D613" s="262" t="s">
        <v>56</v>
      </c>
      <c r="E613" s="262" t="s">
        <v>747</v>
      </c>
      <c r="F613" s="542">
        <f t="shared" si="141"/>
        <v>865</v>
      </c>
      <c r="G613" s="542">
        <f t="shared" si="141"/>
        <v>290</v>
      </c>
      <c r="H613" s="542">
        <f t="shared" si="141"/>
        <v>300</v>
      </c>
    </row>
    <row r="614" spans="1:8" ht="16.5" customHeight="1" x14ac:dyDescent="0.25">
      <c r="A614" s="261" t="s">
        <v>124</v>
      </c>
      <c r="B614" s="262" t="s">
        <v>212</v>
      </c>
      <c r="C614" s="262" t="s">
        <v>780</v>
      </c>
      <c r="D614" s="262" t="s">
        <v>56</v>
      </c>
      <c r="E614" s="262" t="s">
        <v>165</v>
      </c>
      <c r="F614" s="542">
        <f>'5'!D109</f>
        <v>865</v>
      </c>
      <c r="G614" s="542">
        <f>'5'!E109</f>
        <v>290</v>
      </c>
      <c r="H614" s="542">
        <f>'5'!F109</f>
        <v>300</v>
      </c>
    </row>
    <row r="615" spans="1:8" s="266" customFormat="1" ht="64.5" customHeight="1" x14ac:dyDescent="0.3">
      <c r="A615" s="301" t="s">
        <v>601</v>
      </c>
      <c r="B615" s="292" t="s">
        <v>212</v>
      </c>
      <c r="C615" s="292" t="s">
        <v>780</v>
      </c>
      <c r="D615" s="292" t="s">
        <v>26</v>
      </c>
      <c r="E615" s="292" t="s">
        <v>223</v>
      </c>
      <c r="F615" s="267">
        <f>F616</f>
        <v>660</v>
      </c>
      <c r="G615" s="267">
        <f>G616</f>
        <v>1032</v>
      </c>
      <c r="H615" s="267">
        <f>H616</f>
        <v>1032</v>
      </c>
    </row>
    <row r="616" spans="1:8" ht="19.5" customHeight="1" x14ac:dyDescent="0.25">
      <c r="A616" s="293" t="s">
        <v>216</v>
      </c>
      <c r="B616" s="269" t="s">
        <v>212</v>
      </c>
      <c r="C616" s="269" t="s">
        <v>780</v>
      </c>
      <c r="D616" s="269" t="s">
        <v>768</v>
      </c>
      <c r="E616" s="269" t="s">
        <v>223</v>
      </c>
      <c r="F616" s="485">
        <f>F617+F619</f>
        <v>660</v>
      </c>
      <c r="G616" s="485">
        <f>G617+G619</f>
        <v>1032</v>
      </c>
      <c r="H616" s="485">
        <f>H617+H619</f>
        <v>1032</v>
      </c>
    </row>
    <row r="617" spans="1:8" ht="38.25" customHeight="1" x14ac:dyDescent="0.25">
      <c r="A617" s="293" t="s">
        <v>709</v>
      </c>
      <c r="B617" s="269" t="s">
        <v>212</v>
      </c>
      <c r="C617" s="269" t="s">
        <v>780</v>
      </c>
      <c r="D617" s="269" t="s">
        <v>57</v>
      </c>
      <c r="E617" s="269" t="s">
        <v>710</v>
      </c>
      <c r="F617" s="485">
        <f>F618</f>
        <v>3</v>
      </c>
      <c r="G617" s="485">
        <f>G618</f>
        <v>4</v>
      </c>
      <c r="H617" s="485">
        <f>H618</f>
        <v>4</v>
      </c>
    </row>
    <row r="618" spans="1:8" ht="48.75" customHeight="1" x14ac:dyDescent="0.25">
      <c r="A618" s="294" t="s">
        <v>711</v>
      </c>
      <c r="B618" s="269" t="s">
        <v>212</v>
      </c>
      <c r="C618" s="269" t="s">
        <v>780</v>
      </c>
      <c r="D618" s="269" t="s">
        <v>57</v>
      </c>
      <c r="E618" s="269" t="s">
        <v>712</v>
      </c>
      <c r="F618" s="485">
        <f>'5'!D115</f>
        <v>3</v>
      </c>
      <c r="G618" s="485">
        <f>'5'!E115</f>
        <v>4</v>
      </c>
      <c r="H618" s="485">
        <f>'5'!F115</f>
        <v>4</v>
      </c>
    </row>
    <row r="619" spans="1:8" ht="48.75" customHeight="1" x14ac:dyDescent="0.25">
      <c r="A619" s="293" t="s">
        <v>748</v>
      </c>
      <c r="B619" s="269" t="s">
        <v>212</v>
      </c>
      <c r="C619" s="269" t="s">
        <v>780</v>
      </c>
      <c r="D619" s="269" t="s">
        <v>57</v>
      </c>
      <c r="E619" s="269" t="s">
        <v>747</v>
      </c>
      <c r="F619" s="485">
        <f>F620</f>
        <v>657</v>
      </c>
      <c r="G619" s="485">
        <f>G620</f>
        <v>1028</v>
      </c>
      <c r="H619" s="485">
        <f>H620</f>
        <v>1028</v>
      </c>
    </row>
    <row r="620" spans="1:8" ht="20.399999999999999" customHeight="1" x14ac:dyDescent="0.25">
      <c r="A620" s="293" t="s">
        <v>124</v>
      </c>
      <c r="B620" s="269" t="s">
        <v>212</v>
      </c>
      <c r="C620" s="269" t="s">
        <v>780</v>
      </c>
      <c r="D620" s="269" t="s">
        <v>57</v>
      </c>
      <c r="E620" s="269" t="s">
        <v>165</v>
      </c>
      <c r="F620" s="460">
        <f>'5'!D116</f>
        <v>657</v>
      </c>
      <c r="G620" s="460">
        <f>'5'!E116</f>
        <v>1028</v>
      </c>
      <c r="H620" s="460">
        <f>'5'!F116</f>
        <v>1028</v>
      </c>
    </row>
    <row r="621" spans="1:8" ht="78" customHeight="1" x14ac:dyDescent="0.25">
      <c r="A621" s="285" t="s">
        <v>812</v>
      </c>
      <c r="B621" s="13" t="s">
        <v>212</v>
      </c>
      <c r="C621" s="13" t="s">
        <v>780</v>
      </c>
      <c r="D621" s="13" t="s">
        <v>285</v>
      </c>
      <c r="E621" s="13" t="s">
        <v>223</v>
      </c>
      <c r="F621" s="265">
        <f>F622+F624</f>
        <v>550</v>
      </c>
      <c r="G621" s="265">
        <f>G622+G624</f>
        <v>550</v>
      </c>
      <c r="H621" s="265">
        <f>H622+H624</f>
        <v>550</v>
      </c>
    </row>
    <row r="622" spans="1:8" ht="39.6" customHeight="1" x14ac:dyDescent="0.25">
      <c r="A622" s="261" t="s">
        <v>709</v>
      </c>
      <c r="B622" s="262" t="s">
        <v>212</v>
      </c>
      <c r="C622" s="262" t="s">
        <v>780</v>
      </c>
      <c r="D622" s="262" t="s">
        <v>456</v>
      </c>
      <c r="E622" s="262" t="s">
        <v>710</v>
      </c>
      <c r="F622" s="263">
        <f>F623</f>
        <v>10</v>
      </c>
      <c r="G622" s="263">
        <f>G623</f>
        <v>0</v>
      </c>
      <c r="H622" s="263">
        <f>H623</f>
        <v>0</v>
      </c>
    </row>
    <row r="623" spans="1:8" ht="53.4" customHeight="1" x14ac:dyDescent="0.25">
      <c r="A623" s="278" t="s">
        <v>711</v>
      </c>
      <c r="B623" s="262" t="s">
        <v>212</v>
      </c>
      <c r="C623" s="262" t="s">
        <v>780</v>
      </c>
      <c r="D623" s="262" t="s">
        <v>456</v>
      </c>
      <c r="E623" s="262" t="s">
        <v>712</v>
      </c>
      <c r="F623" s="263">
        <f>'5'!D213</f>
        <v>10</v>
      </c>
      <c r="G623" s="263">
        <f>'5'!E213</f>
        <v>0</v>
      </c>
      <c r="H623" s="263">
        <f>'5'!F213</f>
        <v>0</v>
      </c>
    </row>
    <row r="624" spans="1:8" ht="46.95" customHeight="1" x14ac:dyDescent="0.25">
      <c r="A624" s="261" t="s">
        <v>748</v>
      </c>
      <c r="B624" s="262" t="s">
        <v>212</v>
      </c>
      <c r="C624" s="262" t="s">
        <v>780</v>
      </c>
      <c r="D624" s="262" t="s">
        <v>286</v>
      </c>
      <c r="E624" s="262" t="s">
        <v>747</v>
      </c>
      <c r="F624" s="263">
        <f>F625</f>
        <v>540</v>
      </c>
      <c r="G624" s="263">
        <f>G625</f>
        <v>550</v>
      </c>
      <c r="H624" s="263">
        <f>H625</f>
        <v>550</v>
      </c>
    </row>
    <row r="625" spans="1:11" ht="18" customHeight="1" x14ac:dyDescent="0.25">
      <c r="A625" s="261" t="s">
        <v>124</v>
      </c>
      <c r="B625" s="262" t="s">
        <v>212</v>
      </c>
      <c r="C625" s="262" t="s">
        <v>780</v>
      </c>
      <c r="D625" s="262" t="s">
        <v>286</v>
      </c>
      <c r="E625" s="262" t="s">
        <v>165</v>
      </c>
      <c r="F625" s="308">
        <f>'5'!D210</f>
        <v>540</v>
      </c>
      <c r="G625" s="308">
        <f>'5'!E210</f>
        <v>550</v>
      </c>
      <c r="H625" s="308">
        <f>'5'!F210</f>
        <v>550</v>
      </c>
    </row>
    <row r="626" spans="1:11" ht="51" hidden="1" customHeight="1" x14ac:dyDescent="0.25">
      <c r="A626" s="285" t="s">
        <v>769</v>
      </c>
      <c r="B626" s="262" t="s">
        <v>212</v>
      </c>
      <c r="C626" s="262" t="s">
        <v>780</v>
      </c>
      <c r="D626" s="13" t="s">
        <v>28</v>
      </c>
      <c r="E626" s="13" t="s">
        <v>223</v>
      </c>
      <c r="F626" s="265">
        <f>F627</f>
        <v>0</v>
      </c>
      <c r="G626" s="265">
        <f>G627</f>
        <v>0</v>
      </c>
      <c r="H626" s="265">
        <f>H627</f>
        <v>0</v>
      </c>
    </row>
    <row r="627" spans="1:11" ht="36.75" hidden="1" customHeight="1" x14ac:dyDescent="0.25">
      <c r="A627" s="278" t="s">
        <v>709</v>
      </c>
      <c r="B627" s="262" t="s">
        <v>212</v>
      </c>
      <c r="C627" s="262" t="s">
        <v>780</v>
      </c>
      <c r="D627" s="262" t="s">
        <v>770</v>
      </c>
      <c r="E627" s="262" t="s">
        <v>710</v>
      </c>
      <c r="F627" s="263">
        <f>F628+F629</f>
        <v>0</v>
      </c>
      <c r="G627" s="263">
        <f>G628+G629</f>
        <v>0</v>
      </c>
      <c r="H627" s="263">
        <f>H628+H629</f>
        <v>0</v>
      </c>
    </row>
    <row r="628" spans="1:11" ht="64.5" hidden="1" customHeight="1" x14ac:dyDescent="0.25">
      <c r="A628" s="278" t="s">
        <v>878</v>
      </c>
      <c r="B628" s="262" t="s">
        <v>212</v>
      </c>
      <c r="C628" s="262" t="s">
        <v>780</v>
      </c>
      <c r="D628" s="262" t="s">
        <v>288</v>
      </c>
      <c r="E628" s="262" t="s">
        <v>712</v>
      </c>
      <c r="F628" s="263"/>
      <c r="G628" s="263"/>
      <c r="H628" s="263"/>
    </row>
    <row r="629" spans="1:11" ht="48" hidden="1" customHeight="1" x14ac:dyDescent="0.25">
      <c r="A629" s="278" t="s">
        <v>879</v>
      </c>
      <c r="B629" s="262" t="s">
        <v>212</v>
      </c>
      <c r="C629" s="262" t="s">
        <v>780</v>
      </c>
      <c r="D629" s="262" t="s">
        <v>289</v>
      </c>
      <c r="E629" s="262" t="s">
        <v>712</v>
      </c>
      <c r="F629" s="263"/>
      <c r="G629" s="263"/>
      <c r="H629" s="263"/>
    </row>
    <row r="630" spans="1:11" ht="68.25" customHeight="1" x14ac:dyDescent="0.25">
      <c r="A630" s="17" t="s">
        <v>528</v>
      </c>
      <c r="B630" s="272" t="s">
        <v>212</v>
      </c>
      <c r="C630" s="272" t="s">
        <v>780</v>
      </c>
      <c r="D630" s="272" t="s">
        <v>880</v>
      </c>
      <c r="E630" s="272" t="s">
        <v>223</v>
      </c>
      <c r="F630" s="273">
        <f t="shared" ref="F630:H631" si="142">F631</f>
        <v>40</v>
      </c>
      <c r="G630" s="273">
        <f t="shared" si="142"/>
        <v>0</v>
      </c>
      <c r="H630" s="273">
        <f t="shared" si="142"/>
        <v>0</v>
      </c>
    </row>
    <row r="631" spans="1:11" ht="39" customHeight="1" x14ac:dyDescent="0.25">
      <c r="A631" s="261" t="s">
        <v>709</v>
      </c>
      <c r="B631" s="262" t="s">
        <v>212</v>
      </c>
      <c r="C631" s="262" t="s">
        <v>780</v>
      </c>
      <c r="D631" s="262" t="s">
        <v>494</v>
      </c>
      <c r="E631" s="262" t="s">
        <v>710</v>
      </c>
      <c r="F631" s="263">
        <f t="shared" si="142"/>
        <v>40</v>
      </c>
      <c r="G631" s="263">
        <f t="shared" si="142"/>
        <v>0</v>
      </c>
      <c r="H631" s="263">
        <f t="shared" si="142"/>
        <v>0</v>
      </c>
    </row>
    <row r="632" spans="1:11" ht="48" customHeight="1" x14ac:dyDescent="0.25">
      <c r="A632" s="278" t="s">
        <v>711</v>
      </c>
      <c r="B632" s="262" t="s">
        <v>212</v>
      </c>
      <c r="C632" s="262" t="s">
        <v>780</v>
      </c>
      <c r="D632" s="262" t="s">
        <v>494</v>
      </c>
      <c r="E632" s="262" t="s">
        <v>712</v>
      </c>
      <c r="F632" s="263">
        <f>'5'!D236</f>
        <v>40</v>
      </c>
      <c r="G632" s="263">
        <f>'5'!E236</f>
        <v>0</v>
      </c>
      <c r="H632" s="263">
        <f>'5'!F236</f>
        <v>0</v>
      </c>
    </row>
    <row r="633" spans="1:11" ht="48.6" hidden="1" customHeight="1" x14ac:dyDescent="0.25">
      <c r="A633" s="16" t="s">
        <v>702</v>
      </c>
      <c r="B633" s="287" t="s">
        <v>212</v>
      </c>
      <c r="C633" s="287" t="s">
        <v>780</v>
      </c>
      <c r="D633" s="287" t="s">
        <v>5</v>
      </c>
      <c r="E633" s="287" t="s">
        <v>223</v>
      </c>
      <c r="F633" s="288">
        <f>F634+F640+F643</f>
        <v>0</v>
      </c>
      <c r="G633" s="288">
        <f>G634+G640+G643</f>
        <v>0</v>
      </c>
      <c r="H633" s="288">
        <f>H634+H640+H643</f>
        <v>0</v>
      </c>
      <c r="I633" s="268">
        <f>I643-F633</f>
        <v>2582.8829999999998</v>
      </c>
      <c r="J633" s="268">
        <f t="shared" ref="J633:K633" si="143">J643-G633</f>
        <v>2607.136</v>
      </c>
      <c r="K633" s="268">
        <f t="shared" si="143"/>
        <v>2705.1170000000002</v>
      </c>
    </row>
    <row r="634" spans="1:11" ht="45.75" hidden="1" customHeight="1" x14ac:dyDescent="0.25">
      <c r="A634" s="261" t="s">
        <v>110</v>
      </c>
      <c r="B634" s="262" t="s">
        <v>212</v>
      </c>
      <c r="C634" s="262" t="s">
        <v>780</v>
      </c>
      <c r="D634" s="262" t="s">
        <v>6</v>
      </c>
      <c r="E634" s="262" t="s">
        <v>223</v>
      </c>
      <c r="F634" s="263">
        <f>F635</f>
        <v>0</v>
      </c>
      <c r="G634" s="263">
        <f>G635</f>
        <v>0</v>
      </c>
      <c r="H634" s="263">
        <f>H635</f>
        <v>0</v>
      </c>
    </row>
    <row r="635" spans="1:11" ht="51" hidden="1" customHeight="1" x14ac:dyDescent="0.25">
      <c r="A635" s="261" t="s">
        <v>112</v>
      </c>
      <c r="B635" s="262" t="s">
        <v>212</v>
      </c>
      <c r="C635" s="262" t="s">
        <v>780</v>
      </c>
      <c r="D635" s="262" t="s">
        <v>9</v>
      </c>
      <c r="E635" s="262" t="s">
        <v>223</v>
      </c>
      <c r="F635" s="263">
        <f>F636+F638</f>
        <v>0</v>
      </c>
      <c r="G635" s="263">
        <f>G636+G638</f>
        <v>0</v>
      </c>
      <c r="H635" s="263">
        <f>H636+H638</f>
        <v>0</v>
      </c>
    </row>
    <row r="636" spans="1:11" ht="95.25" hidden="1" customHeight="1" x14ac:dyDescent="0.25">
      <c r="A636" s="261" t="s">
        <v>703</v>
      </c>
      <c r="B636" s="262" t="s">
        <v>212</v>
      </c>
      <c r="C636" s="262" t="s">
        <v>780</v>
      </c>
      <c r="D636" s="262" t="s">
        <v>9</v>
      </c>
      <c r="E636" s="262" t="s">
        <v>704</v>
      </c>
      <c r="F636" s="263">
        <f>F637</f>
        <v>0</v>
      </c>
      <c r="G636" s="263">
        <f>G637</f>
        <v>0</v>
      </c>
      <c r="H636" s="263">
        <f>H637</f>
        <v>0</v>
      </c>
    </row>
    <row r="637" spans="1:11" ht="35.25" hidden="1" customHeight="1" x14ac:dyDescent="0.25">
      <c r="A637" s="261" t="s">
        <v>705</v>
      </c>
      <c r="B637" s="262" t="s">
        <v>212</v>
      </c>
      <c r="C637" s="262" t="s">
        <v>780</v>
      </c>
      <c r="D637" s="262" t="s">
        <v>9</v>
      </c>
      <c r="E637" s="262" t="s">
        <v>706</v>
      </c>
      <c r="F637" s="308">
        <v>0</v>
      </c>
      <c r="G637" s="308">
        <v>0</v>
      </c>
      <c r="H637" s="308">
        <v>0</v>
      </c>
    </row>
    <row r="638" spans="1:11" ht="34.5" hidden="1" customHeight="1" x14ac:dyDescent="0.25">
      <c r="A638" s="261" t="s">
        <v>709</v>
      </c>
      <c r="B638" s="262" t="s">
        <v>212</v>
      </c>
      <c r="C638" s="262" t="s">
        <v>780</v>
      </c>
      <c r="D638" s="262" t="s">
        <v>9</v>
      </c>
      <c r="E638" s="262" t="s">
        <v>710</v>
      </c>
      <c r="F638" s="263">
        <f>F639</f>
        <v>0</v>
      </c>
      <c r="G638" s="263">
        <f>G639</f>
        <v>0</v>
      </c>
      <c r="H638" s="263">
        <f>H639</f>
        <v>0</v>
      </c>
    </row>
    <row r="639" spans="1:11" ht="47.1" hidden="1" customHeight="1" x14ac:dyDescent="0.25">
      <c r="A639" s="278" t="s">
        <v>711</v>
      </c>
      <c r="B639" s="262" t="s">
        <v>212</v>
      </c>
      <c r="C639" s="262" t="s">
        <v>780</v>
      </c>
      <c r="D639" s="262" t="s">
        <v>9</v>
      </c>
      <c r="E639" s="262" t="s">
        <v>712</v>
      </c>
      <c r="F639" s="308">
        <v>0</v>
      </c>
      <c r="G639" s="308">
        <v>0</v>
      </c>
      <c r="H639" s="308">
        <v>0</v>
      </c>
    </row>
    <row r="640" spans="1:11" ht="19.2" hidden="1" customHeight="1" x14ac:dyDescent="0.25">
      <c r="A640" s="297" t="s">
        <v>453</v>
      </c>
      <c r="B640" s="292" t="s">
        <v>212</v>
      </c>
      <c r="C640" s="292" t="s">
        <v>780</v>
      </c>
      <c r="D640" s="292" t="s">
        <v>454</v>
      </c>
      <c r="E640" s="292" t="s">
        <v>223</v>
      </c>
      <c r="F640" s="267">
        <f t="shared" ref="F640:H641" si="144">F641</f>
        <v>0</v>
      </c>
      <c r="G640" s="267">
        <f t="shared" si="144"/>
        <v>0</v>
      </c>
      <c r="H640" s="267">
        <f t="shared" si="144"/>
        <v>0</v>
      </c>
    </row>
    <row r="641" spans="1:11" ht="36" hidden="1" customHeight="1" x14ac:dyDescent="0.25">
      <c r="A641" s="293" t="s">
        <v>709</v>
      </c>
      <c r="B641" s="269" t="s">
        <v>212</v>
      </c>
      <c r="C641" s="269" t="s">
        <v>780</v>
      </c>
      <c r="D641" s="269" t="s">
        <v>454</v>
      </c>
      <c r="E641" s="269" t="s">
        <v>710</v>
      </c>
      <c r="F641" s="485">
        <f t="shared" si="144"/>
        <v>0</v>
      </c>
      <c r="G641" s="485">
        <f t="shared" si="144"/>
        <v>0</v>
      </c>
      <c r="H641" s="485">
        <f t="shared" si="144"/>
        <v>0</v>
      </c>
    </row>
    <row r="642" spans="1:11" ht="47.1" hidden="1" customHeight="1" x14ac:dyDescent="0.25">
      <c r="A642" s="294" t="s">
        <v>711</v>
      </c>
      <c r="B642" s="269" t="s">
        <v>212</v>
      </c>
      <c r="C642" s="269" t="s">
        <v>780</v>
      </c>
      <c r="D642" s="269" t="s">
        <v>454</v>
      </c>
      <c r="E642" s="269" t="s">
        <v>712</v>
      </c>
      <c r="F642" s="485">
        <v>0</v>
      </c>
      <c r="G642" s="485">
        <v>0</v>
      </c>
      <c r="H642" s="485">
        <v>0</v>
      </c>
    </row>
    <row r="643" spans="1:11" s="283" customFormat="1" ht="82.2" hidden="1" customHeight="1" x14ac:dyDescent="0.3">
      <c r="A643" s="285" t="s">
        <v>881</v>
      </c>
      <c r="B643" s="13" t="s">
        <v>212</v>
      </c>
      <c r="C643" s="13" t="s">
        <v>780</v>
      </c>
      <c r="D643" s="13" t="s">
        <v>382</v>
      </c>
      <c r="E643" s="13" t="s">
        <v>223</v>
      </c>
      <c r="F643" s="265">
        <f>F644+F646</f>
        <v>0</v>
      </c>
      <c r="G643" s="265">
        <f>G644+G646</f>
        <v>0</v>
      </c>
      <c r="H643" s="265">
        <f>H644+H646</f>
        <v>0</v>
      </c>
      <c r="I643" s="283">
        <f>'2  '!D76</f>
        <v>2582.8829999999998</v>
      </c>
      <c r="J643" s="283">
        <f>'2  '!E76</f>
        <v>2607.136</v>
      </c>
      <c r="K643" s="283">
        <f>'2  '!F76</f>
        <v>2705.1170000000002</v>
      </c>
    </row>
    <row r="644" spans="1:11" ht="97.5" hidden="1" customHeight="1" x14ac:dyDescent="0.25">
      <c r="A644" s="261" t="s">
        <v>703</v>
      </c>
      <c r="B644" s="262" t="s">
        <v>212</v>
      </c>
      <c r="C644" s="262" t="s">
        <v>780</v>
      </c>
      <c r="D644" s="262" t="s">
        <v>382</v>
      </c>
      <c r="E644" s="262" t="s">
        <v>704</v>
      </c>
      <c r="F644" s="263">
        <f>F645</f>
        <v>0</v>
      </c>
      <c r="G644" s="263">
        <f>G645</f>
        <v>0</v>
      </c>
      <c r="H644" s="263">
        <f>H645</f>
        <v>0</v>
      </c>
      <c r="I644" s="268">
        <f>I643-F643</f>
        <v>2582.8829999999998</v>
      </c>
      <c r="J644" s="268">
        <f t="shared" ref="J644:K644" si="145">J643-G643</f>
        <v>2607.136</v>
      </c>
      <c r="K644" s="268">
        <f t="shared" si="145"/>
        <v>2705.1170000000002</v>
      </c>
    </row>
    <row r="645" spans="1:11" ht="31.5" hidden="1" customHeight="1" x14ac:dyDescent="0.25">
      <c r="A645" s="278" t="s">
        <v>705</v>
      </c>
      <c r="B645" s="262" t="s">
        <v>212</v>
      </c>
      <c r="C645" s="262" t="s">
        <v>780</v>
      </c>
      <c r="D645" s="262" t="s">
        <v>382</v>
      </c>
      <c r="E645" s="262" t="s">
        <v>706</v>
      </c>
      <c r="F645" s="485"/>
      <c r="G645" s="485"/>
      <c r="H645" s="485"/>
    </row>
    <row r="646" spans="1:11" ht="35.25" hidden="1" customHeight="1" x14ac:dyDescent="0.25">
      <c r="A646" s="261" t="s">
        <v>709</v>
      </c>
      <c r="B646" s="262" t="s">
        <v>212</v>
      </c>
      <c r="C646" s="262" t="s">
        <v>780</v>
      </c>
      <c r="D646" s="262" t="s">
        <v>382</v>
      </c>
      <c r="E646" s="262" t="s">
        <v>710</v>
      </c>
      <c r="F646" s="263">
        <f>F647</f>
        <v>0</v>
      </c>
      <c r="G646" s="263">
        <f>G647</f>
        <v>0</v>
      </c>
      <c r="H646" s="263">
        <f>H647</f>
        <v>0</v>
      </c>
    </row>
    <row r="647" spans="1:11" ht="48" hidden="1" customHeight="1" x14ac:dyDescent="0.25">
      <c r="A647" s="278" t="s">
        <v>711</v>
      </c>
      <c r="B647" s="262" t="s">
        <v>212</v>
      </c>
      <c r="C647" s="262" t="s">
        <v>780</v>
      </c>
      <c r="D647" s="262" t="s">
        <v>382</v>
      </c>
      <c r="E647" s="262" t="s">
        <v>712</v>
      </c>
      <c r="F647" s="263"/>
      <c r="G647" s="263"/>
      <c r="H647" s="263"/>
    </row>
    <row r="648" spans="1:11" ht="48" hidden="1" customHeight="1" x14ac:dyDescent="0.25">
      <c r="A648" s="278"/>
      <c r="B648" s="262"/>
      <c r="C648" s="262"/>
      <c r="D648" s="262"/>
      <c r="E648" s="262"/>
      <c r="F648" s="263"/>
      <c r="G648" s="263"/>
      <c r="H648" s="263"/>
    </row>
    <row r="649" spans="1:11" ht="48" hidden="1" customHeight="1" x14ac:dyDescent="0.25">
      <c r="A649" s="278"/>
      <c r="B649" s="262"/>
      <c r="C649" s="262"/>
      <c r="D649" s="262"/>
      <c r="E649" s="262"/>
      <c r="F649" s="263"/>
      <c r="G649" s="263"/>
      <c r="H649" s="263"/>
    </row>
    <row r="650" spans="1:11" ht="48" hidden="1" customHeight="1" x14ac:dyDescent="0.25">
      <c r="A650" s="278"/>
      <c r="B650" s="262"/>
      <c r="C650" s="262"/>
      <c r="D650" s="262"/>
      <c r="E650" s="262"/>
      <c r="F650" s="263"/>
      <c r="G650" s="263"/>
      <c r="H650" s="263"/>
    </row>
    <row r="651" spans="1:11" ht="48" hidden="1" customHeight="1" x14ac:dyDescent="0.25">
      <c r="A651" s="278"/>
      <c r="B651" s="262"/>
      <c r="C651" s="262"/>
      <c r="D651" s="262"/>
      <c r="E651" s="262"/>
      <c r="F651" s="263"/>
      <c r="G651" s="263"/>
      <c r="H651" s="263"/>
    </row>
    <row r="652" spans="1:11" ht="48" hidden="1" customHeight="1" x14ac:dyDescent="0.25">
      <c r="A652" s="278"/>
      <c r="B652" s="262"/>
      <c r="C652" s="262"/>
      <c r="D652" s="262"/>
      <c r="E652" s="262"/>
      <c r="F652" s="263"/>
      <c r="G652" s="263"/>
      <c r="H652" s="263"/>
    </row>
    <row r="653" spans="1:11" s="283" customFormat="1" ht="16.5" customHeight="1" x14ac:dyDescent="0.3">
      <c r="A653" s="252" t="s">
        <v>882</v>
      </c>
      <c r="B653" s="253" t="s">
        <v>791</v>
      </c>
      <c r="C653" s="253" t="s">
        <v>109</v>
      </c>
      <c r="D653" s="253" t="s">
        <v>699</v>
      </c>
      <c r="E653" s="253" t="s">
        <v>223</v>
      </c>
      <c r="F653" s="254">
        <f>F654+F712</f>
        <v>29691.99265</v>
      </c>
      <c r="G653" s="254">
        <f>G654+G712</f>
        <v>16013.952020000002</v>
      </c>
      <c r="H653" s="254">
        <f>H654+H712</f>
        <v>16013.952020000002</v>
      </c>
    </row>
    <row r="654" spans="1:11" s="266" customFormat="1" ht="18" customHeight="1" x14ac:dyDescent="0.3">
      <c r="A654" s="256" t="s">
        <v>883</v>
      </c>
      <c r="B654" s="257" t="s">
        <v>791</v>
      </c>
      <c r="C654" s="257" t="s">
        <v>108</v>
      </c>
      <c r="D654" s="257" t="s">
        <v>699</v>
      </c>
      <c r="E654" s="257" t="s">
        <v>223</v>
      </c>
      <c r="F654" s="258">
        <f>F655</f>
        <v>26920.696749999999</v>
      </c>
      <c r="G654" s="258">
        <f t="shared" ref="G654:H654" si="146">G655</f>
        <v>14542.752020000002</v>
      </c>
      <c r="H654" s="258">
        <f t="shared" si="146"/>
        <v>14542.752020000002</v>
      </c>
      <c r="I654" s="309"/>
      <c r="J654" s="309"/>
      <c r="K654" s="309"/>
    </row>
    <row r="655" spans="1:11" s="266" customFormat="1" ht="49.5" customHeight="1" x14ac:dyDescent="0.3">
      <c r="A655" s="264" t="s">
        <v>884</v>
      </c>
      <c r="B655" s="13" t="s">
        <v>791</v>
      </c>
      <c r="C655" s="13" t="s">
        <v>108</v>
      </c>
      <c r="D655" s="13" t="s">
        <v>58</v>
      </c>
      <c r="E655" s="13" t="s">
        <v>223</v>
      </c>
      <c r="F655" s="265">
        <f>F656+F670+F676+F709+F661+F688+F695+F673+F702+F683</f>
        <v>26920.696749999999</v>
      </c>
      <c r="G655" s="265">
        <f>G656+G670+G676+G709+G661+G688+G695+G673</f>
        <v>14542.752020000002</v>
      </c>
      <c r="H655" s="265">
        <f>H656+H670+H676+H709+H661+H688+H695+H673</f>
        <v>14542.752020000002</v>
      </c>
    </row>
    <row r="656" spans="1:11" ht="69.75" customHeight="1" x14ac:dyDescent="0.25">
      <c r="A656" s="298" t="s">
        <v>293</v>
      </c>
      <c r="B656" s="262" t="s">
        <v>791</v>
      </c>
      <c r="C656" s="262" t="s">
        <v>108</v>
      </c>
      <c r="D656" s="262" t="s">
        <v>59</v>
      </c>
      <c r="E656" s="262" t="s">
        <v>223</v>
      </c>
      <c r="F656" s="263">
        <f>F657+F659</f>
        <v>9747.1630000000005</v>
      </c>
      <c r="G656" s="263">
        <f>G657+G659</f>
        <v>8899.4500000000007</v>
      </c>
      <c r="H656" s="263">
        <f>H657+H659</f>
        <v>8899.4500000000007</v>
      </c>
      <c r="I656" s="268"/>
      <c r="J656" s="268"/>
      <c r="K656" s="268"/>
    </row>
    <row r="657" spans="1:8" ht="50.25" customHeight="1" x14ac:dyDescent="0.25">
      <c r="A657" s="261" t="s">
        <v>748</v>
      </c>
      <c r="B657" s="262" t="s">
        <v>791</v>
      </c>
      <c r="C657" s="262" t="s">
        <v>108</v>
      </c>
      <c r="D657" s="262" t="s">
        <v>60</v>
      </c>
      <c r="E657" s="262" t="s">
        <v>747</v>
      </c>
      <c r="F657" s="542">
        <f>F658</f>
        <v>9299.4500000000007</v>
      </c>
      <c r="G657" s="263">
        <f>G658</f>
        <v>8899.4500000000007</v>
      </c>
      <c r="H657" s="263">
        <f>H658</f>
        <v>8899.4500000000007</v>
      </c>
    </row>
    <row r="658" spans="1:8" ht="18" customHeight="1" x14ac:dyDescent="0.25">
      <c r="A658" s="261" t="s">
        <v>124</v>
      </c>
      <c r="B658" s="262" t="s">
        <v>791</v>
      </c>
      <c r="C658" s="262" t="s">
        <v>108</v>
      </c>
      <c r="D658" s="262" t="s">
        <v>61</v>
      </c>
      <c r="E658" s="262" t="s">
        <v>165</v>
      </c>
      <c r="F658" s="542">
        <f>'5'!D148</f>
        <v>9299.4500000000007</v>
      </c>
      <c r="G658" s="485">
        <f>'5'!E148</f>
        <v>8899.4500000000007</v>
      </c>
      <c r="H658" s="485">
        <f>'5'!F148</f>
        <v>8899.4500000000007</v>
      </c>
    </row>
    <row r="659" spans="1:8" ht="112.5" customHeight="1" x14ac:dyDescent="0.25">
      <c r="A659" s="261" t="s">
        <v>885</v>
      </c>
      <c r="B659" s="262" t="s">
        <v>791</v>
      </c>
      <c r="C659" s="262" t="s">
        <v>108</v>
      </c>
      <c r="D659" s="262" t="s">
        <v>77</v>
      </c>
      <c r="E659" s="262" t="s">
        <v>165</v>
      </c>
      <c r="F659" s="542">
        <f>F660</f>
        <v>447.71300000000002</v>
      </c>
      <c r="G659" s="263">
        <f>G660</f>
        <v>0</v>
      </c>
      <c r="H659" s="263">
        <f>H660</f>
        <v>0</v>
      </c>
    </row>
    <row r="660" spans="1:8" ht="18" hidden="1" customHeight="1" x14ac:dyDescent="0.25">
      <c r="A660" s="261" t="s">
        <v>124</v>
      </c>
      <c r="B660" s="262" t="s">
        <v>791</v>
      </c>
      <c r="C660" s="262" t="s">
        <v>108</v>
      </c>
      <c r="D660" s="262" t="s">
        <v>77</v>
      </c>
      <c r="E660" s="262" t="s">
        <v>165</v>
      </c>
      <c r="F660" s="542">
        <f>'5'!D149</f>
        <v>447.71300000000002</v>
      </c>
      <c r="G660" s="485">
        <f>'5'!E149</f>
        <v>0</v>
      </c>
      <c r="H660" s="485">
        <f>'5'!F149</f>
        <v>0</v>
      </c>
    </row>
    <row r="661" spans="1:8" ht="103.2" hidden="1" customHeight="1" x14ac:dyDescent="0.25">
      <c r="A661" s="261" t="s">
        <v>408</v>
      </c>
      <c r="B661" s="262" t="s">
        <v>791</v>
      </c>
      <c r="C661" s="262" t="s">
        <v>108</v>
      </c>
      <c r="D661" s="262" t="s">
        <v>425</v>
      </c>
      <c r="E661" s="262" t="s">
        <v>223</v>
      </c>
      <c r="F661" s="542">
        <f>F662</f>
        <v>0</v>
      </c>
      <c r="G661" s="263">
        <f>G662</f>
        <v>0</v>
      </c>
      <c r="H661" s="263">
        <f>H662</f>
        <v>0</v>
      </c>
    </row>
    <row r="662" spans="1:8" ht="21.6" hidden="1" customHeight="1" x14ac:dyDescent="0.25">
      <c r="A662" s="261" t="s">
        <v>124</v>
      </c>
      <c r="B662" s="262" t="s">
        <v>791</v>
      </c>
      <c r="C662" s="262" t="s">
        <v>108</v>
      </c>
      <c r="D662" s="262" t="s">
        <v>425</v>
      </c>
      <c r="E662" s="262" t="s">
        <v>165</v>
      </c>
      <c r="F662" s="542"/>
      <c r="G662" s="263"/>
      <c r="H662" s="263"/>
    </row>
    <row r="663" spans="1:8" ht="77.25" hidden="1" customHeight="1" x14ac:dyDescent="0.25">
      <c r="A663" s="16" t="s">
        <v>326</v>
      </c>
      <c r="B663" s="287" t="s">
        <v>791</v>
      </c>
      <c r="C663" s="287" t="s">
        <v>108</v>
      </c>
      <c r="D663" s="287" t="s">
        <v>59</v>
      </c>
      <c r="E663" s="287" t="s">
        <v>223</v>
      </c>
      <c r="F663" s="455">
        <f>F664+F667</f>
        <v>0</v>
      </c>
      <c r="G663" s="288">
        <f>G664+G667</f>
        <v>0</v>
      </c>
      <c r="H663" s="288">
        <f>H664+H667</f>
        <v>0</v>
      </c>
    </row>
    <row r="664" spans="1:8" ht="79.5" hidden="1" customHeight="1" x14ac:dyDescent="0.25">
      <c r="A664" s="264" t="s">
        <v>327</v>
      </c>
      <c r="B664" s="13" t="s">
        <v>791</v>
      </c>
      <c r="C664" s="13" t="s">
        <v>108</v>
      </c>
      <c r="D664" s="13" t="s">
        <v>328</v>
      </c>
      <c r="E664" s="13" t="s">
        <v>223</v>
      </c>
      <c r="F664" s="267">
        <f t="shared" ref="F664:H665" si="147">F665</f>
        <v>0</v>
      </c>
      <c r="G664" s="265">
        <f t="shared" si="147"/>
        <v>0</v>
      </c>
      <c r="H664" s="265">
        <f t="shared" si="147"/>
        <v>0</v>
      </c>
    </row>
    <row r="665" spans="1:8" ht="48.75" hidden="1" customHeight="1" x14ac:dyDescent="0.25">
      <c r="A665" s="261" t="s">
        <v>748</v>
      </c>
      <c r="B665" s="262" t="s">
        <v>791</v>
      </c>
      <c r="C665" s="262" t="s">
        <v>108</v>
      </c>
      <c r="D665" s="262" t="s">
        <v>328</v>
      </c>
      <c r="E665" s="262" t="s">
        <v>747</v>
      </c>
      <c r="F665" s="542">
        <f t="shared" si="147"/>
        <v>0</v>
      </c>
      <c r="G665" s="263">
        <f t="shared" si="147"/>
        <v>0</v>
      </c>
      <c r="H665" s="263">
        <f t="shared" si="147"/>
        <v>0</v>
      </c>
    </row>
    <row r="666" spans="1:8" ht="20.25" hidden="1" customHeight="1" x14ac:dyDescent="0.25">
      <c r="A666" s="261" t="s">
        <v>124</v>
      </c>
      <c r="B666" s="262" t="s">
        <v>791</v>
      </c>
      <c r="C666" s="262" t="s">
        <v>108</v>
      </c>
      <c r="D666" s="262" t="s">
        <v>328</v>
      </c>
      <c r="E666" s="262" t="s">
        <v>165</v>
      </c>
      <c r="F666" s="542"/>
      <c r="G666" s="263"/>
      <c r="H666" s="263"/>
    </row>
    <row r="667" spans="1:8" ht="128.69999999999999" hidden="1" customHeight="1" x14ac:dyDescent="0.25">
      <c r="A667" s="264" t="s">
        <v>886</v>
      </c>
      <c r="B667" s="13" t="s">
        <v>791</v>
      </c>
      <c r="C667" s="13" t="s">
        <v>108</v>
      </c>
      <c r="D667" s="13" t="s">
        <v>329</v>
      </c>
      <c r="E667" s="13" t="s">
        <v>223</v>
      </c>
      <c r="F667" s="267">
        <f t="shared" ref="F667:H668" si="148">F668</f>
        <v>0</v>
      </c>
      <c r="G667" s="265">
        <f t="shared" si="148"/>
        <v>0</v>
      </c>
      <c r="H667" s="265">
        <f t="shared" si="148"/>
        <v>0</v>
      </c>
    </row>
    <row r="668" spans="1:8" ht="51.75" hidden="1" customHeight="1" x14ac:dyDescent="0.25">
      <c r="A668" s="261" t="s">
        <v>748</v>
      </c>
      <c r="B668" s="262" t="s">
        <v>791</v>
      </c>
      <c r="C668" s="262" t="s">
        <v>108</v>
      </c>
      <c r="D668" s="262" t="s">
        <v>329</v>
      </c>
      <c r="E668" s="262" t="s">
        <v>747</v>
      </c>
      <c r="F668" s="542">
        <f t="shared" si="148"/>
        <v>0</v>
      </c>
      <c r="G668" s="263">
        <f t="shared" si="148"/>
        <v>0</v>
      </c>
      <c r="H668" s="263">
        <f t="shared" si="148"/>
        <v>0</v>
      </c>
    </row>
    <row r="669" spans="1:8" ht="23.25" hidden="1" customHeight="1" x14ac:dyDescent="0.25">
      <c r="A669" s="261" t="s">
        <v>124</v>
      </c>
      <c r="B669" s="262" t="s">
        <v>791</v>
      </c>
      <c r="C669" s="262" t="s">
        <v>108</v>
      </c>
      <c r="D669" s="262" t="s">
        <v>329</v>
      </c>
      <c r="E669" s="262" t="s">
        <v>165</v>
      </c>
      <c r="F669" s="542"/>
      <c r="G669" s="263"/>
      <c r="H669" s="263"/>
    </row>
    <row r="670" spans="1:8" ht="72.75" hidden="1" customHeight="1" x14ac:dyDescent="0.25">
      <c r="A670" s="298" t="s">
        <v>294</v>
      </c>
      <c r="B670" s="262" t="s">
        <v>791</v>
      </c>
      <c r="C670" s="262" t="s">
        <v>108</v>
      </c>
      <c r="D670" s="262" t="s">
        <v>62</v>
      </c>
      <c r="E670" s="262" t="s">
        <v>223</v>
      </c>
      <c r="F670" s="542">
        <f t="shared" ref="F670:H671" si="149">F671</f>
        <v>3824.1</v>
      </c>
      <c r="G670" s="263">
        <f t="shared" si="149"/>
        <v>3524.1</v>
      </c>
      <c r="H670" s="263">
        <f t="shared" si="149"/>
        <v>3524.1</v>
      </c>
    </row>
    <row r="671" spans="1:8" ht="48" customHeight="1" x14ac:dyDescent="0.25">
      <c r="A671" s="261" t="s">
        <v>748</v>
      </c>
      <c r="B671" s="262" t="s">
        <v>791</v>
      </c>
      <c r="C671" s="262" t="s">
        <v>108</v>
      </c>
      <c r="D671" s="262" t="s">
        <v>62</v>
      </c>
      <c r="E671" s="262" t="s">
        <v>747</v>
      </c>
      <c r="F671" s="542">
        <f t="shared" si="149"/>
        <v>3824.1</v>
      </c>
      <c r="G671" s="263">
        <f t="shared" si="149"/>
        <v>3524.1</v>
      </c>
      <c r="H671" s="263">
        <f t="shared" si="149"/>
        <v>3524.1</v>
      </c>
    </row>
    <row r="672" spans="1:8" ht="18" customHeight="1" x14ac:dyDescent="0.25">
      <c r="A672" s="261" t="s">
        <v>124</v>
      </c>
      <c r="B672" s="262" t="s">
        <v>791</v>
      </c>
      <c r="C672" s="262" t="s">
        <v>108</v>
      </c>
      <c r="D672" s="262" t="s">
        <v>62</v>
      </c>
      <c r="E672" s="262" t="s">
        <v>165</v>
      </c>
      <c r="F672" s="542">
        <f>'5'!D167</f>
        <v>3824.1</v>
      </c>
      <c r="G672" s="485">
        <f>'5'!E167</f>
        <v>3524.1</v>
      </c>
      <c r="H672" s="485">
        <f>'5'!F167</f>
        <v>3524.1</v>
      </c>
    </row>
    <row r="673" spans="1:8" ht="115.2" customHeight="1" x14ac:dyDescent="0.25">
      <c r="A673" s="16" t="s">
        <v>887</v>
      </c>
      <c r="B673" s="287" t="s">
        <v>791</v>
      </c>
      <c r="C673" s="287" t="s">
        <v>108</v>
      </c>
      <c r="D673" s="313" t="s">
        <v>888</v>
      </c>
      <c r="E673" s="287" t="s">
        <v>223</v>
      </c>
      <c r="F673" s="455">
        <f>F674+F675</f>
        <v>1611.31423</v>
      </c>
      <c r="G673" s="288">
        <f>G674+G675</f>
        <v>0</v>
      </c>
      <c r="H673" s="288">
        <f>H674+H675</f>
        <v>0</v>
      </c>
    </row>
    <row r="674" spans="1:8" ht="111.6" customHeight="1" x14ac:dyDescent="0.25">
      <c r="A674" s="261" t="s">
        <v>889</v>
      </c>
      <c r="B674" s="262" t="s">
        <v>791</v>
      </c>
      <c r="C674" s="262" t="s">
        <v>108</v>
      </c>
      <c r="D674" s="269" t="s">
        <v>555</v>
      </c>
      <c r="E674" s="262" t="s">
        <v>165</v>
      </c>
      <c r="F674" s="263">
        <f>'5'!D169</f>
        <v>1608.7142899999999</v>
      </c>
      <c r="G674" s="263">
        <f>'5'!E169</f>
        <v>0</v>
      </c>
      <c r="H674" s="263">
        <f>'5'!F169</f>
        <v>0</v>
      </c>
    </row>
    <row r="675" spans="1:8" ht="135.6" customHeight="1" x14ac:dyDescent="0.25">
      <c r="A675" s="261" t="s">
        <v>890</v>
      </c>
      <c r="B675" s="262" t="s">
        <v>791</v>
      </c>
      <c r="C675" s="262" t="s">
        <v>108</v>
      </c>
      <c r="D675" s="269" t="s">
        <v>555</v>
      </c>
      <c r="E675" s="262" t="s">
        <v>165</v>
      </c>
      <c r="F675" s="508">
        <f>'5'!D170</f>
        <v>2.5999400000000001</v>
      </c>
      <c r="G675" s="263">
        <f>'5'!E170</f>
        <v>0</v>
      </c>
      <c r="H675" s="263">
        <f>'5'!F170</f>
        <v>0</v>
      </c>
    </row>
    <row r="676" spans="1:8" ht="67.2" customHeight="1" x14ac:dyDescent="0.25">
      <c r="A676" s="16" t="s">
        <v>330</v>
      </c>
      <c r="B676" s="262" t="s">
        <v>791</v>
      </c>
      <c r="C676" s="262" t="s">
        <v>108</v>
      </c>
      <c r="D676" s="287" t="s">
        <v>331</v>
      </c>
      <c r="E676" s="287" t="s">
        <v>223</v>
      </c>
      <c r="F676" s="288">
        <f>F677+F680</f>
        <v>169.70202</v>
      </c>
      <c r="G676" s="288">
        <f>G677+G680</f>
        <v>169.70202</v>
      </c>
      <c r="H676" s="288">
        <f>H677+H680</f>
        <v>169.70202</v>
      </c>
    </row>
    <row r="677" spans="1:8" ht="81.599999999999994" customHeight="1" x14ac:dyDescent="0.25">
      <c r="A677" s="261" t="s">
        <v>891</v>
      </c>
      <c r="B677" s="262" t="s">
        <v>791</v>
      </c>
      <c r="C677" s="262" t="s">
        <v>108</v>
      </c>
      <c r="D677" s="262" t="s">
        <v>332</v>
      </c>
      <c r="E677" s="262" t="s">
        <v>223</v>
      </c>
      <c r="F677" s="263">
        <f t="shared" ref="F677:H678" si="150">F678</f>
        <v>168.005</v>
      </c>
      <c r="G677" s="263">
        <f t="shared" si="150"/>
        <v>168.005</v>
      </c>
      <c r="H677" s="263">
        <f t="shared" si="150"/>
        <v>168.005</v>
      </c>
    </row>
    <row r="678" spans="1:8" ht="48.75" customHeight="1" x14ac:dyDescent="0.25">
      <c r="A678" s="261" t="s">
        <v>748</v>
      </c>
      <c r="B678" s="262" t="s">
        <v>791</v>
      </c>
      <c r="C678" s="262" t="s">
        <v>108</v>
      </c>
      <c r="D678" s="262" t="s">
        <v>332</v>
      </c>
      <c r="E678" s="262" t="s">
        <v>747</v>
      </c>
      <c r="F678" s="263">
        <f t="shared" si="150"/>
        <v>168.005</v>
      </c>
      <c r="G678" s="263">
        <f t="shared" si="150"/>
        <v>168.005</v>
      </c>
      <c r="H678" s="263">
        <f t="shared" si="150"/>
        <v>168.005</v>
      </c>
    </row>
    <row r="679" spans="1:8" ht="24.75" customHeight="1" x14ac:dyDescent="0.25">
      <c r="A679" s="261" t="s">
        <v>124</v>
      </c>
      <c r="B679" s="262" t="s">
        <v>791</v>
      </c>
      <c r="C679" s="262" t="s">
        <v>108</v>
      </c>
      <c r="D679" s="262" t="s">
        <v>332</v>
      </c>
      <c r="E679" s="262" t="s">
        <v>165</v>
      </c>
      <c r="F679" s="263">
        <v>168.005</v>
      </c>
      <c r="G679" s="263">
        <v>168.005</v>
      </c>
      <c r="H679" s="263">
        <v>168.005</v>
      </c>
    </row>
    <row r="680" spans="1:8" ht="96.6" customHeight="1" x14ac:dyDescent="0.25">
      <c r="A680" s="261" t="s">
        <v>892</v>
      </c>
      <c r="B680" s="262" t="s">
        <v>791</v>
      </c>
      <c r="C680" s="262" t="s">
        <v>108</v>
      </c>
      <c r="D680" s="262" t="s">
        <v>586</v>
      </c>
      <c r="E680" s="262" t="s">
        <v>223</v>
      </c>
      <c r="F680" s="263">
        <f t="shared" ref="F680:H681" si="151">F681</f>
        <v>1.69702</v>
      </c>
      <c r="G680" s="263">
        <f t="shared" si="151"/>
        <v>1.69702</v>
      </c>
      <c r="H680" s="263">
        <f t="shared" si="151"/>
        <v>1.69702</v>
      </c>
    </row>
    <row r="681" spans="1:8" ht="49.2" customHeight="1" x14ac:dyDescent="0.25">
      <c r="A681" s="261" t="s">
        <v>748</v>
      </c>
      <c r="B681" s="262" t="s">
        <v>791</v>
      </c>
      <c r="C681" s="262" t="s">
        <v>108</v>
      </c>
      <c r="D681" s="262" t="s">
        <v>586</v>
      </c>
      <c r="E681" s="262" t="s">
        <v>747</v>
      </c>
      <c r="F681" s="263">
        <f t="shared" si="151"/>
        <v>1.69702</v>
      </c>
      <c r="G681" s="263">
        <f t="shared" si="151"/>
        <v>1.69702</v>
      </c>
      <c r="H681" s="263">
        <f t="shared" si="151"/>
        <v>1.69702</v>
      </c>
    </row>
    <row r="682" spans="1:8" ht="23.25" customHeight="1" x14ac:dyDescent="0.25">
      <c r="A682" s="261" t="s">
        <v>124</v>
      </c>
      <c r="B682" s="262" t="s">
        <v>791</v>
      </c>
      <c r="C682" s="262" t="s">
        <v>108</v>
      </c>
      <c r="D682" s="262" t="s">
        <v>586</v>
      </c>
      <c r="E682" s="262" t="s">
        <v>165</v>
      </c>
      <c r="F682" s="263">
        <v>1.69702</v>
      </c>
      <c r="G682" s="263">
        <v>1.69702</v>
      </c>
      <c r="H682" s="263">
        <v>1.69702</v>
      </c>
    </row>
    <row r="683" spans="1:8" ht="53.4" customHeight="1" x14ac:dyDescent="0.25">
      <c r="A683" s="16" t="s">
        <v>893</v>
      </c>
      <c r="B683" s="262" t="s">
        <v>791</v>
      </c>
      <c r="C683" s="262" t="s">
        <v>108</v>
      </c>
      <c r="D683" s="287" t="s">
        <v>59</v>
      </c>
      <c r="E683" s="287" t="s">
        <v>223</v>
      </c>
      <c r="F683" s="288">
        <f>F684+F686</f>
        <v>9285.8253499999992</v>
      </c>
      <c r="G683" s="288">
        <f>G684+G686</f>
        <v>0</v>
      </c>
      <c r="H683" s="288">
        <f>H684+H686</f>
        <v>0</v>
      </c>
    </row>
    <row r="684" spans="1:8" ht="79.95" customHeight="1" x14ac:dyDescent="0.25">
      <c r="A684" s="264" t="s">
        <v>894</v>
      </c>
      <c r="B684" s="262" t="s">
        <v>791</v>
      </c>
      <c r="C684" s="262" t="s">
        <v>108</v>
      </c>
      <c r="D684" s="13" t="s">
        <v>467</v>
      </c>
      <c r="E684" s="13" t="s">
        <v>747</v>
      </c>
      <c r="F684" s="263">
        <f>F685</f>
        <v>9192.9670999999998</v>
      </c>
      <c r="G684" s="263">
        <f>G685</f>
        <v>0</v>
      </c>
      <c r="H684" s="263">
        <f>H685</f>
        <v>0</v>
      </c>
    </row>
    <row r="685" spans="1:8" ht="23.25" customHeight="1" x14ac:dyDescent="0.25">
      <c r="A685" s="261" t="s">
        <v>124</v>
      </c>
      <c r="B685" s="262" t="s">
        <v>791</v>
      </c>
      <c r="C685" s="262" t="s">
        <v>108</v>
      </c>
      <c r="D685" s="13" t="s">
        <v>467</v>
      </c>
      <c r="E685" s="262" t="s">
        <v>165</v>
      </c>
      <c r="F685" s="263">
        <f>'5'!D155</f>
        <v>9192.9670999999998</v>
      </c>
      <c r="G685" s="263">
        <f>'5'!E155</f>
        <v>0</v>
      </c>
      <c r="H685" s="263">
        <f>'5'!F155</f>
        <v>0</v>
      </c>
    </row>
    <row r="686" spans="1:8" ht="95.4" customHeight="1" x14ac:dyDescent="0.25">
      <c r="A686" s="264" t="s">
        <v>466</v>
      </c>
      <c r="B686" s="262" t="s">
        <v>791</v>
      </c>
      <c r="C686" s="262" t="s">
        <v>108</v>
      </c>
      <c r="D686" s="13" t="s">
        <v>468</v>
      </c>
      <c r="E686" s="13" t="s">
        <v>747</v>
      </c>
      <c r="F686" s="265">
        <f>F687</f>
        <v>92.858249999999998</v>
      </c>
      <c r="G686" s="265">
        <f>G687</f>
        <v>0</v>
      </c>
      <c r="H686" s="265">
        <f>H687</f>
        <v>0</v>
      </c>
    </row>
    <row r="687" spans="1:8" ht="18.600000000000001" customHeight="1" x14ac:dyDescent="0.25">
      <c r="A687" s="261" t="s">
        <v>124</v>
      </c>
      <c r="B687" s="262" t="s">
        <v>791</v>
      </c>
      <c r="C687" s="262" t="s">
        <v>108</v>
      </c>
      <c r="D687" s="262" t="s">
        <v>468</v>
      </c>
      <c r="E687" s="262" t="s">
        <v>165</v>
      </c>
      <c r="F687" s="263">
        <f>'5'!D156</f>
        <v>92.858249999999998</v>
      </c>
      <c r="G687" s="263">
        <f>'5'!E156</f>
        <v>0</v>
      </c>
      <c r="H687" s="263">
        <f>'5'!F156</f>
        <v>0</v>
      </c>
    </row>
    <row r="688" spans="1:8" ht="48.6" hidden="1" customHeight="1" x14ac:dyDescent="0.25">
      <c r="A688" s="16" t="s">
        <v>537</v>
      </c>
      <c r="B688" s="287" t="s">
        <v>791</v>
      </c>
      <c r="C688" s="287" t="s">
        <v>108</v>
      </c>
      <c r="D688" s="287" t="s">
        <v>59</v>
      </c>
      <c r="E688" s="287" t="s">
        <v>223</v>
      </c>
      <c r="F688" s="288">
        <f>F689+F692</f>
        <v>0</v>
      </c>
      <c r="G688" s="288">
        <f>G689+G692</f>
        <v>0</v>
      </c>
      <c r="H688" s="288">
        <f>H689+H692</f>
        <v>0</v>
      </c>
    </row>
    <row r="689" spans="1:8" ht="63" hidden="1" customHeight="1" x14ac:dyDescent="0.25">
      <c r="A689" s="261" t="s">
        <v>538</v>
      </c>
      <c r="B689" s="262" t="s">
        <v>791</v>
      </c>
      <c r="C689" s="262" t="s">
        <v>108</v>
      </c>
      <c r="D689" s="262" t="s">
        <v>539</v>
      </c>
      <c r="E689" s="262" t="s">
        <v>223</v>
      </c>
      <c r="F689" s="263">
        <f t="shared" ref="F689:H690" si="152">F690</f>
        <v>0</v>
      </c>
      <c r="G689" s="263">
        <f t="shared" si="152"/>
        <v>0</v>
      </c>
      <c r="H689" s="263">
        <f t="shared" si="152"/>
        <v>0</v>
      </c>
    </row>
    <row r="690" spans="1:8" ht="49.2" hidden="1" customHeight="1" x14ac:dyDescent="0.25">
      <c r="A690" s="261" t="s">
        <v>748</v>
      </c>
      <c r="B690" s="262" t="s">
        <v>791</v>
      </c>
      <c r="C690" s="262" t="s">
        <v>108</v>
      </c>
      <c r="D690" s="262" t="s">
        <v>539</v>
      </c>
      <c r="E690" s="262" t="s">
        <v>747</v>
      </c>
      <c r="F690" s="263">
        <f t="shared" si="152"/>
        <v>0</v>
      </c>
      <c r="G690" s="263">
        <f t="shared" si="152"/>
        <v>0</v>
      </c>
      <c r="H690" s="263">
        <f t="shared" si="152"/>
        <v>0</v>
      </c>
    </row>
    <row r="691" spans="1:8" ht="18.600000000000001" hidden="1" customHeight="1" x14ac:dyDescent="0.25">
      <c r="A691" s="261" t="s">
        <v>124</v>
      </c>
      <c r="B691" s="262" t="s">
        <v>791</v>
      </c>
      <c r="C691" s="262" t="s">
        <v>108</v>
      </c>
      <c r="D691" s="262" t="s">
        <v>539</v>
      </c>
      <c r="E691" s="262" t="s">
        <v>165</v>
      </c>
      <c r="F691" s="263"/>
      <c r="G691" s="263"/>
      <c r="H691" s="263"/>
    </row>
    <row r="692" spans="1:8" ht="80.400000000000006" hidden="1" customHeight="1" x14ac:dyDescent="0.25">
      <c r="A692" s="261" t="s">
        <v>540</v>
      </c>
      <c r="B692" s="262" t="s">
        <v>791</v>
      </c>
      <c r="C692" s="262" t="s">
        <v>108</v>
      </c>
      <c r="D692" s="262" t="s">
        <v>895</v>
      </c>
      <c r="E692" s="262" t="s">
        <v>223</v>
      </c>
      <c r="F692" s="263">
        <f t="shared" ref="F692:H693" si="153">F693</f>
        <v>0</v>
      </c>
      <c r="G692" s="263">
        <f t="shared" si="153"/>
        <v>0</v>
      </c>
      <c r="H692" s="263">
        <f t="shared" si="153"/>
        <v>0</v>
      </c>
    </row>
    <row r="693" spans="1:8" ht="52.2" hidden="1" customHeight="1" x14ac:dyDescent="0.25">
      <c r="A693" s="261" t="s">
        <v>748</v>
      </c>
      <c r="B693" s="262" t="s">
        <v>791</v>
      </c>
      <c r="C693" s="262" t="s">
        <v>108</v>
      </c>
      <c r="D693" s="262" t="s">
        <v>895</v>
      </c>
      <c r="E693" s="262" t="s">
        <v>747</v>
      </c>
      <c r="F693" s="263">
        <f t="shared" si="153"/>
        <v>0</v>
      </c>
      <c r="G693" s="263">
        <f t="shared" si="153"/>
        <v>0</v>
      </c>
      <c r="H693" s="263">
        <f t="shared" si="153"/>
        <v>0</v>
      </c>
    </row>
    <row r="694" spans="1:8" ht="18.600000000000001" hidden="1" customHeight="1" x14ac:dyDescent="0.25">
      <c r="A694" s="261" t="s">
        <v>124</v>
      </c>
      <c r="B694" s="262" t="s">
        <v>791</v>
      </c>
      <c r="C694" s="262" t="s">
        <v>108</v>
      </c>
      <c r="D694" s="262" t="s">
        <v>895</v>
      </c>
      <c r="E694" s="262" t="s">
        <v>165</v>
      </c>
      <c r="F694" s="263"/>
      <c r="G694" s="263"/>
      <c r="H694" s="263"/>
    </row>
    <row r="695" spans="1:8" ht="67.2" customHeight="1" x14ac:dyDescent="0.25">
      <c r="A695" s="325" t="s">
        <v>542</v>
      </c>
      <c r="B695" s="326" t="s">
        <v>791</v>
      </c>
      <c r="C695" s="326" t="s">
        <v>108</v>
      </c>
      <c r="D695" s="326" t="s">
        <v>896</v>
      </c>
      <c r="E695" s="326" t="s">
        <v>223</v>
      </c>
      <c r="F695" s="296">
        <f>F696+F699</f>
        <v>102.06143</v>
      </c>
      <c r="G695" s="296">
        <f>G696+G699</f>
        <v>0</v>
      </c>
      <c r="H695" s="296">
        <f>H696+H699</f>
        <v>0</v>
      </c>
    </row>
    <row r="696" spans="1:8" ht="99" customHeight="1" x14ac:dyDescent="0.25">
      <c r="A696" s="293" t="s">
        <v>543</v>
      </c>
      <c r="B696" s="269" t="s">
        <v>791</v>
      </c>
      <c r="C696" s="269" t="s">
        <v>108</v>
      </c>
      <c r="D696" s="269" t="s">
        <v>544</v>
      </c>
      <c r="E696" s="269" t="s">
        <v>223</v>
      </c>
      <c r="F696" s="485">
        <f t="shared" ref="F696:H697" si="154">F697</f>
        <v>102.04082</v>
      </c>
      <c r="G696" s="485">
        <f t="shared" si="154"/>
        <v>0</v>
      </c>
      <c r="H696" s="485">
        <f t="shared" si="154"/>
        <v>0</v>
      </c>
    </row>
    <row r="697" spans="1:8" ht="51" customHeight="1" x14ac:dyDescent="0.25">
      <c r="A697" s="293" t="s">
        <v>748</v>
      </c>
      <c r="B697" s="269" t="s">
        <v>791</v>
      </c>
      <c r="C697" s="269" t="s">
        <v>108</v>
      </c>
      <c r="D697" s="269" t="s">
        <v>544</v>
      </c>
      <c r="E697" s="269" t="s">
        <v>747</v>
      </c>
      <c r="F697" s="485">
        <f t="shared" si="154"/>
        <v>102.04082</v>
      </c>
      <c r="G697" s="485">
        <f t="shared" si="154"/>
        <v>0</v>
      </c>
      <c r="H697" s="485">
        <f t="shared" si="154"/>
        <v>0</v>
      </c>
    </row>
    <row r="698" spans="1:8" ht="16.95" customHeight="1" x14ac:dyDescent="0.25">
      <c r="A698" s="293" t="s">
        <v>124</v>
      </c>
      <c r="B698" s="269" t="s">
        <v>791</v>
      </c>
      <c r="C698" s="269" t="s">
        <v>108</v>
      </c>
      <c r="D698" s="269" t="s">
        <v>544</v>
      </c>
      <c r="E698" s="269" t="s">
        <v>165</v>
      </c>
      <c r="F698" s="485">
        <f>'5'!D161</f>
        <v>102.04082</v>
      </c>
      <c r="G698" s="485">
        <f>'5'!E161</f>
        <v>0</v>
      </c>
      <c r="H698" s="485">
        <f>'5'!F161</f>
        <v>0</v>
      </c>
    </row>
    <row r="699" spans="1:8" ht="117" customHeight="1" x14ac:dyDescent="0.25">
      <c r="A699" s="293" t="s">
        <v>545</v>
      </c>
      <c r="B699" s="269" t="s">
        <v>791</v>
      </c>
      <c r="C699" s="269" t="s">
        <v>108</v>
      </c>
      <c r="D699" s="269" t="s">
        <v>544</v>
      </c>
      <c r="E699" s="269" t="s">
        <v>223</v>
      </c>
      <c r="F699" s="485">
        <f t="shared" ref="F699:H700" si="155">F700</f>
        <v>2.061E-2</v>
      </c>
      <c r="G699" s="485">
        <f t="shared" si="155"/>
        <v>0</v>
      </c>
      <c r="H699" s="485">
        <f t="shared" si="155"/>
        <v>0</v>
      </c>
    </row>
    <row r="700" spans="1:8" ht="51" customHeight="1" x14ac:dyDescent="0.25">
      <c r="A700" s="293" t="s">
        <v>748</v>
      </c>
      <c r="B700" s="269" t="s">
        <v>791</v>
      </c>
      <c r="C700" s="269" t="s">
        <v>108</v>
      </c>
      <c r="D700" s="269" t="s">
        <v>544</v>
      </c>
      <c r="E700" s="269" t="s">
        <v>747</v>
      </c>
      <c r="F700" s="485">
        <f t="shared" si="155"/>
        <v>2.061E-2</v>
      </c>
      <c r="G700" s="485">
        <f t="shared" si="155"/>
        <v>0</v>
      </c>
      <c r="H700" s="485">
        <f t="shared" si="155"/>
        <v>0</v>
      </c>
    </row>
    <row r="701" spans="1:8" ht="18.600000000000001" customHeight="1" x14ac:dyDescent="0.25">
      <c r="A701" s="293" t="s">
        <v>124</v>
      </c>
      <c r="B701" s="269" t="s">
        <v>791</v>
      </c>
      <c r="C701" s="269" t="s">
        <v>108</v>
      </c>
      <c r="D701" s="269" t="s">
        <v>544</v>
      </c>
      <c r="E701" s="269" t="s">
        <v>165</v>
      </c>
      <c r="F701" s="485">
        <f>'5'!D162</f>
        <v>2.061E-2</v>
      </c>
      <c r="G701" s="485">
        <f>'5'!E162</f>
        <v>0</v>
      </c>
      <c r="H701" s="485">
        <f>'5'!F162</f>
        <v>0</v>
      </c>
    </row>
    <row r="702" spans="1:8" ht="81" customHeight="1" x14ac:dyDescent="0.25">
      <c r="A702" s="130" t="s">
        <v>618</v>
      </c>
      <c r="B702" s="326" t="s">
        <v>791</v>
      </c>
      <c r="C702" s="326" t="s">
        <v>108</v>
      </c>
      <c r="D702" s="326" t="s">
        <v>896</v>
      </c>
      <c r="E702" s="326" t="s">
        <v>223</v>
      </c>
      <c r="F702" s="296">
        <f>F703+F706</f>
        <v>51.030719999999995</v>
      </c>
      <c r="G702" s="296">
        <f>G703+G706</f>
        <v>0</v>
      </c>
      <c r="H702" s="296">
        <f>H703+H706</f>
        <v>0</v>
      </c>
    </row>
    <row r="703" spans="1:8" ht="18.600000000000001" customHeight="1" x14ac:dyDescent="0.25">
      <c r="A703" s="21" t="s">
        <v>897</v>
      </c>
      <c r="B703" s="262" t="s">
        <v>791</v>
      </c>
      <c r="C703" s="262" t="s">
        <v>108</v>
      </c>
      <c r="D703" s="8" t="s">
        <v>620</v>
      </c>
      <c r="E703" s="262" t="s">
        <v>223</v>
      </c>
      <c r="F703" s="263">
        <f t="shared" ref="F703:H704" si="156">F704</f>
        <v>51.020409999999998</v>
      </c>
      <c r="G703" s="263">
        <f t="shared" si="156"/>
        <v>0</v>
      </c>
      <c r="H703" s="263">
        <f t="shared" si="156"/>
        <v>0</v>
      </c>
    </row>
    <row r="704" spans="1:8" ht="18.600000000000001" customHeight="1" x14ac:dyDescent="0.25">
      <c r="A704" s="21" t="s">
        <v>748</v>
      </c>
      <c r="B704" s="262" t="s">
        <v>791</v>
      </c>
      <c r="C704" s="262" t="s">
        <v>108</v>
      </c>
      <c r="D704" s="8" t="s">
        <v>620</v>
      </c>
      <c r="E704" s="262" t="s">
        <v>747</v>
      </c>
      <c r="F704" s="263">
        <f t="shared" si="156"/>
        <v>51.020409999999998</v>
      </c>
      <c r="G704" s="263">
        <f t="shared" si="156"/>
        <v>0</v>
      </c>
      <c r="H704" s="263">
        <f t="shared" si="156"/>
        <v>0</v>
      </c>
    </row>
    <row r="705" spans="1:8" ht="18.600000000000001" customHeight="1" x14ac:dyDescent="0.25">
      <c r="A705" s="21" t="s">
        <v>124</v>
      </c>
      <c r="B705" s="262" t="s">
        <v>791</v>
      </c>
      <c r="C705" s="262" t="s">
        <v>108</v>
      </c>
      <c r="D705" s="6" t="s">
        <v>620</v>
      </c>
      <c r="E705" s="262" t="s">
        <v>165</v>
      </c>
      <c r="F705" s="263">
        <f>'5'!D164</f>
        <v>51.020409999999998</v>
      </c>
      <c r="G705" s="263">
        <f>'5'!E164</f>
        <v>0</v>
      </c>
      <c r="H705" s="263">
        <f>'5'!F164</f>
        <v>0</v>
      </c>
    </row>
    <row r="706" spans="1:8" ht="25.5" customHeight="1" x14ac:dyDescent="0.25">
      <c r="A706" s="2" t="s">
        <v>898</v>
      </c>
      <c r="B706" s="269" t="s">
        <v>791</v>
      </c>
      <c r="C706" s="269" t="s">
        <v>108</v>
      </c>
      <c r="D706" s="6" t="s">
        <v>620</v>
      </c>
      <c r="E706" s="269" t="s">
        <v>223</v>
      </c>
      <c r="F706" s="485">
        <f t="shared" ref="F706:H707" si="157">F707</f>
        <v>1.031E-2</v>
      </c>
      <c r="G706" s="485">
        <f t="shared" si="157"/>
        <v>0</v>
      </c>
      <c r="H706" s="485">
        <f t="shared" si="157"/>
        <v>0</v>
      </c>
    </row>
    <row r="707" spans="1:8" ht="18.600000000000001" customHeight="1" x14ac:dyDescent="0.25">
      <c r="A707" s="21" t="s">
        <v>748</v>
      </c>
      <c r="B707" s="262" t="s">
        <v>791</v>
      </c>
      <c r="C707" s="262" t="s">
        <v>108</v>
      </c>
      <c r="D707" s="8" t="s">
        <v>620</v>
      </c>
      <c r="E707" s="262" t="s">
        <v>747</v>
      </c>
      <c r="F707" s="263">
        <f t="shared" si="157"/>
        <v>1.031E-2</v>
      </c>
      <c r="G707" s="263">
        <f t="shared" si="157"/>
        <v>0</v>
      </c>
      <c r="H707" s="263">
        <f t="shared" si="157"/>
        <v>0</v>
      </c>
    </row>
    <row r="708" spans="1:8" ht="18.600000000000001" customHeight="1" x14ac:dyDescent="0.25">
      <c r="A708" s="21" t="s">
        <v>124</v>
      </c>
      <c r="B708" s="262" t="s">
        <v>791</v>
      </c>
      <c r="C708" s="262" t="s">
        <v>108</v>
      </c>
      <c r="D708" s="6" t="s">
        <v>620</v>
      </c>
      <c r="E708" s="262" t="s">
        <v>165</v>
      </c>
      <c r="F708" s="263">
        <f>'5'!D165</f>
        <v>1.031E-2</v>
      </c>
      <c r="G708" s="263">
        <f>'5'!E165</f>
        <v>0</v>
      </c>
      <c r="H708" s="263">
        <f>'5'!F165</f>
        <v>0</v>
      </c>
    </row>
    <row r="709" spans="1:8" ht="103.2" customHeight="1" x14ac:dyDescent="0.25">
      <c r="A709" s="298" t="s">
        <v>295</v>
      </c>
      <c r="B709" s="262" t="s">
        <v>791</v>
      </c>
      <c r="C709" s="262" t="s">
        <v>108</v>
      </c>
      <c r="D709" s="262" t="s">
        <v>63</v>
      </c>
      <c r="E709" s="262" t="s">
        <v>223</v>
      </c>
      <c r="F709" s="263">
        <f t="shared" ref="F709:H710" si="158">F710</f>
        <v>2129.5</v>
      </c>
      <c r="G709" s="263">
        <f t="shared" si="158"/>
        <v>1949.5</v>
      </c>
      <c r="H709" s="263">
        <f t="shared" si="158"/>
        <v>1949.5</v>
      </c>
    </row>
    <row r="710" spans="1:8" ht="52.95" customHeight="1" x14ac:dyDescent="0.25">
      <c r="A710" s="261" t="s">
        <v>748</v>
      </c>
      <c r="B710" s="262" t="s">
        <v>791</v>
      </c>
      <c r="C710" s="262" t="s">
        <v>108</v>
      </c>
      <c r="D710" s="262" t="s">
        <v>63</v>
      </c>
      <c r="E710" s="262" t="s">
        <v>747</v>
      </c>
      <c r="F710" s="263">
        <f t="shared" si="158"/>
        <v>2129.5</v>
      </c>
      <c r="G710" s="263">
        <f t="shared" si="158"/>
        <v>1949.5</v>
      </c>
      <c r="H710" s="263">
        <f t="shared" si="158"/>
        <v>1949.5</v>
      </c>
    </row>
    <row r="711" spans="1:8" ht="16.5" customHeight="1" x14ac:dyDescent="0.25">
      <c r="A711" s="261" t="s">
        <v>124</v>
      </c>
      <c r="B711" s="262" t="s">
        <v>791</v>
      </c>
      <c r="C711" s="262" t="s">
        <v>108</v>
      </c>
      <c r="D711" s="262" t="s">
        <v>63</v>
      </c>
      <c r="E711" s="262" t="s">
        <v>165</v>
      </c>
      <c r="F711" s="542">
        <f>'5'!D175</f>
        <v>2129.5</v>
      </c>
      <c r="G711" s="485">
        <f>'5'!E175</f>
        <v>1949.5</v>
      </c>
      <c r="H711" s="485">
        <f>'5'!F175</f>
        <v>1949.5</v>
      </c>
    </row>
    <row r="712" spans="1:8" s="281" customFormat="1" ht="32.25" customHeight="1" x14ac:dyDescent="0.3">
      <c r="A712" s="256" t="s">
        <v>899</v>
      </c>
      <c r="B712" s="257" t="s">
        <v>791</v>
      </c>
      <c r="C712" s="257" t="s">
        <v>113</v>
      </c>
      <c r="D712" s="257" t="s">
        <v>699</v>
      </c>
      <c r="E712" s="257" t="s">
        <v>223</v>
      </c>
      <c r="F712" s="258">
        <f>F713+F737+F742+F745+F740</f>
        <v>2771.2959000000001</v>
      </c>
      <c r="G712" s="258">
        <f>G713+G737+G742+G745+G740</f>
        <v>1471.2</v>
      </c>
      <c r="H712" s="258">
        <f>H713+H737+H742+H745+H740</f>
        <v>1471.2</v>
      </c>
    </row>
    <row r="713" spans="1:8" ht="50.7" customHeight="1" x14ac:dyDescent="0.25">
      <c r="A713" s="264" t="s">
        <v>884</v>
      </c>
      <c r="B713" s="13" t="s">
        <v>791</v>
      </c>
      <c r="C713" s="13" t="s">
        <v>113</v>
      </c>
      <c r="D713" s="13" t="s">
        <v>58</v>
      </c>
      <c r="E713" s="13" t="s">
        <v>223</v>
      </c>
      <c r="F713" s="265">
        <f>F714+F717+F731+F734+F724</f>
        <v>2249.2959000000001</v>
      </c>
      <c r="G713" s="265">
        <f>G714+G717+G731+G734+G724</f>
        <v>1347.2</v>
      </c>
      <c r="H713" s="265">
        <f>H714+H717+H731+H734+H724</f>
        <v>1347.2</v>
      </c>
    </row>
    <row r="714" spans="1:8" ht="37.950000000000003" customHeight="1" x14ac:dyDescent="0.25">
      <c r="A714" s="298" t="s">
        <v>900</v>
      </c>
      <c r="B714" s="262" t="s">
        <v>791</v>
      </c>
      <c r="C714" s="262" t="s">
        <v>113</v>
      </c>
      <c r="D714" s="262" t="s">
        <v>64</v>
      </c>
      <c r="E714" s="262" t="s">
        <v>223</v>
      </c>
      <c r="F714" s="263">
        <f t="shared" ref="F714:H715" si="159">F715</f>
        <v>1527.2</v>
      </c>
      <c r="G714" s="263">
        <f t="shared" si="159"/>
        <v>1347.2</v>
      </c>
      <c r="H714" s="263">
        <f t="shared" si="159"/>
        <v>1347.2</v>
      </c>
    </row>
    <row r="715" spans="1:8" ht="50.25" customHeight="1" x14ac:dyDescent="0.25">
      <c r="A715" s="261" t="s">
        <v>748</v>
      </c>
      <c r="B715" s="262" t="s">
        <v>791</v>
      </c>
      <c r="C715" s="262" t="s">
        <v>113</v>
      </c>
      <c r="D715" s="262" t="s">
        <v>64</v>
      </c>
      <c r="E715" s="262" t="s">
        <v>747</v>
      </c>
      <c r="F715" s="263">
        <f t="shared" si="159"/>
        <v>1527.2</v>
      </c>
      <c r="G715" s="263">
        <f t="shared" si="159"/>
        <v>1347.2</v>
      </c>
      <c r="H715" s="263">
        <f t="shared" si="159"/>
        <v>1347.2</v>
      </c>
    </row>
    <row r="716" spans="1:8" ht="17.25" customHeight="1" x14ac:dyDescent="0.25">
      <c r="A716" s="261" t="s">
        <v>124</v>
      </c>
      <c r="B716" s="262" t="s">
        <v>791</v>
      </c>
      <c r="C716" s="262" t="s">
        <v>113</v>
      </c>
      <c r="D716" s="262" t="s">
        <v>64</v>
      </c>
      <c r="E716" s="262" t="s">
        <v>165</v>
      </c>
      <c r="F716" s="542">
        <f>'5'!D180</f>
        <v>1527.2</v>
      </c>
      <c r="G716" s="485">
        <f>'5'!E180</f>
        <v>1347.2</v>
      </c>
      <c r="H716" s="485">
        <f>'5'!F180</f>
        <v>1347.2</v>
      </c>
    </row>
    <row r="717" spans="1:8" ht="51.6" hidden="1" customHeight="1" x14ac:dyDescent="0.25">
      <c r="A717" s="16" t="s">
        <v>464</v>
      </c>
      <c r="B717" s="262" t="s">
        <v>791</v>
      </c>
      <c r="C717" s="262" t="s">
        <v>113</v>
      </c>
      <c r="D717" s="287" t="s">
        <v>59</v>
      </c>
      <c r="E717" s="287" t="s">
        <v>223</v>
      </c>
      <c r="F717" s="288">
        <f>F718</f>
        <v>0</v>
      </c>
      <c r="G717" s="288">
        <f t="shared" ref="G717:H719" si="160">G718</f>
        <v>0</v>
      </c>
      <c r="H717" s="288">
        <f t="shared" si="160"/>
        <v>0</v>
      </c>
    </row>
    <row r="718" spans="1:8" ht="66.599999999999994" hidden="1" customHeight="1" x14ac:dyDescent="0.25">
      <c r="A718" s="261" t="s">
        <v>465</v>
      </c>
      <c r="B718" s="262" t="s">
        <v>791</v>
      </c>
      <c r="C718" s="262" t="s">
        <v>113</v>
      </c>
      <c r="D718" s="262" t="s">
        <v>467</v>
      </c>
      <c r="E718" s="262" t="s">
        <v>223</v>
      </c>
      <c r="F718" s="263">
        <f>F719</f>
        <v>0</v>
      </c>
      <c r="G718" s="263">
        <f t="shared" si="160"/>
        <v>0</v>
      </c>
      <c r="H718" s="263">
        <f t="shared" si="160"/>
        <v>0</v>
      </c>
    </row>
    <row r="719" spans="1:8" ht="49.2" hidden="1" customHeight="1" x14ac:dyDescent="0.25">
      <c r="A719" s="261" t="s">
        <v>748</v>
      </c>
      <c r="B719" s="262" t="s">
        <v>791</v>
      </c>
      <c r="C719" s="262" t="s">
        <v>113</v>
      </c>
      <c r="D719" s="262" t="s">
        <v>467</v>
      </c>
      <c r="E719" s="262" t="s">
        <v>747</v>
      </c>
      <c r="F719" s="263">
        <f>F720</f>
        <v>0</v>
      </c>
      <c r="G719" s="263">
        <f t="shared" si="160"/>
        <v>0</v>
      </c>
      <c r="H719" s="263">
        <f t="shared" si="160"/>
        <v>0</v>
      </c>
    </row>
    <row r="720" spans="1:8" ht="22.95" hidden="1" customHeight="1" x14ac:dyDescent="0.25">
      <c r="A720" s="261" t="s">
        <v>124</v>
      </c>
      <c r="B720" s="262" t="s">
        <v>791</v>
      </c>
      <c r="C720" s="262" t="s">
        <v>113</v>
      </c>
      <c r="D720" s="262" t="s">
        <v>467</v>
      </c>
      <c r="E720" s="262" t="s">
        <v>165</v>
      </c>
      <c r="F720" s="263"/>
      <c r="G720" s="263"/>
      <c r="H720" s="263"/>
    </row>
    <row r="721" spans="1:8" ht="84.6" hidden="1" customHeight="1" x14ac:dyDescent="0.25">
      <c r="A721" s="261" t="s">
        <v>466</v>
      </c>
      <c r="B721" s="262" t="s">
        <v>791</v>
      </c>
      <c r="C721" s="262" t="s">
        <v>113</v>
      </c>
      <c r="D721" s="262" t="s">
        <v>468</v>
      </c>
      <c r="E721" s="262" t="s">
        <v>223</v>
      </c>
      <c r="F721" s="263">
        <f t="shared" ref="F721:H722" si="161">F722</f>
        <v>0</v>
      </c>
      <c r="G721" s="263">
        <f t="shared" si="161"/>
        <v>0</v>
      </c>
      <c r="H721" s="263">
        <f t="shared" si="161"/>
        <v>0</v>
      </c>
    </row>
    <row r="722" spans="1:8" ht="51" hidden="1" customHeight="1" x14ac:dyDescent="0.25">
      <c r="A722" s="261" t="s">
        <v>748</v>
      </c>
      <c r="B722" s="262" t="s">
        <v>791</v>
      </c>
      <c r="C722" s="262" t="s">
        <v>113</v>
      </c>
      <c r="D722" s="262" t="s">
        <v>468</v>
      </c>
      <c r="E722" s="262" t="s">
        <v>747</v>
      </c>
      <c r="F722" s="263">
        <f t="shared" si="161"/>
        <v>0</v>
      </c>
      <c r="G722" s="263">
        <f t="shared" si="161"/>
        <v>0</v>
      </c>
      <c r="H722" s="263">
        <f t="shared" si="161"/>
        <v>0</v>
      </c>
    </row>
    <row r="723" spans="1:8" ht="19.2" hidden="1" customHeight="1" x14ac:dyDescent="0.25">
      <c r="A723" s="261" t="s">
        <v>124</v>
      </c>
      <c r="B723" s="262" t="s">
        <v>791</v>
      </c>
      <c r="C723" s="262" t="s">
        <v>113</v>
      </c>
      <c r="D723" s="262" t="s">
        <v>468</v>
      </c>
      <c r="E723" s="262" t="s">
        <v>165</v>
      </c>
      <c r="F723" s="263"/>
      <c r="G723" s="263"/>
      <c r="H723" s="263"/>
    </row>
    <row r="724" spans="1:8" ht="86.25" customHeight="1" x14ac:dyDescent="0.25">
      <c r="A724" s="16" t="s">
        <v>588</v>
      </c>
      <c r="B724" s="287" t="s">
        <v>791</v>
      </c>
      <c r="C724" s="287" t="s">
        <v>113</v>
      </c>
      <c r="D724" s="287" t="s">
        <v>901</v>
      </c>
      <c r="E724" s="287" t="s">
        <v>223</v>
      </c>
      <c r="F724" s="288">
        <f>F725+F728</f>
        <v>722.09590000000003</v>
      </c>
      <c r="G724" s="288">
        <f>G725+G728</f>
        <v>0</v>
      </c>
      <c r="H724" s="288">
        <f>H725+H728</f>
        <v>0</v>
      </c>
    </row>
    <row r="725" spans="1:8" ht="97.95" customHeight="1" x14ac:dyDescent="0.25">
      <c r="A725" s="261" t="s">
        <v>512</v>
      </c>
      <c r="B725" s="262" t="s">
        <v>791</v>
      </c>
      <c r="C725" s="262" t="s">
        <v>113</v>
      </c>
      <c r="D725" s="269" t="s">
        <v>556</v>
      </c>
      <c r="E725" s="262" t="s">
        <v>223</v>
      </c>
      <c r="F725" s="542">
        <f t="shared" ref="F725:H726" si="162">F726</f>
        <v>0</v>
      </c>
      <c r="G725" s="263">
        <f t="shared" si="162"/>
        <v>0</v>
      </c>
      <c r="H725" s="263">
        <f t="shared" si="162"/>
        <v>0</v>
      </c>
    </row>
    <row r="726" spans="1:8" ht="49.95" customHeight="1" x14ac:dyDescent="0.25">
      <c r="A726" s="261" t="s">
        <v>748</v>
      </c>
      <c r="B726" s="262" t="s">
        <v>791</v>
      </c>
      <c r="C726" s="262" t="s">
        <v>113</v>
      </c>
      <c r="D726" s="269" t="s">
        <v>556</v>
      </c>
      <c r="E726" s="262" t="s">
        <v>747</v>
      </c>
      <c r="F726" s="542">
        <f t="shared" si="162"/>
        <v>0</v>
      </c>
      <c r="G726" s="263">
        <f t="shared" si="162"/>
        <v>0</v>
      </c>
      <c r="H726" s="263">
        <f t="shared" si="162"/>
        <v>0</v>
      </c>
    </row>
    <row r="727" spans="1:8" ht="24.6" customHeight="1" x14ac:dyDescent="0.25">
      <c r="A727" s="261" t="s">
        <v>124</v>
      </c>
      <c r="B727" s="262" t="s">
        <v>791</v>
      </c>
      <c r="C727" s="262" t="s">
        <v>113</v>
      </c>
      <c r="D727" s="269" t="s">
        <v>556</v>
      </c>
      <c r="E727" s="262" t="s">
        <v>165</v>
      </c>
      <c r="F727" s="542">
        <f>'5'!D194</f>
        <v>0</v>
      </c>
      <c r="G727" s="263">
        <f>'5'!E194</f>
        <v>0</v>
      </c>
      <c r="H727" s="263">
        <f>'5'!F194</f>
        <v>0</v>
      </c>
    </row>
    <row r="728" spans="1:8" ht="115.2" customHeight="1" x14ac:dyDescent="0.25">
      <c r="A728" s="261" t="s">
        <v>557</v>
      </c>
      <c r="B728" s="262" t="s">
        <v>791</v>
      </c>
      <c r="C728" s="262" t="s">
        <v>113</v>
      </c>
      <c r="D728" s="269" t="s">
        <v>559</v>
      </c>
      <c r="E728" s="262" t="s">
        <v>223</v>
      </c>
      <c r="F728" s="543">
        <f t="shared" ref="F728:H729" si="163">F729</f>
        <v>722.09590000000003</v>
      </c>
      <c r="G728" s="327">
        <f t="shared" si="163"/>
        <v>0</v>
      </c>
      <c r="H728" s="327">
        <f t="shared" si="163"/>
        <v>0</v>
      </c>
    </row>
    <row r="729" spans="1:8" ht="51" customHeight="1" x14ac:dyDescent="0.25">
      <c r="A729" s="261" t="s">
        <v>748</v>
      </c>
      <c r="B729" s="262" t="s">
        <v>791</v>
      </c>
      <c r="C729" s="262" t="s">
        <v>113</v>
      </c>
      <c r="D729" s="269" t="s">
        <v>559</v>
      </c>
      <c r="E729" s="262" t="s">
        <v>747</v>
      </c>
      <c r="F729" s="543">
        <f t="shared" si="163"/>
        <v>722.09590000000003</v>
      </c>
      <c r="G729" s="327">
        <f t="shared" si="163"/>
        <v>0</v>
      </c>
      <c r="H729" s="327">
        <f t="shared" si="163"/>
        <v>0</v>
      </c>
    </row>
    <row r="730" spans="1:8" ht="16.95" customHeight="1" x14ac:dyDescent="0.25">
      <c r="A730" s="328" t="s">
        <v>124</v>
      </c>
      <c r="B730" s="262" t="s">
        <v>791</v>
      </c>
      <c r="C730" s="262" t="s">
        <v>113</v>
      </c>
      <c r="D730" s="269" t="s">
        <v>559</v>
      </c>
      <c r="E730" s="262" t="s">
        <v>165</v>
      </c>
      <c r="F730" s="543">
        <f>'5'!D195</f>
        <v>722.09590000000003</v>
      </c>
      <c r="G730" s="327">
        <f>'5'!E195</f>
        <v>0</v>
      </c>
      <c r="H730" s="327">
        <f>'5'!F195</f>
        <v>0</v>
      </c>
    </row>
    <row r="731" spans="1:8" ht="40.950000000000003" hidden="1" customHeight="1" x14ac:dyDescent="0.25">
      <c r="A731" s="298" t="s">
        <v>902</v>
      </c>
      <c r="B731" s="262" t="s">
        <v>791</v>
      </c>
      <c r="C731" s="262" t="s">
        <v>113</v>
      </c>
      <c r="D731" s="262" t="s">
        <v>491</v>
      </c>
      <c r="E731" s="262" t="s">
        <v>223</v>
      </c>
      <c r="F731" s="542">
        <f t="shared" ref="F731:H732" si="164">F732</f>
        <v>0</v>
      </c>
      <c r="G731" s="263">
        <f t="shared" si="164"/>
        <v>0</v>
      </c>
      <c r="H731" s="263">
        <f t="shared" si="164"/>
        <v>0</v>
      </c>
    </row>
    <row r="732" spans="1:8" ht="49.2" hidden="1" customHeight="1" x14ac:dyDescent="0.25">
      <c r="A732" s="328" t="s">
        <v>748</v>
      </c>
      <c r="B732" s="262" t="s">
        <v>791</v>
      </c>
      <c r="C732" s="262" t="s">
        <v>113</v>
      </c>
      <c r="D732" s="262" t="s">
        <v>491</v>
      </c>
      <c r="E732" s="262" t="s">
        <v>747</v>
      </c>
      <c r="F732" s="542">
        <f t="shared" si="164"/>
        <v>0</v>
      </c>
      <c r="G732" s="263">
        <f t="shared" si="164"/>
        <v>0</v>
      </c>
      <c r="H732" s="263">
        <f t="shared" si="164"/>
        <v>0</v>
      </c>
    </row>
    <row r="733" spans="1:8" ht="24" hidden="1" customHeight="1" x14ac:dyDescent="0.25">
      <c r="A733" s="328" t="s">
        <v>124</v>
      </c>
      <c r="B733" s="262" t="s">
        <v>791</v>
      </c>
      <c r="C733" s="262" t="s">
        <v>113</v>
      </c>
      <c r="D733" s="262" t="s">
        <v>491</v>
      </c>
      <c r="E733" s="262" t="s">
        <v>165</v>
      </c>
      <c r="F733" s="542"/>
      <c r="G733" s="263"/>
      <c r="H733" s="263"/>
    </row>
    <row r="734" spans="1:8" ht="34.5" hidden="1" customHeight="1" x14ac:dyDescent="0.25">
      <c r="A734" s="298" t="s">
        <v>851</v>
      </c>
      <c r="B734" s="262" t="s">
        <v>791</v>
      </c>
      <c r="C734" s="262" t="s">
        <v>113</v>
      </c>
      <c r="D734" s="262" t="s">
        <v>492</v>
      </c>
      <c r="E734" s="262" t="s">
        <v>223</v>
      </c>
      <c r="F734" s="542">
        <f t="shared" ref="F734:H735" si="165">F735</f>
        <v>0</v>
      </c>
      <c r="G734" s="263">
        <f t="shared" si="165"/>
        <v>0</v>
      </c>
      <c r="H734" s="263">
        <f t="shared" si="165"/>
        <v>0</v>
      </c>
    </row>
    <row r="735" spans="1:8" ht="52.2" hidden="1" customHeight="1" x14ac:dyDescent="0.25">
      <c r="A735" s="328" t="s">
        <v>748</v>
      </c>
      <c r="B735" s="262" t="s">
        <v>791</v>
      </c>
      <c r="C735" s="262" t="s">
        <v>113</v>
      </c>
      <c r="D735" s="262" t="s">
        <v>492</v>
      </c>
      <c r="E735" s="262" t="s">
        <v>747</v>
      </c>
      <c r="F735" s="542">
        <f t="shared" si="165"/>
        <v>0</v>
      </c>
      <c r="G735" s="263">
        <f t="shared" si="165"/>
        <v>0</v>
      </c>
      <c r="H735" s="263">
        <f t="shared" si="165"/>
        <v>0</v>
      </c>
    </row>
    <row r="736" spans="1:8" ht="19.2" hidden="1" customHeight="1" x14ac:dyDescent="0.25">
      <c r="A736" s="328" t="s">
        <v>124</v>
      </c>
      <c r="B736" s="262" t="s">
        <v>791</v>
      </c>
      <c r="C736" s="262" t="s">
        <v>113</v>
      </c>
      <c r="D736" s="262" t="s">
        <v>492</v>
      </c>
      <c r="E736" s="262" t="s">
        <v>165</v>
      </c>
      <c r="F736" s="542"/>
      <c r="G736" s="263"/>
      <c r="H736" s="263"/>
    </row>
    <row r="737" spans="1:8" s="266" customFormat="1" ht="52.95" customHeight="1" x14ac:dyDescent="0.3">
      <c r="A737" s="264" t="s">
        <v>757</v>
      </c>
      <c r="B737" s="13" t="s">
        <v>791</v>
      </c>
      <c r="C737" s="13" t="s">
        <v>113</v>
      </c>
      <c r="D737" s="13" t="s">
        <v>22</v>
      </c>
      <c r="E737" s="13" t="s">
        <v>223</v>
      </c>
      <c r="F737" s="267">
        <f t="shared" ref="F737:H738" si="166">F738</f>
        <v>39</v>
      </c>
      <c r="G737" s="265">
        <f t="shared" si="166"/>
        <v>39</v>
      </c>
      <c r="H737" s="265">
        <f t="shared" si="166"/>
        <v>39</v>
      </c>
    </row>
    <row r="738" spans="1:8" ht="37.950000000000003" customHeight="1" x14ac:dyDescent="0.25">
      <c r="A738" s="298" t="s">
        <v>903</v>
      </c>
      <c r="B738" s="262" t="s">
        <v>791</v>
      </c>
      <c r="C738" s="262" t="s">
        <v>113</v>
      </c>
      <c r="D738" s="262" t="s">
        <v>23</v>
      </c>
      <c r="E738" s="262" t="s">
        <v>223</v>
      </c>
      <c r="F738" s="542">
        <f t="shared" si="166"/>
        <v>39</v>
      </c>
      <c r="G738" s="263">
        <f t="shared" si="166"/>
        <v>39</v>
      </c>
      <c r="H738" s="263">
        <f t="shared" si="166"/>
        <v>39</v>
      </c>
    </row>
    <row r="739" spans="1:8" ht="17.25" customHeight="1" x14ac:dyDescent="0.25">
      <c r="A739" s="261" t="s">
        <v>124</v>
      </c>
      <c r="B739" s="262" t="s">
        <v>791</v>
      </c>
      <c r="C739" s="262" t="s">
        <v>113</v>
      </c>
      <c r="D739" s="262" t="s">
        <v>65</v>
      </c>
      <c r="E739" s="262" t="s">
        <v>165</v>
      </c>
      <c r="F739" s="542">
        <f>'5'!D97</f>
        <v>39</v>
      </c>
      <c r="G739" s="263">
        <f>'5'!E97</f>
        <v>39</v>
      </c>
      <c r="H739" s="263">
        <f>'5'!F97</f>
        <v>39</v>
      </c>
    </row>
    <row r="740" spans="1:8" s="266" customFormat="1" ht="64.5" customHeight="1" x14ac:dyDescent="0.3">
      <c r="A740" s="264" t="s">
        <v>876</v>
      </c>
      <c r="B740" s="13" t="s">
        <v>791</v>
      </c>
      <c r="C740" s="13" t="s">
        <v>113</v>
      </c>
      <c r="D740" s="13" t="s">
        <v>54</v>
      </c>
      <c r="E740" s="13" t="s">
        <v>223</v>
      </c>
      <c r="F740" s="267">
        <f>F741</f>
        <v>5</v>
      </c>
      <c r="G740" s="265">
        <f>G741</f>
        <v>5</v>
      </c>
      <c r="H740" s="265">
        <f>H741</f>
        <v>5</v>
      </c>
    </row>
    <row r="741" spans="1:8" s="283" customFormat="1" ht="33.75" customHeight="1" x14ac:dyDescent="0.3">
      <c r="A741" s="261" t="s">
        <v>202</v>
      </c>
      <c r="B741" s="262" t="s">
        <v>791</v>
      </c>
      <c r="C741" s="262" t="s">
        <v>113</v>
      </c>
      <c r="D741" s="262" t="s">
        <v>66</v>
      </c>
      <c r="E741" s="262" t="s">
        <v>165</v>
      </c>
      <c r="F741" s="263">
        <f>'5'!D110</f>
        <v>5</v>
      </c>
      <c r="G741" s="263">
        <f>'5'!E110</f>
        <v>5</v>
      </c>
      <c r="H741" s="263">
        <f>'5'!F110</f>
        <v>5</v>
      </c>
    </row>
    <row r="742" spans="1:8" s="283" customFormat="1" ht="67.95" customHeight="1" x14ac:dyDescent="0.3">
      <c r="A742" s="301" t="s">
        <v>601</v>
      </c>
      <c r="B742" s="292" t="s">
        <v>791</v>
      </c>
      <c r="C742" s="292" t="s">
        <v>113</v>
      </c>
      <c r="D742" s="292" t="s">
        <v>28</v>
      </c>
      <c r="E742" s="292" t="s">
        <v>223</v>
      </c>
      <c r="F742" s="267">
        <f t="shared" ref="F742:H743" si="167">F743</f>
        <v>198</v>
      </c>
      <c r="G742" s="267">
        <f t="shared" si="167"/>
        <v>60</v>
      </c>
      <c r="H742" s="267">
        <f t="shared" si="167"/>
        <v>60</v>
      </c>
    </row>
    <row r="743" spans="1:8" ht="51" customHeight="1" x14ac:dyDescent="0.25">
      <c r="A743" s="293" t="s">
        <v>748</v>
      </c>
      <c r="B743" s="269" t="s">
        <v>791</v>
      </c>
      <c r="C743" s="269" t="s">
        <v>113</v>
      </c>
      <c r="D743" s="311" t="s">
        <v>381</v>
      </c>
      <c r="E743" s="269" t="s">
        <v>747</v>
      </c>
      <c r="F743" s="485">
        <f t="shared" si="167"/>
        <v>198</v>
      </c>
      <c r="G743" s="485">
        <f t="shared" si="167"/>
        <v>60</v>
      </c>
      <c r="H743" s="485">
        <f t="shared" si="167"/>
        <v>60</v>
      </c>
    </row>
    <row r="744" spans="1:8" ht="35.25" customHeight="1" x14ac:dyDescent="0.25">
      <c r="A744" s="293" t="s">
        <v>202</v>
      </c>
      <c r="B744" s="269" t="s">
        <v>791</v>
      </c>
      <c r="C744" s="269" t="s">
        <v>113</v>
      </c>
      <c r="D744" s="311" t="s">
        <v>381</v>
      </c>
      <c r="E744" s="269" t="s">
        <v>165</v>
      </c>
      <c r="F744" s="485">
        <f>'5'!D118</f>
        <v>198</v>
      </c>
      <c r="G744" s="485">
        <f>'5'!E118</f>
        <v>60</v>
      </c>
      <c r="H744" s="485">
        <f>'5'!F118</f>
        <v>60</v>
      </c>
    </row>
    <row r="745" spans="1:8" ht="81.599999999999994" customHeight="1" x14ac:dyDescent="0.25">
      <c r="A745" s="264" t="s">
        <v>812</v>
      </c>
      <c r="B745" s="13" t="s">
        <v>791</v>
      </c>
      <c r="C745" s="13" t="s">
        <v>113</v>
      </c>
      <c r="D745" s="13" t="s">
        <v>285</v>
      </c>
      <c r="E745" s="13" t="s">
        <v>223</v>
      </c>
      <c r="F745" s="265">
        <f t="shared" ref="F745:H746" si="168">F746</f>
        <v>280</v>
      </c>
      <c r="G745" s="265">
        <f t="shared" si="168"/>
        <v>20</v>
      </c>
      <c r="H745" s="265">
        <f t="shared" si="168"/>
        <v>20</v>
      </c>
    </row>
    <row r="746" spans="1:8" ht="49.95" customHeight="1" x14ac:dyDescent="0.25">
      <c r="A746" s="261" t="s">
        <v>748</v>
      </c>
      <c r="B746" s="262" t="s">
        <v>791</v>
      </c>
      <c r="C746" s="262" t="s">
        <v>113</v>
      </c>
      <c r="D746" s="262" t="s">
        <v>445</v>
      </c>
      <c r="E746" s="262" t="s">
        <v>747</v>
      </c>
      <c r="F746" s="263">
        <f t="shared" si="168"/>
        <v>280</v>
      </c>
      <c r="G746" s="263">
        <f t="shared" si="168"/>
        <v>20</v>
      </c>
      <c r="H746" s="263">
        <f t="shared" si="168"/>
        <v>20</v>
      </c>
    </row>
    <row r="747" spans="1:8" ht="24.6" customHeight="1" x14ac:dyDescent="0.25">
      <c r="A747" s="261" t="s">
        <v>124</v>
      </c>
      <c r="B747" s="262" t="s">
        <v>791</v>
      </c>
      <c r="C747" s="262" t="s">
        <v>113</v>
      </c>
      <c r="D747" s="262" t="s">
        <v>445</v>
      </c>
      <c r="E747" s="262" t="s">
        <v>165</v>
      </c>
      <c r="F747" s="263">
        <f>'5'!D212</f>
        <v>280</v>
      </c>
      <c r="G747" s="263">
        <f>'5'!E212</f>
        <v>20</v>
      </c>
      <c r="H747" s="263">
        <f>'5'!F212</f>
        <v>20</v>
      </c>
    </row>
    <row r="748" spans="1:8" ht="51" hidden="1" customHeight="1" x14ac:dyDescent="0.25">
      <c r="A748" s="264" t="s">
        <v>904</v>
      </c>
      <c r="B748" s="13" t="s">
        <v>791</v>
      </c>
      <c r="C748" s="13" t="s">
        <v>113</v>
      </c>
      <c r="D748" s="13" t="s">
        <v>58</v>
      </c>
      <c r="E748" s="13" t="s">
        <v>223</v>
      </c>
      <c r="F748" s="265">
        <f>F749</f>
        <v>0</v>
      </c>
      <c r="G748" s="265">
        <f>G749</f>
        <v>0</v>
      </c>
      <c r="H748" s="265">
        <f>H749</f>
        <v>0</v>
      </c>
    </row>
    <row r="749" spans="1:8" ht="71.7" hidden="1" customHeight="1" x14ac:dyDescent="0.25">
      <c r="A749" s="298" t="s">
        <v>296</v>
      </c>
      <c r="B749" s="262" t="s">
        <v>791</v>
      </c>
      <c r="C749" s="262" t="s">
        <v>113</v>
      </c>
      <c r="D749" s="262" t="s">
        <v>266</v>
      </c>
      <c r="E749" s="262" t="s">
        <v>223</v>
      </c>
      <c r="F749" s="263">
        <f>F750+F752</f>
        <v>0</v>
      </c>
      <c r="G749" s="263">
        <f>G750+G752</f>
        <v>0</v>
      </c>
      <c r="H749" s="263">
        <f>H750+H752</f>
        <v>0</v>
      </c>
    </row>
    <row r="750" spans="1:8" ht="44.25" hidden="1" customHeight="1" x14ac:dyDescent="0.25">
      <c r="A750" s="261" t="s">
        <v>703</v>
      </c>
      <c r="B750" s="262" t="s">
        <v>791</v>
      </c>
      <c r="C750" s="262" t="s">
        <v>113</v>
      </c>
      <c r="D750" s="262" t="s">
        <v>266</v>
      </c>
      <c r="E750" s="262" t="s">
        <v>704</v>
      </c>
      <c r="F750" s="263">
        <f>F751</f>
        <v>0</v>
      </c>
      <c r="G750" s="263">
        <f>G751</f>
        <v>0</v>
      </c>
      <c r="H750" s="263">
        <f>H751</f>
        <v>0</v>
      </c>
    </row>
    <row r="751" spans="1:8" ht="33" hidden="1" customHeight="1" x14ac:dyDescent="0.25">
      <c r="A751" s="261" t="s">
        <v>874</v>
      </c>
      <c r="B751" s="262" t="s">
        <v>791</v>
      </c>
      <c r="C751" s="262" t="s">
        <v>113</v>
      </c>
      <c r="D751" s="262" t="s">
        <v>266</v>
      </c>
      <c r="E751" s="262" t="s">
        <v>875</v>
      </c>
      <c r="F751" s="263"/>
      <c r="G751" s="263"/>
      <c r="H751" s="263"/>
    </row>
    <row r="752" spans="1:8" ht="39.75" hidden="1" customHeight="1" x14ac:dyDescent="0.25">
      <c r="A752" s="261" t="s">
        <v>709</v>
      </c>
      <c r="B752" s="262" t="s">
        <v>791</v>
      </c>
      <c r="C752" s="262" t="s">
        <v>113</v>
      </c>
      <c r="D752" s="262" t="s">
        <v>266</v>
      </c>
      <c r="E752" s="262" t="s">
        <v>710</v>
      </c>
      <c r="F752" s="263">
        <f>F753</f>
        <v>0</v>
      </c>
      <c r="G752" s="263">
        <f>G753</f>
        <v>0</v>
      </c>
      <c r="H752" s="263">
        <f>H753</f>
        <v>0</v>
      </c>
    </row>
    <row r="753" spans="1:11" ht="47.25" hidden="1" customHeight="1" x14ac:dyDescent="0.25">
      <c r="A753" s="278" t="s">
        <v>711</v>
      </c>
      <c r="B753" s="262" t="s">
        <v>791</v>
      </c>
      <c r="C753" s="262" t="s">
        <v>113</v>
      </c>
      <c r="D753" s="262" t="s">
        <v>266</v>
      </c>
      <c r="E753" s="262" t="s">
        <v>712</v>
      </c>
      <c r="F753" s="263"/>
      <c r="G753" s="263"/>
      <c r="H753" s="263"/>
    </row>
    <row r="754" spans="1:11" ht="19.2" hidden="1" customHeight="1" x14ac:dyDescent="0.25">
      <c r="A754" s="16" t="s">
        <v>905</v>
      </c>
      <c r="B754" s="287" t="s">
        <v>780</v>
      </c>
      <c r="C754" s="287" t="s">
        <v>109</v>
      </c>
      <c r="D754" s="287" t="s">
        <v>699</v>
      </c>
      <c r="E754" s="287" t="s">
        <v>223</v>
      </c>
      <c r="F754" s="288">
        <f>F755</f>
        <v>0</v>
      </c>
      <c r="G754" s="288">
        <f t="shared" ref="G754:H757" si="169">G755</f>
        <v>0</v>
      </c>
      <c r="H754" s="288">
        <f t="shared" si="169"/>
        <v>0</v>
      </c>
    </row>
    <row r="755" spans="1:11" ht="25.95" hidden="1" customHeight="1" x14ac:dyDescent="0.25">
      <c r="A755" s="17" t="s">
        <v>906</v>
      </c>
      <c r="B755" s="272" t="s">
        <v>780</v>
      </c>
      <c r="C755" s="272" t="s">
        <v>780</v>
      </c>
      <c r="D755" s="272" t="s">
        <v>699</v>
      </c>
      <c r="E755" s="272" t="s">
        <v>223</v>
      </c>
      <c r="F755" s="273">
        <f>F756</f>
        <v>0</v>
      </c>
      <c r="G755" s="273">
        <f t="shared" si="169"/>
        <v>0</v>
      </c>
      <c r="H755" s="273">
        <f t="shared" si="169"/>
        <v>0</v>
      </c>
    </row>
    <row r="756" spans="1:11" ht="47.25" hidden="1" customHeight="1" x14ac:dyDescent="0.25">
      <c r="A756" s="261" t="s">
        <v>907</v>
      </c>
      <c r="B756" s="13" t="s">
        <v>780</v>
      </c>
      <c r="C756" s="13" t="s">
        <v>780</v>
      </c>
      <c r="D756" s="13" t="s">
        <v>880</v>
      </c>
      <c r="E756" s="262" t="s">
        <v>223</v>
      </c>
      <c r="F756" s="265">
        <f>F757</f>
        <v>0</v>
      </c>
      <c r="G756" s="265">
        <f t="shared" si="169"/>
        <v>0</v>
      </c>
      <c r="H756" s="265">
        <f t="shared" si="169"/>
        <v>0</v>
      </c>
    </row>
    <row r="757" spans="1:11" ht="33.6" hidden="1" customHeight="1" x14ac:dyDescent="0.25">
      <c r="A757" s="261" t="s">
        <v>709</v>
      </c>
      <c r="B757" s="13" t="s">
        <v>780</v>
      </c>
      <c r="C757" s="13" t="s">
        <v>780</v>
      </c>
      <c r="D757" s="262" t="s">
        <v>908</v>
      </c>
      <c r="E757" s="262" t="s">
        <v>710</v>
      </c>
      <c r="F757" s="263">
        <f>F758</f>
        <v>0</v>
      </c>
      <c r="G757" s="263">
        <f t="shared" si="169"/>
        <v>0</v>
      </c>
      <c r="H757" s="263">
        <f t="shared" si="169"/>
        <v>0</v>
      </c>
    </row>
    <row r="758" spans="1:11" ht="47.25" hidden="1" customHeight="1" x14ac:dyDescent="0.25">
      <c r="A758" s="278" t="s">
        <v>711</v>
      </c>
      <c r="B758" s="13" t="s">
        <v>780</v>
      </c>
      <c r="C758" s="13" t="s">
        <v>780</v>
      </c>
      <c r="D758" s="262" t="s">
        <v>494</v>
      </c>
      <c r="E758" s="262" t="s">
        <v>712</v>
      </c>
      <c r="F758" s="263"/>
      <c r="G758" s="263"/>
      <c r="H758" s="263"/>
    </row>
    <row r="759" spans="1:11" ht="18.75" customHeight="1" x14ac:dyDescent="0.25">
      <c r="A759" s="252" t="s">
        <v>909</v>
      </c>
      <c r="B759" s="253" t="s">
        <v>127</v>
      </c>
      <c r="C759" s="253" t="s">
        <v>109</v>
      </c>
      <c r="D759" s="253" t="s">
        <v>699</v>
      </c>
      <c r="E759" s="253" t="s">
        <v>223</v>
      </c>
      <c r="F759" s="254">
        <f>F760+F765+F780+F843</f>
        <v>44472.471610000001</v>
      </c>
      <c r="G759" s="254">
        <f>G760+G765+G780+G843</f>
        <v>53571.285879999996</v>
      </c>
      <c r="H759" s="254">
        <f>H760+H765+H780+H843</f>
        <v>53461.010409999995</v>
      </c>
    </row>
    <row r="760" spans="1:11" s="266" customFormat="1" ht="17.25" customHeight="1" x14ac:dyDescent="0.3">
      <c r="A760" s="256" t="s">
        <v>104</v>
      </c>
      <c r="B760" s="257" t="s">
        <v>127</v>
      </c>
      <c r="C760" s="257" t="s">
        <v>108</v>
      </c>
      <c r="D760" s="257" t="s">
        <v>699</v>
      </c>
      <c r="E760" s="257" t="s">
        <v>223</v>
      </c>
      <c r="F760" s="258">
        <f>F761</f>
        <v>2475</v>
      </c>
      <c r="G760" s="258">
        <f>G761</f>
        <v>1200</v>
      </c>
      <c r="H760" s="258">
        <f>H761</f>
        <v>1200</v>
      </c>
      <c r="I760" s="309"/>
      <c r="J760" s="309"/>
      <c r="K760" s="309"/>
    </row>
    <row r="761" spans="1:11" ht="33" customHeight="1" x14ac:dyDescent="0.25">
      <c r="A761" s="261" t="s">
        <v>910</v>
      </c>
      <c r="B761" s="262" t="s">
        <v>127</v>
      </c>
      <c r="C761" s="262" t="s">
        <v>108</v>
      </c>
      <c r="D761" s="262" t="s">
        <v>67</v>
      </c>
      <c r="E761" s="262" t="s">
        <v>223</v>
      </c>
      <c r="F761" s="263">
        <f>F762</f>
        <v>2475</v>
      </c>
      <c r="G761" s="263">
        <f t="shared" ref="G761:H763" si="170">G762</f>
        <v>1200</v>
      </c>
      <c r="H761" s="263">
        <f t="shared" si="170"/>
        <v>1200</v>
      </c>
    </row>
    <row r="762" spans="1:11" ht="50.25" customHeight="1" x14ac:dyDescent="0.25">
      <c r="A762" s="261" t="s">
        <v>911</v>
      </c>
      <c r="B762" s="262" t="s">
        <v>127</v>
      </c>
      <c r="C762" s="262" t="s">
        <v>108</v>
      </c>
      <c r="D762" s="262" t="s">
        <v>67</v>
      </c>
      <c r="E762" s="262" t="s">
        <v>223</v>
      </c>
      <c r="F762" s="263">
        <f>F763</f>
        <v>2475</v>
      </c>
      <c r="G762" s="263">
        <f t="shared" si="170"/>
        <v>1200</v>
      </c>
      <c r="H762" s="263">
        <f t="shared" si="170"/>
        <v>1200</v>
      </c>
    </row>
    <row r="763" spans="1:11" ht="31.5" customHeight="1" x14ac:dyDescent="0.25">
      <c r="A763" s="261" t="s">
        <v>865</v>
      </c>
      <c r="B763" s="262" t="s">
        <v>127</v>
      </c>
      <c r="C763" s="262" t="s">
        <v>108</v>
      </c>
      <c r="D763" s="262" t="s">
        <v>67</v>
      </c>
      <c r="E763" s="262" t="s">
        <v>866</v>
      </c>
      <c r="F763" s="263">
        <f>F764</f>
        <v>2475</v>
      </c>
      <c r="G763" s="263">
        <f t="shared" si="170"/>
        <v>1200</v>
      </c>
      <c r="H763" s="263">
        <f t="shared" si="170"/>
        <v>1200</v>
      </c>
    </row>
    <row r="764" spans="1:11" s="283" customFormat="1" ht="32.25" customHeight="1" x14ac:dyDescent="0.3">
      <c r="A764" s="261" t="s">
        <v>120</v>
      </c>
      <c r="B764" s="262" t="s">
        <v>127</v>
      </c>
      <c r="C764" s="262" t="s">
        <v>108</v>
      </c>
      <c r="D764" s="262" t="s">
        <v>67</v>
      </c>
      <c r="E764" s="262" t="s">
        <v>121</v>
      </c>
      <c r="F764" s="542">
        <f>'5'!D275</f>
        <v>2475</v>
      </c>
      <c r="G764" s="263">
        <f>'5'!E275</f>
        <v>1200</v>
      </c>
      <c r="H764" s="263">
        <f>'5'!F275</f>
        <v>1200</v>
      </c>
    </row>
    <row r="765" spans="1:11" s="283" customFormat="1" ht="18.75" customHeight="1" x14ac:dyDescent="0.3">
      <c r="A765" s="256" t="s">
        <v>333</v>
      </c>
      <c r="B765" s="257" t="s">
        <v>127</v>
      </c>
      <c r="C765" s="257" t="s">
        <v>111</v>
      </c>
      <c r="D765" s="257" t="s">
        <v>699</v>
      </c>
      <c r="E765" s="257" t="s">
        <v>223</v>
      </c>
      <c r="F765" s="258">
        <f>F766+F769+F772</f>
        <v>2310</v>
      </c>
      <c r="G765" s="258">
        <f>G766+G769+G772</f>
        <v>1330</v>
      </c>
      <c r="H765" s="258">
        <f>H766+H769+H772</f>
        <v>200</v>
      </c>
    </row>
    <row r="766" spans="1:11" s="283" customFormat="1" ht="97.95" customHeight="1" x14ac:dyDescent="0.3">
      <c r="A766" s="264" t="s">
        <v>334</v>
      </c>
      <c r="B766" s="13" t="s">
        <v>127</v>
      </c>
      <c r="C766" s="13" t="s">
        <v>111</v>
      </c>
      <c r="D766" s="13" t="s">
        <v>35</v>
      </c>
      <c r="E766" s="13" t="s">
        <v>223</v>
      </c>
      <c r="F766" s="265">
        <f t="shared" ref="F766:H767" si="171">F767</f>
        <v>1470</v>
      </c>
      <c r="G766" s="265">
        <f t="shared" si="171"/>
        <v>1130</v>
      </c>
      <c r="H766" s="265">
        <f t="shared" si="171"/>
        <v>0</v>
      </c>
    </row>
    <row r="767" spans="1:11" s="283" customFormat="1" ht="33" customHeight="1" x14ac:dyDescent="0.3">
      <c r="A767" s="261" t="s">
        <v>865</v>
      </c>
      <c r="B767" s="262" t="s">
        <v>127</v>
      </c>
      <c r="C767" s="262" t="s">
        <v>111</v>
      </c>
      <c r="D767" s="262" t="s">
        <v>463</v>
      </c>
      <c r="E767" s="262" t="s">
        <v>866</v>
      </c>
      <c r="F767" s="263">
        <f t="shared" si="171"/>
        <v>1470</v>
      </c>
      <c r="G767" s="263">
        <f t="shared" si="171"/>
        <v>1130</v>
      </c>
      <c r="H767" s="263">
        <f t="shared" si="171"/>
        <v>0</v>
      </c>
    </row>
    <row r="768" spans="1:11" s="283" customFormat="1" ht="36" customHeight="1" x14ac:dyDescent="0.3">
      <c r="A768" s="261" t="s">
        <v>122</v>
      </c>
      <c r="B768" s="262" t="s">
        <v>127</v>
      </c>
      <c r="C768" s="262" t="s">
        <v>111</v>
      </c>
      <c r="D768" s="262" t="s">
        <v>463</v>
      </c>
      <c r="E768" s="262" t="s">
        <v>912</v>
      </c>
      <c r="F768" s="263">
        <f>'5'!D51</f>
        <v>1470</v>
      </c>
      <c r="G768" s="263">
        <f>'5'!E51</f>
        <v>1130</v>
      </c>
      <c r="H768" s="263">
        <f>'5'!F51</f>
        <v>0</v>
      </c>
    </row>
    <row r="769" spans="1:8" s="266" customFormat="1" ht="57" customHeight="1" x14ac:dyDescent="0.3">
      <c r="A769" s="264" t="s">
        <v>913</v>
      </c>
      <c r="B769" s="13" t="s">
        <v>127</v>
      </c>
      <c r="C769" s="13" t="s">
        <v>111</v>
      </c>
      <c r="D769" s="13" t="s">
        <v>68</v>
      </c>
      <c r="E769" s="13" t="s">
        <v>223</v>
      </c>
      <c r="F769" s="265">
        <f t="shared" ref="F769:H770" si="172">F770</f>
        <v>200</v>
      </c>
      <c r="G769" s="265">
        <f t="shared" si="172"/>
        <v>200</v>
      </c>
      <c r="H769" s="265">
        <f t="shared" si="172"/>
        <v>200</v>
      </c>
    </row>
    <row r="770" spans="1:8" s="266" customFormat="1" ht="32.25" customHeight="1" x14ac:dyDescent="0.3">
      <c r="A770" s="261" t="s">
        <v>865</v>
      </c>
      <c r="B770" s="262" t="s">
        <v>127</v>
      </c>
      <c r="C770" s="262" t="s">
        <v>111</v>
      </c>
      <c r="D770" s="262" t="s">
        <v>69</v>
      </c>
      <c r="E770" s="262" t="s">
        <v>866</v>
      </c>
      <c r="F770" s="263">
        <f t="shared" si="172"/>
        <v>200</v>
      </c>
      <c r="G770" s="263">
        <f t="shared" si="172"/>
        <v>200</v>
      </c>
      <c r="H770" s="263">
        <f t="shared" si="172"/>
        <v>200</v>
      </c>
    </row>
    <row r="771" spans="1:8" ht="31.5" customHeight="1" x14ac:dyDescent="0.25">
      <c r="A771" s="261" t="s">
        <v>122</v>
      </c>
      <c r="B771" s="262" t="s">
        <v>127</v>
      </c>
      <c r="C771" s="262" t="s">
        <v>111</v>
      </c>
      <c r="D771" s="262" t="s">
        <v>69</v>
      </c>
      <c r="E771" s="262" t="s">
        <v>912</v>
      </c>
      <c r="F771" s="263">
        <f>'5'!D144</f>
        <v>200</v>
      </c>
      <c r="G771" s="263">
        <f>'5'!E144</f>
        <v>200</v>
      </c>
      <c r="H771" s="263">
        <f>'5'!F144</f>
        <v>200</v>
      </c>
    </row>
    <row r="772" spans="1:8" ht="31.5" customHeight="1" x14ac:dyDescent="0.25">
      <c r="A772" s="261" t="s">
        <v>702</v>
      </c>
      <c r="B772" s="262" t="s">
        <v>127</v>
      </c>
      <c r="C772" s="262" t="s">
        <v>111</v>
      </c>
      <c r="D772" s="262" t="s">
        <v>699</v>
      </c>
      <c r="E772" s="262" t="s">
        <v>223</v>
      </c>
      <c r="F772" s="263">
        <f>F773</f>
        <v>640</v>
      </c>
      <c r="G772" s="263">
        <f t="shared" ref="G772:H775" si="173">G773</f>
        <v>0</v>
      </c>
      <c r="H772" s="263">
        <f t="shared" si="173"/>
        <v>0</v>
      </c>
    </row>
    <row r="773" spans="1:8" ht="46.95" customHeight="1" x14ac:dyDescent="0.25">
      <c r="A773" s="261" t="s">
        <v>110</v>
      </c>
      <c r="B773" s="262" t="s">
        <v>127</v>
      </c>
      <c r="C773" s="262" t="s">
        <v>111</v>
      </c>
      <c r="D773" s="262" t="s">
        <v>699</v>
      </c>
      <c r="E773" s="262" t="s">
        <v>223</v>
      </c>
      <c r="F773" s="263">
        <f>F774+F777</f>
        <v>640</v>
      </c>
      <c r="G773" s="263">
        <f>G774+G777</f>
        <v>0</v>
      </c>
      <c r="H773" s="263">
        <f>H774+H777</f>
        <v>0</v>
      </c>
    </row>
    <row r="774" spans="1:8" ht="240" hidden="1" customHeight="1" x14ac:dyDescent="0.25">
      <c r="A774" s="285" t="s">
        <v>914</v>
      </c>
      <c r="B774" s="262" t="s">
        <v>127</v>
      </c>
      <c r="C774" s="262" t="s">
        <v>111</v>
      </c>
      <c r="D774" s="13" t="s">
        <v>472</v>
      </c>
      <c r="E774" s="13" t="s">
        <v>223</v>
      </c>
      <c r="F774" s="265">
        <f>F775</f>
        <v>0</v>
      </c>
      <c r="G774" s="265">
        <f t="shared" si="173"/>
        <v>0</v>
      </c>
      <c r="H774" s="265">
        <f t="shared" si="173"/>
        <v>0</v>
      </c>
    </row>
    <row r="775" spans="1:8" ht="20.399999999999999" hidden="1" customHeight="1" x14ac:dyDescent="0.25">
      <c r="A775" s="278" t="s">
        <v>713</v>
      </c>
      <c r="B775" s="262" t="s">
        <v>127</v>
      </c>
      <c r="C775" s="262" t="s">
        <v>111</v>
      </c>
      <c r="D775" s="262" t="s">
        <v>472</v>
      </c>
      <c r="E775" s="262" t="s">
        <v>714</v>
      </c>
      <c r="F775" s="263">
        <f>F776</f>
        <v>0</v>
      </c>
      <c r="G775" s="263">
        <f t="shared" si="173"/>
        <v>0</v>
      </c>
      <c r="H775" s="263">
        <f t="shared" si="173"/>
        <v>0</v>
      </c>
    </row>
    <row r="776" spans="1:8" ht="81" hidden="1" customHeight="1" x14ac:dyDescent="0.25">
      <c r="A776" s="278" t="s">
        <v>915</v>
      </c>
      <c r="B776" s="262" t="s">
        <v>127</v>
      </c>
      <c r="C776" s="262" t="s">
        <v>111</v>
      </c>
      <c r="D776" s="262" t="s">
        <v>472</v>
      </c>
      <c r="E776" s="262" t="s">
        <v>793</v>
      </c>
      <c r="F776" s="98"/>
      <c r="G776" s="98"/>
      <c r="H776" s="98"/>
    </row>
    <row r="777" spans="1:8" ht="63.6" customHeight="1" x14ac:dyDescent="0.25">
      <c r="A777" s="297" t="s">
        <v>606</v>
      </c>
      <c r="B777" s="292" t="s">
        <v>127</v>
      </c>
      <c r="C777" s="292" t="s">
        <v>111</v>
      </c>
      <c r="D777" s="292" t="s">
        <v>605</v>
      </c>
      <c r="E777" s="292" t="s">
        <v>223</v>
      </c>
      <c r="F777" s="136">
        <f t="shared" ref="F777:H778" si="174">F778</f>
        <v>640</v>
      </c>
      <c r="G777" s="136">
        <f t="shared" si="174"/>
        <v>0</v>
      </c>
      <c r="H777" s="136">
        <f t="shared" si="174"/>
        <v>0</v>
      </c>
    </row>
    <row r="778" spans="1:8" ht="34.200000000000003" customHeight="1" x14ac:dyDescent="0.25">
      <c r="A778" s="293" t="s">
        <v>865</v>
      </c>
      <c r="B778" s="269" t="s">
        <v>127</v>
      </c>
      <c r="C778" s="269" t="s">
        <v>111</v>
      </c>
      <c r="D778" s="269" t="s">
        <v>605</v>
      </c>
      <c r="E778" s="269" t="s">
        <v>866</v>
      </c>
      <c r="F778" s="25">
        <f t="shared" si="174"/>
        <v>640</v>
      </c>
      <c r="G778" s="25">
        <f t="shared" si="174"/>
        <v>0</v>
      </c>
      <c r="H778" s="25">
        <f t="shared" si="174"/>
        <v>0</v>
      </c>
    </row>
    <row r="779" spans="1:8" ht="34.950000000000003" customHeight="1" x14ac:dyDescent="0.25">
      <c r="A779" s="293" t="s">
        <v>122</v>
      </c>
      <c r="B779" s="269" t="s">
        <v>127</v>
      </c>
      <c r="C779" s="269" t="s">
        <v>111</v>
      </c>
      <c r="D779" s="269" t="s">
        <v>605</v>
      </c>
      <c r="E779" s="269" t="s">
        <v>912</v>
      </c>
      <c r="F779" s="25">
        <f>'5'!D289</f>
        <v>640</v>
      </c>
      <c r="G779" s="25">
        <f>'5'!E289</f>
        <v>0</v>
      </c>
      <c r="H779" s="25">
        <f>'5'!F289</f>
        <v>0</v>
      </c>
    </row>
    <row r="780" spans="1:8" ht="18.75" customHeight="1" x14ac:dyDescent="0.25">
      <c r="A780" s="256" t="s">
        <v>217</v>
      </c>
      <c r="B780" s="257" t="s">
        <v>127</v>
      </c>
      <c r="C780" s="257" t="s">
        <v>113</v>
      </c>
      <c r="D780" s="257" t="s">
        <v>699</v>
      </c>
      <c r="E780" s="257" t="s">
        <v>223</v>
      </c>
      <c r="F780" s="258">
        <f>F781+F797+F822</f>
        <v>37104.588609999999</v>
      </c>
      <c r="G780" s="258">
        <f>G781+G797+G822</f>
        <v>48434.149879999997</v>
      </c>
      <c r="H780" s="258">
        <f>H781+H797+H822+H829</f>
        <v>49355.893409999997</v>
      </c>
    </row>
    <row r="781" spans="1:8" s="266" customFormat="1" ht="47.25" customHeight="1" x14ac:dyDescent="0.3">
      <c r="A781" s="264" t="s">
        <v>255</v>
      </c>
      <c r="B781" s="13" t="s">
        <v>127</v>
      </c>
      <c r="C781" s="13" t="s">
        <v>113</v>
      </c>
      <c r="D781" s="13" t="s">
        <v>22</v>
      </c>
      <c r="E781" s="13" t="s">
        <v>223</v>
      </c>
      <c r="F781" s="265">
        <f>F785+F789+F782</f>
        <v>6243.3270000000002</v>
      </c>
      <c r="G781" s="265">
        <f>G785+G789+G782</f>
        <v>6471.61</v>
      </c>
      <c r="H781" s="265">
        <f>H785+H789+H782</f>
        <v>6710.7650000000003</v>
      </c>
    </row>
    <row r="782" spans="1:8" ht="47.25" customHeight="1" x14ac:dyDescent="0.25">
      <c r="A782" s="329" t="s">
        <v>916</v>
      </c>
      <c r="B782" s="8" t="s">
        <v>127</v>
      </c>
      <c r="C782" s="8" t="s">
        <v>113</v>
      </c>
      <c r="D782" s="29" t="s">
        <v>325</v>
      </c>
      <c r="E782" s="29" t="s">
        <v>223</v>
      </c>
      <c r="F782" s="330">
        <f t="shared" ref="F782:H783" si="175">F783</f>
        <v>200</v>
      </c>
      <c r="G782" s="330">
        <f t="shared" si="175"/>
        <v>200</v>
      </c>
      <c r="H782" s="330">
        <f t="shared" si="175"/>
        <v>200</v>
      </c>
    </row>
    <row r="783" spans="1:8" ht="47.4" customHeight="1" x14ac:dyDescent="0.25">
      <c r="A783" s="261" t="s">
        <v>865</v>
      </c>
      <c r="B783" s="8" t="s">
        <v>127</v>
      </c>
      <c r="C783" s="8" t="s">
        <v>113</v>
      </c>
      <c r="D783" s="29" t="s">
        <v>325</v>
      </c>
      <c r="E783" s="29" t="s">
        <v>866</v>
      </c>
      <c r="F783" s="330">
        <f t="shared" si="175"/>
        <v>200</v>
      </c>
      <c r="G783" s="330">
        <f t="shared" si="175"/>
        <v>200</v>
      </c>
      <c r="H783" s="330">
        <f t="shared" si="175"/>
        <v>200</v>
      </c>
    </row>
    <row r="784" spans="1:8" ht="34.950000000000003" customHeight="1" x14ac:dyDescent="0.25">
      <c r="A784" s="261" t="s">
        <v>122</v>
      </c>
      <c r="B784" s="6" t="s">
        <v>127</v>
      </c>
      <c r="C784" s="6" t="s">
        <v>113</v>
      </c>
      <c r="D784" s="317" t="s">
        <v>325</v>
      </c>
      <c r="E784" s="317" t="s">
        <v>912</v>
      </c>
      <c r="F784" s="331">
        <v>200</v>
      </c>
      <c r="G784" s="331">
        <v>200</v>
      </c>
      <c r="H784" s="331">
        <v>200</v>
      </c>
    </row>
    <row r="785" spans="1:11" ht="33" customHeight="1" x14ac:dyDescent="0.25">
      <c r="A785" s="298" t="s">
        <v>918</v>
      </c>
      <c r="B785" s="262" t="s">
        <v>127</v>
      </c>
      <c r="C785" s="262" t="s">
        <v>113</v>
      </c>
      <c r="D785" s="262" t="s">
        <v>31</v>
      </c>
      <c r="E785" s="262" t="s">
        <v>223</v>
      </c>
      <c r="F785" s="263">
        <f>F786</f>
        <v>5743.3270000000002</v>
      </c>
      <c r="G785" s="263">
        <f>G786</f>
        <v>5971.61</v>
      </c>
      <c r="H785" s="263">
        <f>H786</f>
        <v>6210.7650000000003</v>
      </c>
    </row>
    <row r="786" spans="1:11" ht="79.5" customHeight="1" x14ac:dyDescent="0.25">
      <c r="A786" s="264" t="s">
        <v>129</v>
      </c>
      <c r="B786" s="262" t="s">
        <v>127</v>
      </c>
      <c r="C786" s="262" t="s">
        <v>113</v>
      </c>
      <c r="D786" s="262" t="s">
        <v>70</v>
      </c>
      <c r="E786" s="262" t="s">
        <v>223</v>
      </c>
      <c r="F786" s="263">
        <f>F787+F788</f>
        <v>5743.3270000000002</v>
      </c>
      <c r="G786" s="263">
        <f>G787+G788</f>
        <v>5971.61</v>
      </c>
      <c r="H786" s="263">
        <f>H787+H788</f>
        <v>6210.7650000000003</v>
      </c>
      <c r="I786" s="247">
        <f>'2  '!D84</f>
        <v>5743.3270000000002</v>
      </c>
      <c r="J786" s="247">
        <f>'2  '!E84</f>
        <v>5971.61</v>
      </c>
      <c r="K786" s="247">
        <f>'2  '!F84</f>
        <v>6210.7650000000003</v>
      </c>
    </row>
    <row r="787" spans="1:11" ht="47.25" customHeight="1" x14ac:dyDescent="0.25">
      <c r="A787" s="278" t="s">
        <v>711</v>
      </c>
      <c r="B787" s="262" t="s">
        <v>127</v>
      </c>
      <c r="C787" s="262" t="s">
        <v>113</v>
      </c>
      <c r="D787" s="262" t="s">
        <v>70</v>
      </c>
      <c r="E787" s="262" t="s">
        <v>712</v>
      </c>
      <c r="F787" s="263">
        <v>86.15</v>
      </c>
      <c r="G787" s="263">
        <v>89.575000000000003</v>
      </c>
      <c r="H787" s="263">
        <v>93.162000000000006</v>
      </c>
      <c r="I787" s="39">
        <f>I786-F785</f>
        <v>0</v>
      </c>
      <c r="J787" s="39">
        <f t="shared" ref="J787:K787" si="176">J786-G785</f>
        <v>0</v>
      </c>
      <c r="K787" s="39">
        <f t="shared" si="176"/>
        <v>0</v>
      </c>
    </row>
    <row r="788" spans="1:11" ht="35.25" customHeight="1" x14ac:dyDescent="0.25">
      <c r="A788" s="261" t="s">
        <v>120</v>
      </c>
      <c r="B788" s="262" t="s">
        <v>127</v>
      </c>
      <c r="C788" s="262" t="s">
        <v>113</v>
      </c>
      <c r="D788" s="262" t="s">
        <v>70</v>
      </c>
      <c r="E788" s="262" t="s">
        <v>121</v>
      </c>
      <c r="F788" s="535">
        <f>5743.327-86.15</f>
        <v>5657.1770000000006</v>
      </c>
      <c r="G788" s="535">
        <f>5971.61-89.575</f>
        <v>5882.0349999999999</v>
      </c>
      <c r="H788" s="535">
        <f>6210.765-93.162</f>
        <v>6117.6030000000001</v>
      </c>
      <c r="J788" s="346"/>
    </row>
    <row r="789" spans="1:11" ht="48.6" customHeight="1" x14ac:dyDescent="0.25">
      <c r="A789" s="264" t="s">
        <v>845</v>
      </c>
      <c r="B789" s="13" t="s">
        <v>127</v>
      </c>
      <c r="C789" s="13" t="s">
        <v>113</v>
      </c>
      <c r="D789" s="13" t="s">
        <v>22</v>
      </c>
      <c r="E789" s="13" t="s">
        <v>223</v>
      </c>
      <c r="F789" s="265">
        <f>F790</f>
        <v>300</v>
      </c>
      <c r="G789" s="265">
        <f t="shared" ref="G789:H792" si="177">G790</f>
        <v>300</v>
      </c>
      <c r="H789" s="265">
        <f t="shared" si="177"/>
        <v>300</v>
      </c>
      <c r="J789" s="346"/>
    </row>
    <row r="790" spans="1:11" ht="35.1" customHeight="1" x14ac:dyDescent="0.25">
      <c r="A790" s="332" t="s">
        <v>250</v>
      </c>
      <c r="B790" s="13" t="s">
        <v>127</v>
      </c>
      <c r="C790" s="13" t="s">
        <v>113</v>
      </c>
      <c r="D790" s="13" t="s">
        <v>50</v>
      </c>
      <c r="E790" s="13" t="s">
        <v>223</v>
      </c>
      <c r="F790" s="265">
        <f>F791</f>
        <v>300</v>
      </c>
      <c r="G790" s="265">
        <f t="shared" si="177"/>
        <v>300</v>
      </c>
      <c r="H790" s="265">
        <f t="shared" si="177"/>
        <v>300</v>
      </c>
    </row>
    <row r="791" spans="1:11" ht="61.5" customHeight="1" x14ac:dyDescent="0.25">
      <c r="A791" s="264" t="s">
        <v>396</v>
      </c>
      <c r="B791" s="13" t="s">
        <v>127</v>
      </c>
      <c r="C791" s="13" t="s">
        <v>113</v>
      </c>
      <c r="D791" s="13" t="s">
        <v>50</v>
      </c>
      <c r="E791" s="13" t="s">
        <v>223</v>
      </c>
      <c r="F791" s="265">
        <f>F792</f>
        <v>300</v>
      </c>
      <c r="G791" s="265">
        <f t="shared" si="177"/>
        <v>300</v>
      </c>
      <c r="H791" s="265">
        <f t="shared" si="177"/>
        <v>300</v>
      </c>
    </row>
    <row r="792" spans="1:11" ht="35.25" customHeight="1" x14ac:dyDescent="0.25">
      <c r="A792" s="278" t="s">
        <v>865</v>
      </c>
      <c r="B792" s="262" t="s">
        <v>127</v>
      </c>
      <c r="C792" s="262" t="s">
        <v>113</v>
      </c>
      <c r="D792" s="262" t="s">
        <v>51</v>
      </c>
      <c r="E792" s="262" t="s">
        <v>866</v>
      </c>
      <c r="F792" s="263">
        <f>F793</f>
        <v>300</v>
      </c>
      <c r="G792" s="263">
        <f t="shared" si="177"/>
        <v>300</v>
      </c>
      <c r="H792" s="263">
        <f t="shared" si="177"/>
        <v>300</v>
      </c>
    </row>
    <row r="793" spans="1:11" ht="32.700000000000003" customHeight="1" x14ac:dyDescent="0.25">
      <c r="A793" s="278" t="s">
        <v>120</v>
      </c>
      <c r="B793" s="262" t="s">
        <v>127</v>
      </c>
      <c r="C793" s="262" t="s">
        <v>113</v>
      </c>
      <c r="D793" s="262" t="s">
        <v>51</v>
      </c>
      <c r="E793" s="262" t="s">
        <v>121</v>
      </c>
      <c r="F793" s="263">
        <v>300</v>
      </c>
      <c r="G793" s="263">
        <v>300</v>
      </c>
      <c r="H793" s="263">
        <v>300</v>
      </c>
    </row>
    <row r="794" spans="1:11" ht="32.700000000000003" hidden="1" customHeight="1" x14ac:dyDescent="0.25">
      <c r="A794" s="444"/>
      <c r="B794" s="444"/>
      <c r="C794" s="444"/>
      <c r="D794" s="444"/>
      <c r="E794" s="444"/>
      <c r="F794" s="444"/>
      <c r="G794" s="263"/>
      <c r="H794" s="263"/>
    </row>
    <row r="795" spans="1:11" ht="32.700000000000003" hidden="1" customHeight="1" x14ac:dyDescent="0.25">
      <c r="A795" s="444"/>
      <c r="B795" s="444"/>
      <c r="C795" s="444"/>
      <c r="D795" s="444"/>
      <c r="E795" s="444"/>
      <c r="F795" s="444"/>
      <c r="G795" s="263"/>
      <c r="H795" s="263"/>
    </row>
    <row r="796" spans="1:11" ht="32.700000000000003" hidden="1" customHeight="1" x14ac:dyDescent="0.25">
      <c r="A796" s="444"/>
      <c r="B796" s="444"/>
      <c r="C796" s="444"/>
      <c r="D796" s="444"/>
      <c r="E796" s="444"/>
      <c r="F796" s="444"/>
      <c r="G796" s="263"/>
      <c r="H796" s="263"/>
    </row>
    <row r="797" spans="1:11" ht="131.25" customHeight="1" x14ac:dyDescent="0.25">
      <c r="A797" s="17" t="s">
        <v>441</v>
      </c>
      <c r="B797" s="272" t="s">
        <v>127</v>
      </c>
      <c r="C797" s="272" t="s">
        <v>113</v>
      </c>
      <c r="D797" s="272" t="s">
        <v>417</v>
      </c>
      <c r="E797" s="272" t="s">
        <v>223</v>
      </c>
      <c r="F797" s="273">
        <f>F798+F803+F811</f>
        <v>28949.990709999998</v>
      </c>
      <c r="G797" s="273">
        <f>G798+G803+G811</f>
        <v>38371.855009999999</v>
      </c>
      <c r="H797" s="273">
        <f>H798+H803+H811</f>
        <v>0</v>
      </c>
    </row>
    <row r="798" spans="1:11" ht="81" customHeight="1" x14ac:dyDescent="0.25">
      <c r="A798" s="285" t="s">
        <v>486</v>
      </c>
      <c r="B798" s="13" t="s">
        <v>127</v>
      </c>
      <c r="C798" s="13" t="s">
        <v>113</v>
      </c>
      <c r="D798" s="6" t="s">
        <v>1091</v>
      </c>
      <c r="E798" s="292" t="s">
        <v>223</v>
      </c>
      <c r="F798" s="267">
        <f>F799+F801</f>
        <v>13550.4</v>
      </c>
      <c r="G798" s="267">
        <f t="shared" ref="G798:H798" si="178">G799+G801</f>
        <v>9033.5999999999985</v>
      </c>
      <c r="H798" s="267">
        <f t="shared" si="178"/>
        <v>0</v>
      </c>
    </row>
    <row r="799" spans="1:11" ht="37.950000000000003" customHeight="1" x14ac:dyDescent="0.25">
      <c r="A799" s="261" t="s">
        <v>865</v>
      </c>
      <c r="B799" s="262" t="s">
        <v>127</v>
      </c>
      <c r="C799" s="262" t="s">
        <v>113</v>
      </c>
      <c r="D799" s="6" t="s">
        <v>1091</v>
      </c>
      <c r="E799" s="269" t="s">
        <v>866</v>
      </c>
      <c r="F799" s="497">
        <f>F800</f>
        <v>0</v>
      </c>
      <c r="G799" s="497">
        <f>G800</f>
        <v>0</v>
      </c>
      <c r="H799" s="497">
        <f>H800</f>
        <v>0</v>
      </c>
    </row>
    <row r="800" spans="1:11" ht="52.95" customHeight="1" x14ac:dyDescent="0.25">
      <c r="A800" s="261" t="s">
        <v>122</v>
      </c>
      <c r="B800" s="262" t="s">
        <v>127</v>
      </c>
      <c r="C800" s="262" t="s">
        <v>113</v>
      </c>
      <c r="D800" s="6" t="s">
        <v>1091</v>
      </c>
      <c r="E800" s="269" t="s">
        <v>912</v>
      </c>
      <c r="F800" s="542">
        <f>'5'!D233</f>
        <v>0</v>
      </c>
      <c r="G800" s="497">
        <f>'5'!E233</f>
        <v>0</v>
      </c>
      <c r="H800" s="497">
        <f>'5'!F233</f>
        <v>0</v>
      </c>
    </row>
    <row r="801" spans="1:11" ht="48.75" customHeight="1" x14ac:dyDescent="0.25">
      <c r="A801" s="278" t="s">
        <v>762</v>
      </c>
      <c r="B801" s="262" t="s">
        <v>127</v>
      </c>
      <c r="C801" s="262" t="s">
        <v>113</v>
      </c>
      <c r="D801" s="6" t="s">
        <v>1091</v>
      </c>
      <c r="E801" s="269" t="s">
        <v>763</v>
      </c>
      <c r="F801" s="497">
        <f>F802</f>
        <v>13550.4</v>
      </c>
      <c r="G801" s="497">
        <f>G802</f>
        <v>9033.5999999999985</v>
      </c>
      <c r="H801" s="497">
        <f>H802</f>
        <v>0</v>
      </c>
      <c r="I801" s="268">
        <f>F802+F148+F800</f>
        <v>15498.09835</v>
      </c>
      <c r="J801" s="268">
        <f>G802+G148+G800</f>
        <v>10793.354349999998</v>
      </c>
      <c r="K801" s="268">
        <f>H802+H148+H800</f>
        <v>1759.75434</v>
      </c>
    </row>
    <row r="802" spans="1:11" ht="17.25" customHeight="1" x14ac:dyDescent="0.25">
      <c r="A802" s="278" t="s">
        <v>764</v>
      </c>
      <c r="B802" s="262" t="s">
        <v>127</v>
      </c>
      <c r="C802" s="262" t="s">
        <v>113</v>
      </c>
      <c r="D802" s="6" t="s">
        <v>1091</v>
      </c>
      <c r="E802" s="269" t="s">
        <v>765</v>
      </c>
      <c r="F802" s="497">
        <f>'5'!D232</f>
        <v>13550.4</v>
      </c>
      <c r="G802" s="497">
        <f>'5'!E232</f>
        <v>9033.5999999999985</v>
      </c>
      <c r="H802" s="497">
        <f>'5'!F232</f>
        <v>0</v>
      </c>
      <c r="I802" s="247">
        <f>'2  '!D81</f>
        <v>15498.09835</v>
      </c>
      <c r="J802" s="247">
        <f>'2  '!E81</f>
        <v>10793.35435</v>
      </c>
      <c r="K802" s="247">
        <f>'2  '!F81</f>
        <v>10793.35434</v>
      </c>
    </row>
    <row r="803" spans="1:11" ht="93.6" customHeight="1" x14ac:dyDescent="0.25">
      <c r="A803" s="285" t="s">
        <v>919</v>
      </c>
      <c r="B803" s="262" t="s">
        <v>127</v>
      </c>
      <c r="C803" s="262" t="s">
        <v>113</v>
      </c>
      <c r="D803" s="13" t="s">
        <v>485</v>
      </c>
      <c r="E803" s="13" t="s">
        <v>223</v>
      </c>
      <c r="F803" s="265">
        <f t="shared" ref="F803:H804" si="179">F804</f>
        <v>0</v>
      </c>
      <c r="G803" s="265">
        <f t="shared" si="179"/>
        <v>13550.4</v>
      </c>
      <c r="H803" s="265">
        <f t="shared" si="179"/>
        <v>0</v>
      </c>
      <c r="I803" s="247">
        <f>'2  '!D85</f>
        <v>0</v>
      </c>
    </row>
    <row r="804" spans="1:11" ht="17.25" customHeight="1" x14ac:dyDescent="0.25">
      <c r="A804" s="278" t="s">
        <v>762</v>
      </c>
      <c r="B804" s="262" t="s">
        <v>127</v>
      </c>
      <c r="C804" s="262" t="s">
        <v>113</v>
      </c>
      <c r="D804" s="262" t="s">
        <v>485</v>
      </c>
      <c r="E804" s="262" t="s">
        <v>763</v>
      </c>
      <c r="F804" s="263">
        <f t="shared" si="179"/>
        <v>0</v>
      </c>
      <c r="G804" s="263">
        <f t="shared" si="179"/>
        <v>13550.4</v>
      </c>
      <c r="H804" s="263">
        <f t="shared" si="179"/>
        <v>0</v>
      </c>
    </row>
    <row r="805" spans="1:11" ht="25.5" customHeight="1" x14ac:dyDescent="0.25">
      <c r="A805" s="278" t="s">
        <v>764</v>
      </c>
      <c r="B805" s="262" t="s">
        <v>127</v>
      </c>
      <c r="C805" s="262" t="s">
        <v>113</v>
      </c>
      <c r="D805" s="262" t="s">
        <v>485</v>
      </c>
      <c r="E805" s="262" t="s">
        <v>765</v>
      </c>
      <c r="F805" s="485">
        <f>'5'!D234</f>
        <v>0</v>
      </c>
      <c r="G805" s="485">
        <f>'5'!E234</f>
        <v>13550.4</v>
      </c>
      <c r="H805" s="485">
        <f>'5'!F234</f>
        <v>0</v>
      </c>
    </row>
    <row r="806" spans="1:11" ht="17.25" hidden="1" customHeight="1" x14ac:dyDescent="0.25">
      <c r="A806" s="278"/>
      <c r="B806" s="262"/>
      <c r="C806" s="262"/>
      <c r="D806" s="262"/>
      <c r="E806" s="262"/>
      <c r="F806" s="263"/>
      <c r="G806" s="263"/>
      <c r="H806" s="263"/>
    </row>
    <row r="807" spans="1:11" ht="17.25" hidden="1" customHeight="1" x14ac:dyDescent="0.25">
      <c r="A807" s="278"/>
      <c r="B807" s="262"/>
      <c r="C807" s="262"/>
      <c r="D807" s="262"/>
      <c r="E807" s="262"/>
      <c r="F807" s="263"/>
      <c r="G807" s="263"/>
      <c r="H807" s="263"/>
    </row>
    <row r="808" spans="1:11" ht="17.25" hidden="1" customHeight="1" x14ac:dyDescent="0.25">
      <c r="A808" s="278"/>
      <c r="B808" s="262"/>
      <c r="C808" s="262"/>
      <c r="D808" s="262"/>
      <c r="E808" s="262"/>
      <c r="F808" s="263"/>
      <c r="G808" s="263"/>
      <c r="H808" s="263"/>
    </row>
    <row r="809" spans="1:11" ht="17.25" hidden="1" customHeight="1" x14ac:dyDescent="0.25">
      <c r="A809" s="278"/>
      <c r="B809" s="262"/>
      <c r="C809" s="262"/>
      <c r="D809" s="262"/>
      <c r="E809" s="262"/>
      <c r="F809" s="263"/>
      <c r="G809" s="263"/>
      <c r="H809" s="263"/>
    </row>
    <row r="810" spans="1:11" ht="17.25" hidden="1" customHeight="1" x14ac:dyDescent="0.25">
      <c r="A810" s="278"/>
      <c r="B810" s="262"/>
      <c r="C810" s="262"/>
      <c r="D810" s="262"/>
      <c r="E810" s="262"/>
      <c r="F810" s="263"/>
      <c r="G810" s="263"/>
      <c r="H810" s="263"/>
    </row>
    <row r="811" spans="1:11" ht="112.95" customHeight="1" x14ac:dyDescent="0.25">
      <c r="A811" s="264" t="s">
        <v>376</v>
      </c>
      <c r="B811" s="13" t="s">
        <v>127</v>
      </c>
      <c r="C811" s="13" t="s">
        <v>113</v>
      </c>
      <c r="D811" s="262" t="s">
        <v>421</v>
      </c>
      <c r="E811" s="13" t="s">
        <v>223</v>
      </c>
      <c r="F811" s="267">
        <f>F812+F814</f>
        <v>15399.59071</v>
      </c>
      <c r="G811" s="265">
        <f>G812+G814</f>
        <v>15787.855009999999</v>
      </c>
      <c r="H811" s="265">
        <f>H812+H814</f>
        <v>0</v>
      </c>
      <c r="I811" s="247">
        <f>'5'!D230</f>
        <v>15399.59071</v>
      </c>
      <c r="J811" s="247">
        <f>'5'!E230</f>
        <v>15787.855009999999</v>
      </c>
      <c r="K811" s="247">
        <f>'5'!F230</f>
        <v>0</v>
      </c>
    </row>
    <row r="812" spans="1:11" ht="37.200000000000003" customHeight="1" x14ac:dyDescent="0.25">
      <c r="A812" s="261" t="s">
        <v>709</v>
      </c>
      <c r="B812" s="262" t="s">
        <v>127</v>
      </c>
      <c r="C812" s="262" t="s">
        <v>113</v>
      </c>
      <c r="D812" s="262" t="s">
        <v>421</v>
      </c>
      <c r="E812" s="262" t="s">
        <v>710</v>
      </c>
      <c r="F812" s="263">
        <f>F813</f>
        <v>150</v>
      </c>
      <c r="G812" s="263">
        <f>G813</f>
        <v>150</v>
      </c>
      <c r="H812" s="263">
        <f>H813</f>
        <v>0</v>
      </c>
      <c r="I812" s="268">
        <f>I811-F811</f>
        <v>0</v>
      </c>
      <c r="J812" s="268">
        <f t="shared" ref="J812:K812" si="180">J811-G811</f>
        <v>0</v>
      </c>
      <c r="K812" s="268">
        <f t="shared" si="180"/>
        <v>0</v>
      </c>
    </row>
    <row r="813" spans="1:11" ht="50.7" customHeight="1" x14ac:dyDescent="0.25">
      <c r="A813" s="278" t="s">
        <v>711</v>
      </c>
      <c r="B813" s="262" t="s">
        <v>127</v>
      </c>
      <c r="C813" s="262" t="s">
        <v>113</v>
      </c>
      <c r="D813" s="262" t="s">
        <v>421</v>
      </c>
      <c r="E813" s="262" t="s">
        <v>712</v>
      </c>
      <c r="F813" s="263">
        <v>150</v>
      </c>
      <c r="G813" s="263">
        <v>150</v>
      </c>
      <c r="H813" s="263">
        <f>150-150</f>
        <v>0</v>
      </c>
    </row>
    <row r="814" spans="1:11" ht="30.6" customHeight="1" x14ac:dyDescent="0.25">
      <c r="A814" s="261" t="s">
        <v>865</v>
      </c>
      <c r="B814" s="262" t="s">
        <v>127</v>
      </c>
      <c r="C814" s="262" t="s">
        <v>113</v>
      </c>
      <c r="D814" s="262" t="s">
        <v>421</v>
      </c>
      <c r="E814" s="262" t="s">
        <v>866</v>
      </c>
      <c r="F814" s="263">
        <f>F815+F816</f>
        <v>15249.59071</v>
      </c>
      <c r="G814" s="263">
        <f>G815+G816</f>
        <v>15637.855009999999</v>
      </c>
      <c r="H814" s="263">
        <f>H815+H816</f>
        <v>0</v>
      </c>
    </row>
    <row r="815" spans="1:11" ht="31.2" customHeight="1" x14ac:dyDescent="0.25">
      <c r="A815" s="278" t="s">
        <v>120</v>
      </c>
      <c r="B815" s="262" t="s">
        <v>127</v>
      </c>
      <c r="C815" s="262" t="s">
        <v>113</v>
      </c>
      <c r="D815" s="262" t="s">
        <v>421</v>
      </c>
      <c r="E815" s="262" t="s">
        <v>121</v>
      </c>
      <c r="F815" s="263">
        <v>13034.59071</v>
      </c>
      <c r="G815" s="263">
        <v>13622.855009999999</v>
      </c>
      <c r="H815" s="263">
        <f>14404.45488-14404.45488</f>
        <v>0</v>
      </c>
    </row>
    <row r="816" spans="1:11" ht="31.2" customHeight="1" x14ac:dyDescent="0.25">
      <c r="A816" s="261" t="s">
        <v>122</v>
      </c>
      <c r="B816" s="262" t="s">
        <v>127</v>
      </c>
      <c r="C816" s="262" t="s">
        <v>113</v>
      </c>
      <c r="D816" s="262" t="s">
        <v>421</v>
      </c>
      <c r="E816" s="262" t="s">
        <v>912</v>
      </c>
      <c r="F816" s="535">
        <f>2215</f>
        <v>2215</v>
      </c>
      <c r="G816" s="263">
        <v>2015</v>
      </c>
      <c r="H816" s="263">
        <f>1815-1815</f>
        <v>0</v>
      </c>
    </row>
    <row r="817" spans="1:8" ht="94.95" hidden="1" customHeight="1" x14ac:dyDescent="0.25">
      <c r="A817" s="264" t="s">
        <v>377</v>
      </c>
      <c r="B817" s="13" t="s">
        <v>127</v>
      </c>
      <c r="C817" s="13" t="s">
        <v>113</v>
      </c>
      <c r="D817" s="262" t="s">
        <v>422</v>
      </c>
      <c r="E817" s="13" t="s">
        <v>223</v>
      </c>
      <c r="F817" s="265"/>
      <c r="G817" s="265"/>
      <c r="H817" s="265"/>
    </row>
    <row r="818" spans="1:8" ht="37.200000000000003" hidden="1" customHeight="1" x14ac:dyDescent="0.25">
      <c r="A818" s="261" t="s">
        <v>709</v>
      </c>
      <c r="B818" s="262" t="s">
        <v>127</v>
      </c>
      <c r="C818" s="262" t="s">
        <v>113</v>
      </c>
      <c r="D818" s="262" t="s">
        <v>422</v>
      </c>
      <c r="E818" s="262" t="s">
        <v>710</v>
      </c>
      <c r="F818" s="263"/>
      <c r="G818" s="263"/>
      <c r="H818" s="263"/>
    </row>
    <row r="819" spans="1:8" ht="50.7" hidden="1" customHeight="1" x14ac:dyDescent="0.25">
      <c r="A819" s="278" t="s">
        <v>711</v>
      </c>
      <c r="B819" s="262" t="s">
        <v>127</v>
      </c>
      <c r="C819" s="262" t="s">
        <v>113</v>
      </c>
      <c r="D819" s="262" t="s">
        <v>422</v>
      </c>
      <c r="E819" s="262" t="s">
        <v>712</v>
      </c>
      <c r="F819" s="263"/>
      <c r="G819" s="263"/>
      <c r="H819" s="263"/>
    </row>
    <row r="820" spans="1:8" ht="31.2" hidden="1" customHeight="1" x14ac:dyDescent="0.25">
      <c r="A820" s="261" t="s">
        <v>865</v>
      </c>
      <c r="B820" s="262" t="s">
        <v>127</v>
      </c>
      <c r="C820" s="262" t="s">
        <v>113</v>
      </c>
      <c r="D820" s="262" t="s">
        <v>422</v>
      </c>
      <c r="E820" s="262" t="s">
        <v>866</v>
      </c>
      <c r="F820" s="263"/>
      <c r="G820" s="263"/>
      <c r="H820" s="263"/>
    </row>
    <row r="821" spans="1:8" ht="32.700000000000003" hidden="1" customHeight="1" x14ac:dyDescent="0.25">
      <c r="A821" s="278" t="s">
        <v>120</v>
      </c>
      <c r="B821" s="262" t="s">
        <v>127</v>
      </c>
      <c r="C821" s="262" t="s">
        <v>113</v>
      </c>
      <c r="D821" s="262" t="s">
        <v>422</v>
      </c>
      <c r="E821" s="262" t="s">
        <v>121</v>
      </c>
      <c r="F821" s="263"/>
      <c r="G821" s="263"/>
      <c r="H821" s="263"/>
    </row>
    <row r="822" spans="1:8" s="266" customFormat="1" ht="51.75" customHeight="1" x14ac:dyDescent="0.3">
      <c r="A822" s="12" t="s">
        <v>635</v>
      </c>
      <c r="B822" s="13" t="s">
        <v>127</v>
      </c>
      <c r="C822" s="13" t="s">
        <v>113</v>
      </c>
      <c r="D822" s="317" t="s">
        <v>636</v>
      </c>
      <c r="E822" s="317" t="s">
        <v>223</v>
      </c>
      <c r="F822" s="128">
        <f>F827+F823</f>
        <v>1911.2709</v>
      </c>
      <c r="G822" s="128">
        <f t="shared" ref="G822:H822" si="181">G827+G823</f>
        <v>3590.68487</v>
      </c>
      <c r="H822" s="128">
        <f t="shared" si="181"/>
        <v>3691.67353</v>
      </c>
    </row>
    <row r="823" spans="1:8" ht="63.6" customHeight="1" x14ac:dyDescent="0.25">
      <c r="A823" s="347" t="s">
        <v>960</v>
      </c>
      <c r="B823" s="262" t="s">
        <v>127</v>
      </c>
      <c r="C823" s="262" t="s">
        <v>113</v>
      </c>
      <c r="D823" s="6" t="s">
        <v>688</v>
      </c>
      <c r="E823" s="6" t="s">
        <v>223</v>
      </c>
      <c r="F823" s="19">
        <f t="shared" ref="F823:H824" si="182">F824</f>
        <v>0</v>
      </c>
      <c r="G823" s="19">
        <f t="shared" si="182"/>
        <v>0</v>
      </c>
      <c r="H823" s="19">
        <f t="shared" si="182"/>
        <v>0</v>
      </c>
    </row>
    <row r="824" spans="1:8" ht="37.950000000000003" customHeight="1" x14ac:dyDescent="0.25">
      <c r="A824" s="347" t="s">
        <v>865</v>
      </c>
      <c r="B824" s="262" t="s">
        <v>127</v>
      </c>
      <c r="C824" s="262" t="s">
        <v>113</v>
      </c>
      <c r="D824" s="6" t="s">
        <v>688</v>
      </c>
      <c r="E824" s="8" t="s">
        <v>866</v>
      </c>
      <c r="F824" s="19">
        <f t="shared" si="182"/>
        <v>0</v>
      </c>
      <c r="G824" s="19">
        <f t="shared" si="182"/>
        <v>0</v>
      </c>
      <c r="H824" s="19">
        <f t="shared" si="182"/>
        <v>0</v>
      </c>
    </row>
    <row r="825" spans="1:8" ht="41.4" customHeight="1" x14ac:dyDescent="0.25">
      <c r="A825" s="21" t="s">
        <v>122</v>
      </c>
      <c r="B825" s="262" t="s">
        <v>127</v>
      </c>
      <c r="C825" s="262" t="s">
        <v>113</v>
      </c>
      <c r="D825" s="6" t="s">
        <v>688</v>
      </c>
      <c r="E825" s="8" t="s">
        <v>912</v>
      </c>
      <c r="F825" s="19">
        <f>'5'!D241</f>
        <v>0</v>
      </c>
      <c r="G825" s="19">
        <f>'5'!E241</f>
        <v>0</v>
      </c>
      <c r="H825" s="19">
        <f>'5'!F241</f>
        <v>0</v>
      </c>
    </row>
    <row r="826" spans="1:8" ht="41.4" customHeight="1" x14ac:dyDescent="0.25">
      <c r="A826" s="347" t="s">
        <v>961</v>
      </c>
      <c r="B826" s="262" t="s">
        <v>127</v>
      </c>
      <c r="C826" s="262" t="s">
        <v>113</v>
      </c>
      <c r="D826" s="6" t="s">
        <v>637</v>
      </c>
      <c r="E826" s="6" t="s">
        <v>223</v>
      </c>
      <c r="F826" s="19">
        <f t="shared" ref="F826:H827" si="183">F827</f>
        <v>1911.2709</v>
      </c>
      <c r="G826" s="19">
        <f t="shared" si="183"/>
        <v>3590.68487</v>
      </c>
      <c r="H826" s="19">
        <f t="shared" si="183"/>
        <v>3691.67353</v>
      </c>
    </row>
    <row r="827" spans="1:8" ht="43.2" customHeight="1" x14ac:dyDescent="0.25">
      <c r="A827" s="347" t="s">
        <v>865</v>
      </c>
      <c r="B827" s="262" t="s">
        <v>127</v>
      </c>
      <c r="C827" s="262" t="s">
        <v>113</v>
      </c>
      <c r="D827" s="6" t="s">
        <v>637</v>
      </c>
      <c r="E827" s="8" t="s">
        <v>866</v>
      </c>
      <c r="F827" s="19">
        <f t="shared" si="183"/>
        <v>1911.2709</v>
      </c>
      <c r="G827" s="19">
        <f t="shared" si="183"/>
        <v>3590.68487</v>
      </c>
      <c r="H827" s="19">
        <f t="shared" si="183"/>
        <v>3691.67353</v>
      </c>
    </row>
    <row r="828" spans="1:8" ht="40.200000000000003" customHeight="1" x14ac:dyDescent="0.25">
      <c r="A828" s="21" t="s">
        <v>122</v>
      </c>
      <c r="B828" s="262" t="s">
        <v>127</v>
      </c>
      <c r="C828" s="262" t="s">
        <v>113</v>
      </c>
      <c r="D828" s="6" t="s">
        <v>637</v>
      </c>
      <c r="E828" s="8" t="s">
        <v>912</v>
      </c>
      <c r="F828" s="19">
        <f>'5'!D242</f>
        <v>1911.2709</v>
      </c>
      <c r="G828" s="19">
        <f>'5'!E242</f>
        <v>3590.68487</v>
      </c>
      <c r="H828" s="19">
        <f>'5'!F242</f>
        <v>3691.67353</v>
      </c>
    </row>
    <row r="829" spans="1:8" s="283" customFormat="1" ht="40.200000000000003" customHeight="1" x14ac:dyDescent="0.3">
      <c r="A829" s="55" t="s">
        <v>702</v>
      </c>
      <c r="B829" s="287" t="s">
        <v>127</v>
      </c>
      <c r="C829" s="287" t="s">
        <v>113</v>
      </c>
      <c r="D829" s="115" t="s">
        <v>6</v>
      </c>
      <c r="E829" s="115" t="s">
        <v>223</v>
      </c>
      <c r="F829" s="499">
        <f>F830</f>
        <v>0</v>
      </c>
      <c r="G829" s="499">
        <f t="shared" ref="G829:H829" si="184">G830</f>
        <v>0</v>
      </c>
      <c r="H829" s="499">
        <f t="shared" si="184"/>
        <v>38953.454879999998</v>
      </c>
    </row>
    <row r="830" spans="1:8" ht="40.200000000000003" customHeight="1" x14ac:dyDescent="0.25">
      <c r="A830" s="15" t="s">
        <v>110</v>
      </c>
      <c r="B830" s="29" t="s">
        <v>127</v>
      </c>
      <c r="C830" s="29" t="s">
        <v>113</v>
      </c>
      <c r="D830" s="317" t="s">
        <v>6</v>
      </c>
      <c r="E830" s="317" t="s">
        <v>223</v>
      </c>
      <c r="F830" s="128">
        <f>F831+F834+F837</f>
        <v>0</v>
      </c>
      <c r="G830" s="128">
        <f t="shared" ref="G830" si="185">G831+G834+G837</f>
        <v>0</v>
      </c>
      <c r="H830" s="128">
        <f>H831+H834+H837</f>
        <v>38953.454879999998</v>
      </c>
    </row>
    <row r="831" spans="1:8" s="266" customFormat="1" ht="40.200000000000003" customHeight="1" x14ac:dyDescent="0.3">
      <c r="A831" s="15" t="s">
        <v>1004</v>
      </c>
      <c r="B831" s="29" t="s">
        <v>127</v>
      </c>
      <c r="C831" s="29" t="s">
        <v>113</v>
      </c>
      <c r="D831" s="317" t="s">
        <v>1092</v>
      </c>
      <c r="E831" s="317" t="s">
        <v>223</v>
      </c>
      <c r="F831" s="128">
        <f>F832</f>
        <v>0</v>
      </c>
      <c r="G831" s="128">
        <f t="shared" ref="G831:H832" si="186">G832</f>
        <v>0</v>
      </c>
      <c r="H831" s="128">
        <f t="shared" si="186"/>
        <v>9033.6</v>
      </c>
    </row>
    <row r="832" spans="1:8" ht="40.200000000000003" customHeight="1" x14ac:dyDescent="0.25">
      <c r="A832" s="22" t="s">
        <v>762</v>
      </c>
      <c r="B832" s="29" t="s">
        <v>127</v>
      </c>
      <c r="C832" s="29" t="s">
        <v>113</v>
      </c>
      <c r="D832" s="6" t="s">
        <v>1092</v>
      </c>
      <c r="E832" s="6" t="s">
        <v>763</v>
      </c>
      <c r="F832" s="24">
        <f>F833</f>
        <v>0</v>
      </c>
      <c r="G832" s="24">
        <f t="shared" si="186"/>
        <v>0</v>
      </c>
      <c r="H832" s="24">
        <f t="shared" si="186"/>
        <v>9033.6</v>
      </c>
    </row>
    <row r="833" spans="1:8" ht="19.2" customHeight="1" x14ac:dyDescent="0.25">
      <c r="A833" s="22" t="s">
        <v>764</v>
      </c>
      <c r="B833" s="29" t="s">
        <v>127</v>
      </c>
      <c r="C833" s="29" t="s">
        <v>113</v>
      </c>
      <c r="D833" s="6" t="s">
        <v>1092</v>
      </c>
      <c r="E833" s="6" t="s">
        <v>765</v>
      </c>
      <c r="F833" s="24">
        <v>0</v>
      </c>
      <c r="G833" s="24">
        <v>0</v>
      </c>
      <c r="H833" s="24">
        <v>9033.6</v>
      </c>
    </row>
    <row r="834" spans="1:8" s="266" customFormat="1" ht="40.200000000000003" customHeight="1" x14ac:dyDescent="0.3">
      <c r="A834" s="370" t="s">
        <v>1005</v>
      </c>
      <c r="B834" s="29" t="s">
        <v>127</v>
      </c>
      <c r="C834" s="29" t="s">
        <v>113</v>
      </c>
      <c r="D834" s="29" t="s">
        <v>507</v>
      </c>
      <c r="E834" s="29" t="s">
        <v>223</v>
      </c>
      <c r="F834" s="26">
        <f>F835</f>
        <v>0</v>
      </c>
      <c r="G834" s="26">
        <f t="shared" ref="G834:H835" si="187">G835</f>
        <v>0</v>
      </c>
      <c r="H834" s="26">
        <f t="shared" si="187"/>
        <v>13550.4</v>
      </c>
    </row>
    <row r="835" spans="1:8" ht="29.4" customHeight="1" x14ac:dyDescent="0.25">
      <c r="A835" s="22" t="s">
        <v>762</v>
      </c>
      <c r="B835" s="8" t="s">
        <v>127</v>
      </c>
      <c r="C835" s="8" t="s">
        <v>113</v>
      </c>
      <c r="D835" s="8" t="s">
        <v>507</v>
      </c>
      <c r="E835" s="8" t="s">
        <v>763</v>
      </c>
      <c r="F835" s="24">
        <f>F836</f>
        <v>0</v>
      </c>
      <c r="G835" s="24">
        <f t="shared" si="187"/>
        <v>0</v>
      </c>
      <c r="H835" s="24">
        <f t="shared" si="187"/>
        <v>13550.4</v>
      </c>
    </row>
    <row r="836" spans="1:8" ht="22.95" customHeight="1" x14ac:dyDescent="0.25">
      <c r="A836" s="22" t="s">
        <v>764</v>
      </c>
      <c r="B836" s="8" t="s">
        <v>127</v>
      </c>
      <c r="C836" s="8" t="s">
        <v>113</v>
      </c>
      <c r="D836" s="8" t="s">
        <v>507</v>
      </c>
      <c r="E836" s="8" t="s">
        <v>765</v>
      </c>
      <c r="F836" s="24">
        <v>0</v>
      </c>
      <c r="G836" s="24">
        <v>0</v>
      </c>
      <c r="H836" s="24">
        <v>13550.4</v>
      </c>
    </row>
    <row r="837" spans="1:8" s="266" customFormat="1" ht="93.75" customHeight="1" x14ac:dyDescent="0.3">
      <c r="A837" s="15" t="s">
        <v>376</v>
      </c>
      <c r="B837" s="29" t="s">
        <v>127</v>
      </c>
      <c r="C837" s="29" t="s">
        <v>113</v>
      </c>
      <c r="D837" s="29" t="s">
        <v>383</v>
      </c>
      <c r="E837" s="29" t="s">
        <v>223</v>
      </c>
      <c r="F837" s="26">
        <f>F838+F840</f>
        <v>0</v>
      </c>
      <c r="G837" s="26">
        <f t="shared" ref="G837:H837" si="188">G838+G840</f>
        <v>0</v>
      </c>
      <c r="H837" s="26">
        <f t="shared" si="188"/>
        <v>16369.454879999999</v>
      </c>
    </row>
    <row r="838" spans="1:8" ht="40.200000000000003" customHeight="1" x14ac:dyDescent="0.25">
      <c r="A838" s="21" t="s">
        <v>709</v>
      </c>
      <c r="B838" s="8" t="s">
        <v>127</v>
      </c>
      <c r="C838" s="8" t="s">
        <v>113</v>
      </c>
      <c r="D838" s="8" t="s">
        <v>383</v>
      </c>
      <c r="E838" s="8" t="s">
        <v>710</v>
      </c>
      <c r="F838" s="24">
        <f>F839</f>
        <v>0</v>
      </c>
      <c r="G838" s="24">
        <f t="shared" ref="G838:H838" si="189">G839</f>
        <v>0</v>
      </c>
      <c r="H838" s="24">
        <f t="shared" si="189"/>
        <v>150</v>
      </c>
    </row>
    <row r="839" spans="1:8" ht="40.200000000000003" customHeight="1" x14ac:dyDescent="0.25">
      <c r="A839" s="22" t="s">
        <v>711</v>
      </c>
      <c r="B839" s="8" t="s">
        <v>127</v>
      </c>
      <c r="C839" s="8" t="s">
        <v>113</v>
      </c>
      <c r="D839" s="8" t="s">
        <v>383</v>
      </c>
      <c r="E839" s="8" t="s">
        <v>712</v>
      </c>
      <c r="F839" s="24">
        <v>0</v>
      </c>
      <c r="G839" s="24">
        <v>0</v>
      </c>
      <c r="H839" s="24">
        <v>150</v>
      </c>
    </row>
    <row r="840" spans="1:8" ht="22.95" customHeight="1" x14ac:dyDescent="0.25">
      <c r="A840" s="21" t="s">
        <v>865</v>
      </c>
      <c r="B840" s="8" t="s">
        <v>127</v>
      </c>
      <c r="C840" s="8" t="s">
        <v>113</v>
      </c>
      <c r="D840" s="8" t="s">
        <v>383</v>
      </c>
      <c r="E840" s="8" t="s">
        <v>866</v>
      </c>
      <c r="F840" s="24">
        <f>F841+F842</f>
        <v>0</v>
      </c>
      <c r="G840" s="24">
        <f t="shared" ref="G840:H840" si="190">G841+G842</f>
        <v>0</v>
      </c>
      <c r="H840" s="24">
        <f t="shared" si="190"/>
        <v>16219.454879999999</v>
      </c>
    </row>
    <row r="841" spans="1:8" ht="34.950000000000003" customHeight="1" x14ac:dyDescent="0.25">
      <c r="A841" s="21" t="s">
        <v>120</v>
      </c>
      <c r="B841" s="8" t="s">
        <v>127</v>
      </c>
      <c r="C841" s="8" t="s">
        <v>113</v>
      </c>
      <c r="D841" s="8" t="s">
        <v>383</v>
      </c>
      <c r="E841" s="8" t="s">
        <v>121</v>
      </c>
      <c r="F841" s="24">
        <v>0</v>
      </c>
      <c r="G841" s="24">
        <v>0</v>
      </c>
      <c r="H841" s="24">
        <v>14404.454879999999</v>
      </c>
    </row>
    <row r="842" spans="1:8" ht="33" customHeight="1" x14ac:dyDescent="0.25">
      <c r="A842" s="21" t="s">
        <v>122</v>
      </c>
      <c r="B842" s="8" t="s">
        <v>127</v>
      </c>
      <c r="C842" s="8" t="s">
        <v>113</v>
      </c>
      <c r="D842" s="8" t="s">
        <v>383</v>
      </c>
      <c r="E842" s="8" t="s">
        <v>912</v>
      </c>
      <c r="F842" s="24">
        <v>0</v>
      </c>
      <c r="G842" s="24">
        <v>0</v>
      </c>
      <c r="H842" s="24">
        <v>1815</v>
      </c>
    </row>
    <row r="843" spans="1:8" ht="40.200000000000003" customHeight="1" x14ac:dyDescent="0.25">
      <c r="A843" s="492" t="s">
        <v>1089</v>
      </c>
      <c r="B843" s="489" t="s">
        <v>127</v>
      </c>
      <c r="C843" s="489" t="s">
        <v>720</v>
      </c>
      <c r="D843" s="490" t="s">
        <v>1090</v>
      </c>
      <c r="E843" s="490" t="s">
        <v>223</v>
      </c>
      <c r="F843" s="491">
        <f>F844</f>
        <v>2582.8830000000003</v>
      </c>
      <c r="G843" s="491">
        <f t="shared" ref="G843:H844" si="191">G844</f>
        <v>2607.136</v>
      </c>
      <c r="H843" s="491">
        <f t="shared" si="191"/>
        <v>2705.1170000000002</v>
      </c>
    </row>
    <row r="844" spans="1:8" s="169" customFormat="1" ht="40.200000000000003" customHeight="1" x14ac:dyDescent="0.25">
      <c r="A844" s="16" t="s">
        <v>702</v>
      </c>
      <c r="B844" s="287" t="s">
        <v>127</v>
      </c>
      <c r="C844" s="287" t="s">
        <v>720</v>
      </c>
      <c r="D844" s="287" t="s">
        <v>5</v>
      </c>
      <c r="E844" s="287" t="s">
        <v>223</v>
      </c>
      <c r="F844" s="288">
        <f>F845</f>
        <v>2582.8830000000003</v>
      </c>
      <c r="G844" s="288">
        <f t="shared" si="191"/>
        <v>2607.136</v>
      </c>
      <c r="H844" s="288">
        <f t="shared" si="191"/>
        <v>2705.1170000000002</v>
      </c>
    </row>
    <row r="845" spans="1:8" s="169" customFormat="1" ht="78" customHeight="1" x14ac:dyDescent="0.25">
      <c r="A845" s="285" t="s">
        <v>881</v>
      </c>
      <c r="B845" s="287" t="s">
        <v>127</v>
      </c>
      <c r="C845" s="287" t="s">
        <v>720</v>
      </c>
      <c r="D845" s="13" t="s">
        <v>382</v>
      </c>
      <c r="E845" s="13" t="s">
        <v>223</v>
      </c>
      <c r="F845" s="265">
        <f>F846+F848</f>
        <v>2582.8830000000003</v>
      </c>
      <c r="G845" s="265">
        <f>G846+G848</f>
        <v>2607.136</v>
      </c>
      <c r="H845" s="265">
        <f>H846+H848</f>
        <v>2705.1170000000002</v>
      </c>
    </row>
    <row r="846" spans="1:8" s="169" customFormat="1" ht="40.200000000000003" customHeight="1" x14ac:dyDescent="0.25">
      <c r="A846" s="261" t="s">
        <v>703</v>
      </c>
      <c r="B846" s="287" t="s">
        <v>127</v>
      </c>
      <c r="C846" s="287" t="s">
        <v>720</v>
      </c>
      <c r="D846" s="262" t="s">
        <v>382</v>
      </c>
      <c r="E846" s="262" t="s">
        <v>704</v>
      </c>
      <c r="F846" s="263">
        <f>F847</f>
        <v>2163.38</v>
      </c>
      <c r="G846" s="263">
        <f>G847</f>
        <v>2163.38</v>
      </c>
      <c r="H846" s="263">
        <f>H847</f>
        <v>2163.38</v>
      </c>
    </row>
    <row r="847" spans="1:8" ht="40.200000000000003" customHeight="1" x14ac:dyDescent="0.25">
      <c r="A847" s="278" t="s">
        <v>705</v>
      </c>
      <c r="B847" s="287" t="s">
        <v>127</v>
      </c>
      <c r="C847" s="287" t="s">
        <v>720</v>
      </c>
      <c r="D847" s="262" t="s">
        <v>382</v>
      </c>
      <c r="E847" s="262" t="s">
        <v>706</v>
      </c>
      <c r="F847" s="487">
        <f>2163.38</f>
        <v>2163.38</v>
      </c>
      <c r="G847" s="487">
        <f>2163.38</f>
        <v>2163.38</v>
      </c>
      <c r="H847" s="487">
        <f>2163.38</f>
        <v>2163.38</v>
      </c>
    </row>
    <row r="848" spans="1:8" ht="40.200000000000003" customHeight="1" x14ac:dyDescent="0.25">
      <c r="A848" s="261" t="s">
        <v>709</v>
      </c>
      <c r="B848" s="287" t="s">
        <v>127</v>
      </c>
      <c r="C848" s="287" t="s">
        <v>720</v>
      </c>
      <c r="D848" s="262" t="s">
        <v>382</v>
      </c>
      <c r="E848" s="262" t="s">
        <v>710</v>
      </c>
      <c r="F848" s="263">
        <f>F849</f>
        <v>419.50299999999999</v>
      </c>
      <c r="G848" s="263">
        <f>G849</f>
        <v>443.75599999999997</v>
      </c>
      <c r="H848" s="263">
        <f>H849</f>
        <v>541.73699999999997</v>
      </c>
    </row>
    <row r="849" spans="1:8" ht="40.200000000000003" customHeight="1" x14ac:dyDescent="0.25">
      <c r="A849" s="278" t="s">
        <v>711</v>
      </c>
      <c r="B849" s="287" t="s">
        <v>127</v>
      </c>
      <c r="C849" s="287" t="s">
        <v>720</v>
      </c>
      <c r="D849" s="262" t="s">
        <v>382</v>
      </c>
      <c r="E849" s="262" t="s">
        <v>712</v>
      </c>
      <c r="F849" s="263">
        <v>419.50299999999999</v>
      </c>
      <c r="G849" s="263">
        <v>443.75599999999997</v>
      </c>
      <c r="H849" s="263">
        <v>541.73699999999997</v>
      </c>
    </row>
    <row r="850" spans="1:8" s="283" customFormat="1" ht="19.2" customHeight="1" x14ac:dyDescent="0.3">
      <c r="A850" s="252" t="s">
        <v>920</v>
      </c>
      <c r="B850" s="253" t="s">
        <v>725</v>
      </c>
      <c r="C850" s="253" t="s">
        <v>109</v>
      </c>
      <c r="D850" s="253" t="s">
        <v>699</v>
      </c>
      <c r="E850" s="253" t="s">
        <v>223</v>
      </c>
      <c r="F850" s="254">
        <f t="shared" ref="F850:H851" si="192">F851</f>
        <v>650</v>
      </c>
      <c r="G850" s="254">
        <f t="shared" si="192"/>
        <v>250</v>
      </c>
      <c r="H850" s="254">
        <f t="shared" si="192"/>
        <v>300</v>
      </c>
    </row>
    <row r="851" spans="1:8" ht="15.75" customHeight="1" x14ac:dyDescent="0.25">
      <c r="A851" s="256" t="s">
        <v>921</v>
      </c>
      <c r="B851" s="257" t="s">
        <v>725</v>
      </c>
      <c r="C851" s="257" t="s">
        <v>701</v>
      </c>
      <c r="D851" s="257" t="s">
        <v>699</v>
      </c>
      <c r="E851" s="257" t="s">
        <v>223</v>
      </c>
      <c r="F851" s="258">
        <f t="shared" si="192"/>
        <v>650</v>
      </c>
      <c r="G851" s="258">
        <f t="shared" si="192"/>
        <v>250</v>
      </c>
      <c r="H851" s="258">
        <f t="shared" si="192"/>
        <v>300</v>
      </c>
    </row>
    <row r="852" spans="1:8" ht="50.25" customHeight="1" x14ac:dyDescent="0.25">
      <c r="A852" s="264" t="s">
        <v>561</v>
      </c>
      <c r="B852" s="13" t="s">
        <v>725</v>
      </c>
      <c r="C852" s="13" t="s">
        <v>701</v>
      </c>
      <c r="D852" s="13" t="s">
        <v>71</v>
      </c>
      <c r="E852" s="13" t="s">
        <v>223</v>
      </c>
      <c r="F852" s="265">
        <f>F853+F873+F882+F886+F893+F900</f>
        <v>650</v>
      </c>
      <c r="G852" s="265">
        <f>G853+G873+G882+G886+G893+G900</f>
        <v>250</v>
      </c>
      <c r="H852" s="265">
        <f>H853+H873+H882+H886+H893+H900</f>
        <v>300</v>
      </c>
    </row>
    <row r="853" spans="1:8" ht="33" customHeight="1" x14ac:dyDescent="0.25">
      <c r="A853" s="261" t="s">
        <v>922</v>
      </c>
      <c r="B853" s="262" t="s">
        <v>725</v>
      </c>
      <c r="C853" s="262" t="s">
        <v>701</v>
      </c>
      <c r="D853" s="262" t="s">
        <v>72</v>
      </c>
      <c r="E853" s="262" t="s">
        <v>223</v>
      </c>
      <c r="F853" s="263">
        <f>F854+F871</f>
        <v>150</v>
      </c>
      <c r="G853" s="263">
        <f>G854+G871</f>
        <v>250</v>
      </c>
      <c r="H853" s="263">
        <f>H854+H871</f>
        <v>300</v>
      </c>
    </row>
    <row r="854" spans="1:8" ht="32.25" customHeight="1" x14ac:dyDescent="0.25">
      <c r="A854" s="261" t="s">
        <v>709</v>
      </c>
      <c r="B854" s="262" t="s">
        <v>725</v>
      </c>
      <c r="C854" s="262" t="s">
        <v>701</v>
      </c>
      <c r="D854" s="262" t="s">
        <v>72</v>
      </c>
      <c r="E854" s="262" t="s">
        <v>710</v>
      </c>
      <c r="F854" s="263">
        <f>F855</f>
        <v>150</v>
      </c>
      <c r="G854" s="263">
        <f>G855</f>
        <v>250</v>
      </c>
      <c r="H854" s="263">
        <f>H855</f>
        <v>300</v>
      </c>
    </row>
    <row r="855" spans="1:8" ht="49.5" customHeight="1" x14ac:dyDescent="0.25">
      <c r="A855" s="278" t="s">
        <v>711</v>
      </c>
      <c r="B855" s="262" t="s">
        <v>725</v>
      </c>
      <c r="C855" s="262" t="s">
        <v>701</v>
      </c>
      <c r="D855" s="262" t="s">
        <v>72</v>
      </c>
      <c r="E855" s="262" t="s">
        <v>712</v>
      </c>
      <c r="F855" s="485">
        <f>'5'!D122</f>
        <v>150</v>
      </c>
      <c r="G855" s="485">
        <f>'5'!E122</f>
        <v>250</v>
      </c>
      <c r="H855" s="485">
        <f>'5'!F122</f>
        <v>300</v>
      </c>
    </row>
    <row r="856" spans="1:8" ht="49.5" hidden="1" customHeight="1" x14ac:dyDescent="0.25">
      <c r="A856" s="286" t="s">
        <v>335</v>
      </c>
      <c r="B856" s="262" t="s">
        <v>725</v>
      </c>
      <c r="C856" s="262" t="s">
        <v>701</v>
      </c>
      <c r="D856" s="262" t="s">
        <v>72</v>
      </c>
      <c r="E856" s="287" t="s">
        <v>223</v>
      </c>
      <c r="F856" s="455"/>
      <c r="G856" s="288"/>
      <c r="H856" s="288"/>
    </row>
    <row r="857" spans="1:8" ht="83.25" hidden="1" customHeight="1" x14ac:dyDescent="0.25">
      <c r="A857" s="285" t="s">
        <v>923</v>
      </c>
      <c r="B857" s="262" t="s">
        <v>725</v>
      </c>
      <c r="C857" s="262" t="s">
        <v>701</v>
      </c>
      <c r="D857" s="262" t="s">
        <v>72</v>
      </c>
      <c r="E857" s="13" t="s">
        <v>223</v>
      </c>
      <c r="F857" s="267"/>
      <c r="G857" s="265"/>
      <c r="H857" s="265"/>
    </row>
    <row r="858" spans="1:8" ht="39.75" hidden="1" customHeight="1" x14ac:dyDescent="0.25">
      <c r="A858" s="261" t="s">
        <v>709</v>
      </c>
      <c r="B858" s="262" t="s">
        <v>725</v>
      </c>
      <c r="C858" s="262" t="s">
        <v>701</v>
      </c>
      <c r="D858" s="262" t="s">
        <v>72</v>
      </c>
      <c r="E858" s="262" t="s">
        <v>710</v>
      </c>
      <c r="F858" s="485"/>
      <c r="G858" s="263"/>
      <c r="H858" s="263"/>
    </row>
    <row r="859" spans="1:8" ht="64.5" hidden="1" customHeight="1" x14ac:dyDescent="0.25">
      <c r="A859" s="278" t="s">
        <v>924</v>
      </c>
      <c r="B859" s="262" t="s">
        <v>725</v>
      </c>
      <c r="C859" s="262" t="s">
        <v>701</v>
      </c>
      <c r="D859" s="262" t="s">
        <v>72</v>
      </c>
      <c r="E859" s="262" t="s">
        <v>712</v>
      </c>
      <c r="F859" s="485"/>
      <c r="G859" s="263"/>
      <c r="H859" s="263"/>
    </row>
    <row r="860" spans="1:8" ht="47.7" hidden="1" customHeight="1" x14ac:dyDescent="0.25">
      <c r="A860" s="278" t="s">
        <v>762</v>
      </c>
      <c r="B860" s="262" t="s">
        <v>725</v>
      </c>
      <c r="C860" s="262" t="s">
        <v>701</v>
      </c>
      <c r="D860" s="262" t="s">
        <v>72</v>
      </c>
      <c r="E860" s="262" t="s">
        <v>763</v>
      </c>
      <c r="F860" s="485"/>
      <c r="G860" s="263"/>
      <c r="H860" s="263"/>
    </row>
    <row r="861" spans="1:8" ht="15.6" hidden="1" customHeight="1" x14ac:dyDescent="0.25">
      <c r="A861" s="278" t="s">
        <v>764</v>
      </c>
      <c r="B861" s="262" t="s">
        <v>725</v>
      </c>
      <c r="C861" s="262" t="s">
        <v>701</v>
      </c>
      <c r="D861" s="262" t="s">
        <v>72</v>
      </c>
      <c r="E861" s="262" t="s">
        <v>765</v>
      </c>
      <c r="F861" s="485"/>
      <c r="G861" s="263"/>
      <c r="H861" s="263"/>
    </row>
    <row r="862" spans="1:8" ht="30" hidden="1" customHeight="1" x14ac:dyDescent="0.25">
      <c r="A862" s="261" t="s">
        <v>925</v>
      </c>
      <c r="B862" s="262" t="s">
        <v>725</v>
      </c>
      <c r="C862" s="262" t="s">
        <v>701</v>
      </c>
      <c r="D862" s="262" t="s">
        <v>72</v>
      </c>
      <c r="E862" s="262" t="s">
        <v>747</v>
      </c>
      <c r="F862" s="485"/>
      <c r="G862" s="263"/>
      <c r="H862" s="263"/>
    </row>
    <row r="863" spans="1:8" ht="19.95" hidden="1" customHeight="1" x14ac:dyDescent="0.25">
      <c r="A863" s="261" t="s">
        <v>116</v>
      </c>
      <c r="B863" s="262" t="s">
        <v>725</v>
      </c>
      <c r="C863" s="262" t="s">
        <v>701</v>
      </c>
      <c r="D863" s="262" t="s">
        <v>72</v>
      </c>
      <c r="E863" s="262" t="s">
        <v>165</v>
      </c>
      <c r="F863" s="485"/>
      <c r="G863" s="263"/>
      <c r="H863" s="263"/>
    </row>
    <row r="864" spans="1:8" ht="97.5" hidden="1" customHeight="1" x14ac:dyDescent="0.25">
      <c r="A864" s="285" t="s">
        <v>926</v>
      </c>
      <c r="B864" s="262" t="s">
        <v>725</v>
      </c>
      <c r="C864" s="262" t="s">
        <v>701</v>
      </c>
      <c r="D864" s="262" t="s">
        <v>72</v>
      </c>
      <c r="E864" s="13" t="s">
        <v>223</v>
      </c>
      <c r="F864" s="267"/>
      <c r="G864" s="265"/>
      <c r="H864" s="265"/>
    </row>
    <row r="865" spans="1:8" ht="38.25" hidden="1" customHeight="1" x14ac:dyDescent="0.25">
      <c r="A865" s="261" t="s">
        <v>709</v>
      </c>
      <c r="B865" s="262" t="s">
        <v>725</v>
      </c>
      <c r="C865" s="262" t="s">
        <v>701</v>
      </c>
      <c r="D865" s="262" t="s">
        <v>72</v>
      </c>
      <c r="E865" s="262" t="s">
        <v>710</v>
      </c>
      <c r="F865" s="485"/>
      <c r="G865" s="263"/>
      <c r="H865" s="263"/>
    </row>
    <row r="866" spans="1:8" ht="49.2" hidden="1" customHeight="1" x14ac:dyDescent="0.25">
      <c r="A866" s="278" t="s">
        <v>924</v>
      </c>
      <c r="B866" s="262" t="s">
        <v>725</v>
      </c>
      <c r="C866" s="262" t="s">
        <v>701</v>
      </c>
      <c r="D866" s="262" t="s">
        <v>72</v>
      </c>
      <c r="E866" s="262" t="s">
        <v>712</v>
      </c>
      <c r="F866" s="485"/>
      <c r="G866" s="263"/>
      <c r="H866" s="263"/>
    </row>
    <row r="867" spans="1:8" ht="49.5" hidden="1" customHeight="1" x14ac:dyDescent="0.25">
      <c r="A867" s="278" t="s">
        <v>762</v>
      </c>
      <c r="B867" s="262" t="s">
        <v>725</v>
      </c>
      <c r="C867" s="262" t="s">
        <v>701</v>
      </c>
      <c r="D867" s="262" t="s">
        <v>72</v>
      </c>
      <c r="E867" s="262" t="s">
        <v>763</v>
      </c>
      <c r="F867" s="485"/>
      <c r="G867" s="263"/>
      <c r="H867" s="263"/>
    </row>
    <row r="868" spans="1:8" ht="18" hidden="1" customHeight="1" x14ac:dyDescent="0.25">
      <c r="A868" s="278" t="s">
        <v>764</v>
      </c>
      <c r="B868" s="262" t="s">
        <v>725</v>
      </c>
      <c r="C868" s="262" t="s">
        <v>701</v>
      </c>
      <c r="D868" s="262" t="s">
        <v>72</v>
      </c>
      <c r="E868" s="262" t="s">
        <v>765</v>
      </c>
      <c r="F868" s="485"/>
      <c r="G868" s="263"/>
      <c r="H868" s="263"/>
    </row>
    <row r="869" spans="1:8" ht="45" hidden="1" customHeight="1" x14ac:dyDescent="0.25">
      <c r="A869" s="261" t="s">
        <v>925</v>
      </c>
      <c r="B869" s="262" t="s">
        <v>725</v>
      </c>
      <c r="C869" s="262" t="s">
        <v>701</v>
      </c>
      <c r="D869" s="262" t="s">
        <v>72</v>
      </c>
      <c r="E869" s="262" t="s">
        <v>747</v>
      </c>
      <c r="F869" s="485">
        <f t="shared" ref="F869:H871" si="193">F870</f>
        <v>0</v>
      </c>
      <c r="G869" s="263">
        <f t="shared" si="193"/>
        <v>0</v>
      </c>
      <c r="H869" s="263">
        <f t="shared" si="193"/>
        <v>0</v>
      </c>
    </row>
    <row r="870" spans="1:8" ht="18" hidden="1" customHeight="1" x14ac:dyDescent="0.25">
      <c r="A870" s="261" t="s">
        <v>116</v>
      </c>
      <c r="B870" s="262" t="s">
        <v>725</v>
      </c>
      <c r="C870" s="262" t="s">
        <v>701</v>
      </c>
      <c r="D870" s="262" t="s">
        <v>72</v>
      </c>
      <c r="E870" s="262" t="s">
        <v>165</v>
      </c>
      <c r="F870" s="485">
        <f t="shared" si="193"/>
        <v>0</v>
      </c>
      <c r="G870" s="263">
        <f t="shared" si="193"/>
        <v>0</v>
      </c>
      <c r="H870" s="263">
        <f t="shared" si="193"/>
        <v>0</v>
      </c>
    </row>
    <row r="871" spans="1:8" ht="55.2" hidden="1" customHeight="1" x14ac:dyDescent="0.25">
      <c r="A871" s="261" t="s">
        <v>925</v>
      </c>
      <c r="B871" s="262" t="s">
        <v>725</v>
      </c>
      <c r="C871" s="262" t="s">
        <v>701</v>
      </c>
      <c r="D871" s="262" t="s">
        <v>72</v>
      </c>
      <c r="E871" s="262" t="s">
        <v>747</v>
      </c>
      <c r="F871" s="485">
        <f t="shared" si="193"/>
        <v>0</v>
      </c>
      <c r="G871" s="263">
        <f t="shared" si="193"/>
        <v>0</v>
      </c>
      <c r="H871" s="263">
        <f t="shared" si="193"/>
        <v>0</v>
      </c>
    </row>
    <row r="872" spans="1:8" ht="18" hidden="1" customHeight="1" x14ac:dyDescent="0.25">
      <c r="A872" s="261" t="s">
        <v>116</v>
      </c>
      <c r="B872" s="262" t="s">
        <v>725</v>
      </c>
      <c r="C872" s="262" t="s">
        <v>701</v>
      </c>
      <c r="D872" s="262" t="s">
        <v>72</v>
      </c>
      <c r="E872" s="262" t="s">
        <v>165</v>
      </c>
      <c r="F872" s="485">
        <v>0</v>
      </c>
      <c r="G872" s="263">
        <v>0</v>
      </c>
      <c r="H872" s="263">
        <v>0</v>
      </c>
    </row>
    <row r="873" spans="1:8" ht="51" hidden="1" customHeight="1" x14ac:dyDescent="0.25">
      <c r="A873" s="301" t="s">
        <v>405</v>
      </c>
      <c r="B873" s="292" t="s">
        <v>725</v>
      </c>
      <c r="C873" s="292" t="s">
        <v>701</v>
      </c>
      <c r="D873" s="292" t="s">
        <v>404</v>
      </c>
      <c r="E873" s="292" t="s">
        <v>223</v>
      </c>
      <c r="F873" s="267">
        <f>F874+F876</f>
        <v>0</v>
      </c>
      <c r="G873" s="267">
        <f>G874+G876</f>
        <v>0</v>
      </c>
      <c r="H873" s="267">
        <f>H874+H876</f>
        <v>0</v>
      </c>
    </row>
    <row r="874" spans="1:8" ht="36" hidden="1" customHeight="1" x14ac:dyDescent="0.25">
      <c r="A874" s="293" t="s">
        <v>709</v>
      </c>
      <c r="B874" s="269" t="s">
        <v>725</v>
      </c>
      <c r="C874" s="269" t="s">
        <v>701</v>
      </c>
      <c r="D874" s="269" t="s">
        <v>404</v>
      </c>
      <c r="E874" s="269" t="s">
        <v>710</v>
      </c>
      <c r="F874" s="485">
        <f>F875</f>
        <v>0</v>
      </c>
      <c r="G874" s="485">
        <f>G875</f>
        <v>0</v>
      </c>
      <c r="H874" s="485">
        <f>H875</f>
        <v>0</v>
      </c>
    </row>
    <row r="875" spans="1:8" ht="47.4" hidden="1" customHeight="1" x14ac:dyDescent="0.25">
      <c r="A875" s="294" t="s">
        <v>711</v>
      </c>
      <c r="B875" s="269" t="s">
        <v>725</v>
      </c>
      <c r="C875" s="269" t="s">
        <v>701</v>
      </c>
      <c r="D875" s="269" t="s">
        <v>404</v>
      </c>
      <c r="E875" s="269" t="s">
        <v>712</v>
      </c>
      <c r="F875" s="485">
        <v>0</v>
      </c>
      <c r="G875" s="485">
        <v>0</v>
      </c>
      <c r="H875" s="485">
        <v>0</v>
      </c>
    </row>
    <row r="876" spans="1:8" ht="18" hidden="1" customHeight="1" x14ac:dyDescent="0.25">
      <c r="A876" s="294" t="s">
        <v>762</v>
      </c>
      <c r="B876" s="269" t="s">
        <v>725</v>
      </c>
      <c r="C876" s="269" t="s">
        <v>701</v>
      </c>
      <c r="D876" s="269" t="s">
        <v>404</v>
      </c>
      <c r="E876" s="269" t="s">
        <v>763</v>
      </c>
      <c r="F876" s="485">
        <f>F877</f>
        <v>0</v>
      </c>
      <c r="G876" s="485">
        <f>G877</f>
        <v>0</v>
      </c>
      <c r="H876" s="485">
        <f>H877</f>
        <v>0</v>
      </c>
    </row>
    <row r="877" spans="1:8" ht="19.95" hidden="1" customHeight="1" x14ac:dyDescent="0.25">
      <c r="A877" s="294" t="s">
        <v>764</v>
      </c>
      <c r="B877" s="269" t="s">
        <v>725</v>
      </c>
      <c r="C877" s="269" t="s">
        <v>701</v>
      </c>
      <c r="D877" s="269" t="s">
        <v>404</v>
      </c>
      <c r="E877" s="269" t="s">
        <v>765</v>
      </c>
      <c r="F877" s="485">
        <v>0</v>
      </c>
      <c r="G877" s="485">
        <v>0</v>
      </c>
      <c r="H877" s="485">
        <v>0</v>
      </c>
    </row>
    <row r="878" spans="1:8" ht="19.95" hidden="1" customHeight="1" x14ac:dyDescent="0.25">
      <c r="A878" s="294"/>
      <c r="B878" s="269"/>
      <c r="C878" s="269"/>
      <c r="D878" s="269"/>
      <c r="E878" s="269"/>
      <c r="F878" s="485"/>
      <c r="G878" s="485"/>
      <c r="H878" s="485"/>
    </row>
    <row r="879" spans="1:8" ht="19.95" hidden="1" customHeight="1" x14ac:dyDescent="0.25">
      <c r="A879" s="294"/>
      <c r="B879" s="269"/>
      <c r="C879" s="269"/>
      <c r="D879" s="269"/>
      <c r="E879" s="269"/>
      <c r="F879" s="485"/>
      <c r="G879" s="485"/>
      <c r="H879" s="485"/>
    </row>
    <row r="880" spans="1:8" ht="19.95" hidden="1" customHeight="1" x14ac:dyDescent="0.25">
      <c r="A880" s="294"/>
      <c r="B880" s="269"/>
      <c r="C880" s="269"/>
      <c r="D880" s="269"/>
      <c r="E880" s="269"/>
      <c r="F880" s="485"/>
      <c r="G880" s="485"/>
      <c r="H880" s="485"/>
    </row>
    <row r="881" spans="1:8" ht="19.95" hidden="1" customHeight="1" x14ac:dyDescent="0.25">
      <c r="A881" s="294"/>
      <c r="B881" s="269"/>
      <c r="C881" s="269"/>
      <c r="D881" s="269"/>
      <c r="E881" s="269"/>
      <c r="F881" s="485"/>
      <c r="G881" s="485"/>
      <c r="H881" s="485"/>
    </row>
    <row r="882" spans="1:8" ht="48.6" hidden="1" customHeight="1" x14ac:dyDescent="0.25">
      <c r="A882" s="16" t="s">
        <v>335</v>
      </c>
      <c r="B882" s="287" t="s">
        <v>725</v>
      </c>
      <c r="C882" s="287" t="s">
        <v>701</v>
      </c>
      <c r="D882" s="287" t="s">
        <v>699</v>
      </c>
      <c r="E882" s="287" t="s">
        <v>223</v>
      </c>
      <c r="F882" s="455">
        <f>F883</f>
        <v>0</v>
      </c>
      <c r="G882" s="288">
        <f t="shared" ref="F882:H884" si="194">G883</f>
        <v>0</v>
      </c>
      <c r="H882" s="288">
        <f t="shared" si="194"/>
        <v>0</v>
      </c>
    </row>
    <row r="883" spans="1:8" ht="100.95" hidden="1" customHeight="1" x14ac:dyDescent="0.25">
      <c r="A883" s="261" t="s">
        <v>927</v>
      </c>
      <c r="B883" s="262" t="s">
        <v>725</v>
      </c>
      <c r="C883" s="262" t="s">
        <v>701</v>
      </c>
      <c r="D883" s="262" t="s">
        <v>584</v>
      </c>
      <c r="E883" s="262" t="s">
        <v>223</v>
      </c>
      <c r="F883" s="263">
        <f t="shared" si="194"/>
        <v>0</v>
      </c>
      <c r="G883" s="263">
        <f t="shared" si="194"/>
        <v>0</v>
      </c>
      <c r="H883" s="263">
        <f t="shared" si="194"/>
        <v>0</v>
      </c>
    </row>
    <row r="884" spans="1:8" ht="47.4" hidden="1" customHeight="1" x14ac:dyDescent="0.25">
      <c r="A884" s="278" t="s">
        <v>928</v>
      </c>
      <c r="B884" s="262" t="s">
        <v>725</v>
      </c>
      <c r="C884" s="262" t="s">
        <v>701</v>
      </c>
      <c r="D884" s="262" t="s">
        <v>584</v>
      </c>
      <c r="E884" s="262" t="s">
        <v>763</v>
      </c>
      <c r="F884" s="263">
        <f t="shared" si="194"/>
        <v>0</v>
      </c>
      <c r="G884" s="263">
        <f t="shared" si="194"/>
        <v>0</v>
      </c>
      <c r="H884" s="263">
        <f t="shared" si="194"/>
        <v>0</v>
      </c>
    </row>
    <row r="885" spans="1:8" ht="17.399999999999999" hidden="1" customHeight="1" x14ac:dyDescent="0.25">
      <c r="A885" s="278" t="s">
        <v>764</v>
      </c>
      <c r="B885" s="262" t="s">
        <v>725</v>
      </c>
      <c r="C885" s="262" t="s">
        <v>701</v>
      </c>
      <c r="D885" s="262" t="s">
        <v>584</v>
      </c>
      <c r="E885" s="262" t="s">
        <v>765</v>
      </c>
      <c r="F885" s="263"/>
      <c r="G885" s="263">
        <v>0</v>
      </c>
      <c r="H885" s="263">
        <v>0</v>
      </c>
    </row>
    <row r="886" spans="1:8" ht="49.2" hidden="1" customHeight="1" x14ac:dyDescent="0.25">
      <c r="A886" s="16" t="s">
        <v>929</v>
      </c>
      <c r="B886" s="287" t="s">
        <v>725</v>
      </c>
      <c r="C886" s="287" t="s">
        <v>701</v>
      </c>
      <c r="D886" s="287" t="s">
        <v>699</v>
      </c>
      <c r="E886" s="287" t="s">
        <v>223</v>
      </c>
      <c r="F886" s="288">
        <f>F887+F890</f>
        <v>0</v>
      </c>
      <c r="G886" s="288">
        <f>G887+G890</f>
        <v>0</v>
      </c>
      <c r="H886" s="288">
        <f>H887+H890</f>
        <v>0</v>
      </c>
    </row>
    <row r="887" spans="1:8" ht="97.95" hidden="1" customHeight="1" x14ac:dyDescent="0.25">
      <c r="A887" s="285" t="s">
        <v>930</v>
      </c>
      <c r="B887" s="13" t="s">
        <v>725</v>
      </c>
      <c r="C887" s="13" t="s">
        <v>701</v>
      </c>
      <c r="D887" s="13" t="s">
        <v>483</v>
      </c>
      <c r="E887" s="13" t="s">
        <v>223</v>
      </c>
      <c r="F887" s="265">
        <f t="shared" ref="F887:H888" si="195">F888</f>
        <v>0</v>
      </c>
      <c r="G887" s="265">
        <f t="shared" si="195"/>
        <v>0</v>
      </c>
      <c r="H887" s="265">
        <f t="shared" si="195"/>
        <v>0</v>
      </c>
    </row>
    <row r="888" spans="1:8" ht="31.95" hidden="1" customHeight="1" x14ac:dyDescent="0.25">
      <c r="A888" s="261" t="s">
        <v>709</v>
      </c>
      <c r="B888" s="262" t="s">
        <v>725</v>
      </c>
      <c r="C888" s="262" t="s">
        <v>701</v>
      </c>
      <c r="D888" s="262" t="s">
        <v>483</v>
      </c>
      <c r="E888" s="262" t="s">
        <v>710</v>
      </c>
      <c r="F888" s="263">
        <f t="shared" si="195"/>
        <v>0</v>
      </c>
      <c r="G888" s="263">
        <f t="shared" si="195"/>
        <v>0</v>
      </c>
      <c r="H888" s="263">
        <f t="shared" si="195"/>
        <v>0</v>
      </c>
    </row>
    <row r="889" spans="1:8" ht="49.2" hidden="1" customHeight="1" x14ac:dyDescent="0.25">
      <c r="A889" s="278" t="s">
        <v>711</v>
      </c>
      <c r="B889" s="262" t="s">
        <v>725</v>
      </c>
      <c r="C889" s="262" t="s">
        <v>701</v>
      </c>
      <c r="D889" s="262" t="s">
        <v>483</v>
      </c>
      <c r="E889" s="262" t="s">
        <v>712</v>
      </c>
      <c r="F889" s="263"/>
      <c r="G889" s="263"/>
      <c r="H889" s="263"/>
    </row>
    <row r="890" spans="1:8" ht="65.400000000000006" hidden="1" customHeight="1" x14ac:dyDescent="0.25">
      <c r="A890" s="264" t="s">
        <v>521</v>
      </c>
      <c r="B890" s="13" t="s">
        <v>725</v>
      </c>
      <c r="C890" s="13" t="s">
        <v>701</v>
      </c>
      <c r="D890" s="13" t="s">
        <v>518</v>
      </c>
      <c r="E890" s="13" t="s">
        <v>223</v>
      </c>
      <c r="F890" s="265">
        <f t="shared" ref="F890:H891" si="196">F891</f>
        <v>0</v>
      </c>
      <c r="G890" s="265">
        <f t="shared" si="196"/>
        <v>0</v>
      </c>
      <c r="H890" s="265">
        <f t="shared" si="196"/>
        <v>0</v>
      </c>
    </row>
    <row r="891" spans="1:8" ht="35.4" hidden="1" customHeight="1" x14ac:dyDescent="0.25">
      <c r="A891" s="261" t="s">
        <v>709</v>
      </c>
      <c r="B891" s="262" t="s">
        <v>725</v>
      </c>
      <c r="C891" s="262" t="s">
        <v>701</v>
      </c>
      <c r="D891" s="262" t="s">
        <v>518</v>
      </c>
      <c r="E891" s="262" t="s">
        <v>710</v>
      </c>
      <c r="F891" s="263">
        <f t="shared" si="196"/>
        <v>0</v>
      </c>
      <c r="G891" s="263">
        <f t="shared" si="196"/>
        <v>0</v>
      </c>
      <c r="H891" s="263">
        <f t="shared" si="196"/>
        <v>0</v>
      </c>
    </row>
    <row r="892" spans="1:8" ht="49.2" hidden="1" customHeight="1" x14ac:dyDescent="0.25">
      <c r="A892" s="278" t="s">
        <v>711</v>
      </c>
      <c r="B892" s="262" t="s">
        <v>725</v>
      </c>
      <c r="C892" s="262" t="s">
        <v>701</v>
      </c>
      <c r="D892" s="262" t="s">
        <v>518</v>
      </c>
      <c r="E892" s="262" t="s">
        <v>712</v>
      </c>
      <c r="F892" s="263"/>
      <c r="G892" s="263"/>
      <c r="H892" s="263"/>
    </row>
    <row r="893" spans="1:8" ht="64.95" customHeight="1" x14ac:dyDescent="0.25">
      <c r="A893" s="286" t="s">
        <v>513</v>
      </c>
      <c r="B893" s="287" t="s">
        <v>725</v>
      </c>
      <c r="C893" s="287" t="s">
        <v>701</v>
      </c>
      <c r="D893" s="287" t="s">
        <v>699</v>
      </c>
      <c r="E893" s="287" t="s">
        <v>223</v>
      </c>
      <c r="F893" s="288">
        <f>F894+F897</f>
        <v>500</v>
      </c>
      <c r="G893" s="288">
        <f>G894+G897</f>
        <v>0</v>
      </c>
      <c r="H893" s="288">
        <f>H894+H897</f>
        <v>0</v>
      </c>
    </row>
    <row r="894" spans="1:8" ht="95.4" customHeight="1" x14ac:dyDescent="0.25">
      <c r="A894" s="285" t="s">
        <v>498</v>
      </c>
      <c r="B894" s="13" t="s">
        <v>725</v>
      </c>
      <c r="C894" s="13" t="s">
        <v>701</v>
      </c>
      <c r="D894" s="13" t="s">
        <v>484</v>
      </c>
      <c r="E894" s="13" t="s">
        <v>223</v>
      </c>
      <c r="F894" s="265">
        <f t="shared" ref="F894:H895" si="197">F895</f>
        <v>495</v>
      </c>
      <c r="G894" s="265">
        <f t="shared" si="197"/>
        <v>0</v>
      </c>
      <c r="H894" s="265">
        <f t="shared" si="197"/>
        <v>0</v>
      </c>
    </row>
    <row r="895" spans="1:8" ht="36.6" customHeight="1" x14ac:dyDescent="0.25">
      <c r="A895" s="261" t="s">
        <v>709</v>
      </c>
      <c r="B895" s="262" t="s">
        <v>725</v>
      </c>
      <c r="C895" s="262" t="s">
        <v>701</v>
      </c>
      <c r="D895" s="262" t="s">
        <v>484</v>
      </c>
      <c r="E895" s="262" t="s">
        <v>710</v>
      </c>
      <c r="F895" s="263">
        <f t="shared" si="197"/>
        <v>495</v>
      </c>
      <c r="G895" s="263">
        <f t="shared" si="197"/>
        <v>0</v>
      </c>
      <c r="H895" s="263">
        <f t="shared" si="197"/>
        <v>0</v>
      </c>
    </row>
    <row r="896" spans="1:8" ht="48.6" customHeight="1" x14ac:dyDescent="0.25">
      <c r="A896" s="278" t="s">
        <v>711</v>
      </c>
      <c r="B896" s="262" t="s">
        <v>725</v>
      </c>
      <c r="C896" s="262" t="s">
        <v>701</v>
      </c>
      <c r="D896" s="262" t="s">
        <v>484</v>
      </c>
      <c r="E896" s="262" t="s">
        <v>712</v>
      </c>
      <c r="F896" s="263">
        <f>'5'!D138</f>
        <v>495</v>
      </c>
      <c r="G896" s="263">
        <f>'5'!E138</f>
        <v>0</v>
      </c>
      <c r="H896" s="263">
        <f>'5'!F138</f>
        <v>0</v>
      </c>
    </row>
    <row r="897" spans="1:8" ht="128.4" customHeight="1" x14ac:dyDescent="0.25">
      <c r="A897" s="285" t="s">
        <v>931</v>
      </c>
      <c r="B897" s="13" t="s">
        <v>725</v>
      </c>
      <c r="C897" s="13" t="s">
        <v>701</v>
      </c>
      <c r="D897" s="13" t="s">
        <v>932</v>
      </c>
      <c r="E897" s="13" t="s">
        <v>223</v>
      </c>
      <c r="F897" s="265">
        <f t="shared" ref="F897:H898" si="198">F898</f>
        <v>5</v>
      </c>
      <c r="G897" s="265">
        <f t="shared" si="198"/>
        <v>0</v>
      </c>
      <c r="H897" s="265">
        <f t="shared" si="198"/>
        <v>0</v>
      </c>
    </row>
    <row r="898" spans="1:8" ht="40.200000000000003" customHeight="1" x14ac:dyDescent="0.25">
      <c r="A898" s="261" t="s">
        <v>709</v>
      </c>
      <c r="B898" s="262" t="s">
        <v>725</v>
      </c>
      <c r="C898" s="262" t="s">
        <v>701</v>
      </c>
      <c r="D898" s="262" t="s">
        <v>932</v>
      </c>
      <c r="E898" s="262" t="s">
        <v>710</v>
      </c>
      <c r="F898" s="263">
        <f t="shared" si="198"/>
        <v>5</v>
      </c>
      <c r="G898" s="263">
        <f t="shared" si="198"/>
        <v>0</v>
      </c>
      <c r="H898" s="263">
        <f t="shared" si="198"/>
        <v>0</v>
      </c>
    </row>
    <row r="899" spans="1:8" ht="51" customHeight="1" x14ac:dyDescent="0.25">
      <c r="A899" s="278" t="s">
        <v>711</v>
      </c>
      <c r="B899" s="262" t="s">
        <v>725</v>
      </c>
      <c r="C899" s="262" t="s">
        <v>701</v>
      </c>
      <c r="D899" s="262" t="s">
        <v>932</v>
      </c>
      <c r="E899" s="262" t="s">
        <v>712</v>
      </c>
      <c r="F899" s="485">
        <f>'5'!D139</f>
        <v>5</v>
      </c>
      <c r="G899" s="485">
        <f>'5'!E139</f>
        <v>0</v>
      </c>
      <c r="H899" s="485">
        <f>'5'!F139</f>
        <v>0</v>
      </c>
    </row>
    <row r="900" spans="1:8" ht="33.6" hidden="1" customHeight="1" x14ac:dyDescent="0.25">
      <c r="A900" s="286" t="s">
        <v>519</v>
      </c>
      <c r="B900" s="287" t="s">
        <v>725</v>
      </c>
      <c r="C900" s="287" t="s">
        <v>701</v>
      </c>
      <c r="D900" s="287" t="s">
        <v>699</v>
      </c>
      <c r="E900" s="287" t="s">
        <v>223</v>
      </c>
      <c r="F900" s="288">
        <f>F904</f>
        <v>0</v>
      </c>
      <c r="G900" s="288">
        <f>G904</f>
        <v>0</v>
      </c>
      <c r="H900" s="288">
        <f>H904</f>
        <v>0</v>
      </c>
    </row>
    <row r="901" spans="1:8" ht="48.6" hidden="1" customHeight="1" x14ac:dyDescent="0.25">
      <c r="A901" s="285" t="s">
        <v>933</v>
      </c>
      <c r="B901" s="262" t="s">
        <v>725</v>
      </c>
      <c r="C901" s="262" t="s">
        <v>701</v>
      </c>
      <c r="D901" s="262" t="s">
        <v>934</v>
      </c>
      <c r="E901" s="262" t="s">
        <v>223</v>
      </c>
      <c r="F901" s="263"/>
      <c r="G901" s="263"/>
      <c r="H901" s="263"/>
    </row>
    <row r="902" spans="1:8" ht="33.6" hidden="1" customHeight="1" x14ac:dyDescent="0.25">
      <c r="A902" s="261" t="s">
        <v>709</v>
      </c>
      <c r="B902" s="262" t="s">
        <v>725</v>
      </c>
      <c r="C902" s="262" t="s">
        <v>701</v>
      </c>
      <c r="D902" s="262" t="s">
        <v>934</v>
      </c>
      <c r="E902" s="262" t="s">
        <v>710</v>
      </c>
      <c r="F902" s="263"/>
      <c r="G902" s="263"/>
      <c r="H902" s="263"/>
    </row>
    <row r="903" spans="1:8" ht="33.6" hidden="1" customHeight="1" x14ac:dyDescent="0.25">
      <c r="A903" s="278" t="s">
        <v>711</v>
      </c>
      <c r="B903" s="262" t="s">
        <v>725</v>
      </c>
      <c r="C903" s="262" t="s">
        <v>701</v>
      </c>
      <c r="D903" s="262" t="s">
        <v>934</v>
      </c>
      <c r="E903" s="262" t="s">
        <v>712</v>
      </c>
      <c r="F903" s="263"/>
      <c r="G903" s="263"/>
      <c r="H903" s="263"/>
    </row>
    <row r="904" spans="1:8" ht="78" hidden="1" customHeight="1" x14ac:dyDescent="0.25">
      <c r="A904" s="285" t="s">
        <v>523</v>
      </c>
      <c r="B904" s="13" t="s">
        <v>725</v>
      </c>
      <c r="C904" s="13" t="s">
        <v>701</v>
      </c>
      <c r="D904" s="13" t="s">
        <v>585</v>
      </c>
      <c r="E904" s="13" t="s">
        <v>223</v>
      </c>
      <c r="F904" s="265">
        <f t="shared" ref="F904:H905" si="199">F905</f>
        <v>0</v>
      </c>
      <c r="G904" s="265">
        <f t="shared" si="199"/>
        <v>0</v>
      </c>
      <c r="H904" s="265">
        <f t="shared" si="199"/>
        <v>0</v>
      </c>
    </row>
    <row r="905" spans="1:8" ht="34.950000000000003" hidden="1" customHeight="1" x14ac:dyDescent="0.25">
      <c r="A905" s="261" t="s">
        <v>709</v>
      </c>
      <c r="B905" s="262" t="s">
        <v>725</v>
      </c>
      <c r="C905" s="262" t="s">
        <v>701</v>
      </c>
      <c r="D905" s="262" t="s">
        <v>585</v>
      </c>
      <c r="E905" s="262" t="s">
        <v>710</v>
      </c>
      <c r="F905" s="263">
        <f t="shared" si="199"/>
        <v>0</v>
      </c>
      <c r="G905" s="263">
        <f t="shared" si="199"/>
        <v>0</v>
      </c>
      <c r="H905" s="263">
        <f t="shared" si="199"/>
        <v>0</v>
      </c>
    </row>
    <row r="906" spans="1:8" ht="48" hidden="1" customHeight="1" x14ac:dyDescent="0.25">
      <c r="A906" s="278" t="s">
        <v>711</v>
      </c>
      <c r="B906" s="262" t="s">
        <v>725</v>
      </c>
      <c r="C906" s="262" t="s">
        <v>701</v>
      </c>
      <c r="D906" s="262" t="s">
        <v>585</v>
      </c>
      <c r="E906" s="262" t="s">
        <v>712</v>
      </c>
      <c r="F906" s="485">
        <v>0</v>
      </c>
      <c r="G906" s="485">
        <v>0</v>
      </c>
      <c r="H906" s="485">
        <v>0</v>
      </c>
    </row>
    <row r="907" spans="1:8" ht="48.6" hidden="1" customHeight="1" x14ac:dyDescent="0.25">
      <c r="A907" s="16" t="s">
        <v>389</v>
      </c>
      <c r="B907" s="287" t="s">
        <v>725</v>
      </c>
      <c r="C907" s="287" t="s">
        <v>701</v>
      </c>
      <c r="D907" s="287" t="s">
        <v>71</v>
      </c>
      <c r="E907" s="287" t="s">
        <v>223</v>
      </c>
      <c r="F907" s="288">
        <f>F908+F911</f>
        <v>0</v>
      </c>
      <c r="G907" s="288">
        <f>G908+G911</f>
        <v>0</v>
      </c>
      <c r="H907" s="288">
        <f>H908+H911</f>
        <v>0</v>
      </c>
    </row>
    <row r="908" spans="1:8" ht="85.95" hidden="1" customHeight="1" x14ac:dyDescent="0.25">
      <c r="A908" s="285" t="s">
        <v>935</v>
      </c>
      <c r="B908" s="262" t="s">
        <v>725</v>
      </c>
      <c r="C908" s="262" t="s">
        <v>701</v>
      </c>
      <c r="D908" s="262" t="s">
        <v>391</v>
      </c>
      <c r="E908" s="262" t="s">
        <v>223</v>
      </c>
      <c r="F908" s="263">
        <f t="shared" ref="F908:H909" si="200">F909</f>
        <v>0</v>
      </c>
      <c r="G908" s="263">
        <f t="shared" si="200"/>
        <v>0</v>
      </c>
      <c r="H908" s="263">
        <f t="shared" si="200"/>
        <v>0</v>
      </c>
    </row>
    <row r="909" spans="1:8" ht="45" hidden="1" customHeight="1" x14ac:dyDescent="0.25">
      <c r="A909" s="261" t="s">
        <v>925</v>
      </c>
      <c r="B909" s="262" t="s">
        <v>725</v>
      </c>
      <c r="C909" s="262" t="s">
        <v>701</v>
      </c>
      <c r="D909" s="262" t="s">
        <v>391</v>
      </c>
      <c r="E909" s="262" t="s">
        <v>747</v>
      </c>
      <c r="F909" s="263">
        <f t="shared" si="200"/>
        <v>0</v>
      </c>
      <c r="G909" s="263">
        <f t="shared" si="200"/>
        <v>0</v>
      </c>
      <c r="H909" s="263">
        <f t="shared" si="200"/>
        <v>0</v>
      </c>
    </row>
    <row r="910" spans="1:8" ht="19.2" hidden="1" customHeight="1" x14ac:dyDescent="0.25">
      <c r="A910" s="261" t="s">
        <v>116</v>
      </c>
      <c r="B910" s="262" t="s">
        <v>725</v>
      </c>
      <c r="C910" s="262" t="s">
        <v>701</v>
      </c>
      <c r="D910" s="262" t="s">
        <v>391</v>
      </c>
      <c r="E910" s="262" t="s">
        <v>165</v>
      </c>
      <c r="F910" s="263"/>
      <c r="G910" s="263"/>
      <c r="H910" s="263"/>
    </row>
    <row r="911" spans="1:8" ht="94.2" hidden="1" customHeight="1" x14ac:dyDescent="0.25">
      <c r="A911" s="285" t="s">
        <v>936</v>
      </c>
      <c r="B911" s="262" t="s">
        <v>725</v>
      </c>
      <c r="C911" s="262" t="s">
        <v>701</v>
      </c>
      <c r="D911" s="262" t="s">
        <v>392</v>
      </c>
      <c r="E911" s="262" t="s">
        <v>223</v>
      </c>
      <c r="F911" s="263">
        <f t="shared" ref="F911:H912" si="201">F912</f>
        <v>0</v>
      </c>
      <c r="G911" s="263">
        <f t="shared" si="201"/>
        <v>0</v>
      </c>
      <c r="H911" s="263">
        <f t="shared" si="201"/>
        <v>0</v>
      </c>
    </row>
    <row r="912" spans="1:8" ht="49.2" hidden="1" customHeight="1" x14ac:dyDescent="0.25">
      <c r="A912" s="261" t="s">
        <v>925</v>
      </c>
      <c r="B912" s="262" t="s">
        <v>725</v>
      </c>
      <c r="C912" s="262" t="s">
        <v>701</v>
      </c>
      <c r="D912" s="262" t="s">
        <v>392</v>
      </c>
      <c r="E912" s="262" t="s">
        <v>747</v>
      </c>
      <c r="F912" s="263">
        <f t="shared" si="201"/>
        <v>0</v>
      </c>
      <c r="G912" s="263">
        <f t="shared" si="201"/>
        <v>0</v>
      </c>
      <c r="H912" s="263">
        <f t="shared" si="201"/>
        <v>0</v>
      </c>
    </row>
    <row r="913" spans="1:8" ht="19.2" hidden="1" customHeight="1" x14ac:dyDescent="0.25">
      <c r="A913" s="261" t="s">
        <v>116</v>
      </c>
      <c r="B913" s="262" t="s">
        <v>725</v>
      </c>
      <c r="C913" s="262" t="s">
        <v>701</v>
      </c>
      <c r="D913" s="262" t="s">
        <v>392</v>
      </c>
      <c r="E913" s="262" t="s">
        <v>165</v>
      </c>
      <c r="F913" s="263"/>
      <c r="G913" s="263"/>
      <c r="H913" s="263"/>
    </row>
    <row r="914" spans="1:8" ht="64.95" hidden="1" customHeight="1" x14ac:dyDescent="0.25">
      <c r="A914" s="16" t="s">
        <v>937</v>
      </c>
      <c r="B914" s="287" t="s">
        <v>725</v>
      </c>
      <c r="C914" s="287" t="s">
        <v>701</v>
      </c>
      <c r="D914" s="287" t="s">
        <v>71</v>
      </c>
      <c r="E914" s="287" t="s">
        <v>223</v>
      </c>
      <c r="F914" s="288">
        <f>F915+F918</f>
        <v>0</v>
      </c>
      <c r="G914" s="288">
        <f>G915+G918</f>
        <v>0</v>
      </c>
      <c r="H914" s="288">
        <f>H915+H918</f>
        <v>0</v>
      </c>
    </row>
    <row r="915" spans="1:8" ht="97.2" hidden="1" customHeight="1" x14ac:dyDescent="0.25">
      <c r="A915" s="285" t="s">
        <v>938</v>
      </c>
      <c r="B915" s="13" t="s">
        <v>725</v>
      </c>
      <c r="C915" s="13" t="s">
        <v>701</v>
      </c>
      <c r="D915" s="13" t="s">
        <v>939</v>
      </c>
      <c r="E915" s="13" t="s">
        <v>223</v>
      </c>
      <c r="F915" s="265">
        <f t="shared" ref="F915:H916" si="202">F916</f>
        <v>0</v>
      </c>
      <c r="G915" s="265">
        <f t="shared" si="202"/>
        <v>0</v>
      </c>
      <c r="H915" s="265">
        <f t="shared" si="202"/>
        <v>0</v>
      </c>
    </row>
    <row r="916" spans="1:8" ht="36.6" hidden="1" customHeight="1" x14ac:dyDescent="0.25">
      <c r="A916" s="261" t="s">
        <v>709</v>
      </c>
      <c r="B916" s="262" t="s">
        <v>725</v>
      </c>
      <c r="C916" s="262" t="s">
        <v>701</v>
      </c>
      <c r="D916" s="262" t="s">
        <v>939</v>
      </c>
      <c r="E916" s="262" t="s">
        <v>710</v>
      </c>
      <c r="F916" s="263">
        <f t="shared" si="202"/>
        <v>0</v>
      </c>
      <c r="G916" s="263">
        <f t="shared" si="202"/>
        <v>0</v>
      </c>
      <c r="H916" s="263">
        <f t="shared" si="202"/>
        <v>0</v>
      </c>
    </row>
    <row r="917" spans="1:8" ht="48.6" hidden="1" customHeight="1" x14ac:dyDescent="0.25">
      <c r="A917" s="278" t="s">
        <v>711</v>
      </c>
      <c r="B917" s="262" t="s">
        <v>725</v>
      </c>
      <c r="C917" s="262" t="s">
        <v>701</v>
      </c>
      <c r="D917" s="262" t="s">
        <v>939</v>
      </c>
      <c r="E917" s="262" t="s">
        <v>712</v>
      </c>
      <c r="F917" s="263"/>
      <c r="G917" s="263"/>
      <c r="H917" s="263"/>
    </row>
    <row r="918" spans="1:8" ht="115.2" hidden="1" customHeight="1" x14ac:dyDescent="0.25">
      <c r="A918" s="264" t="s">
        <v>940</v>
      </c>
      <c r="B918" s="13" t="s">
        <v>725</v>
      </c>
      <c r="C918" s="13" t="s">
        <v>701</v>
      </c>
      <c r="D918" s="13" t="s">
        <v>941</v>
      </c>
      <c r="E918" s="13" t="s">
        <v>223</v>
      </c>
      <c r="F918" s="265">
        <f t="shared" ref="F918:H919" si="203">F919</f>
        <v>0</v>
      </c>
      <c r="G918" s="265">
        <f t="shared" si="203"/>
        <v>0</v>
      </c>
      <c r="H918" s="265">
        <f t="shared" si="203"/>
        <v>0</v>
      </c>
    </row>
    <row r="919" spans="1:8" ht="36" hidden="1" customHeight="1" x14ac:dyDescent="0.25">
      <c r="A919" s="261" t="s">
        <v>709</v>
      </c>
      <c r="B919" s="262" t="s">
        <v>725</v>
      </c>
      <c r="C919" s="262" t="s">
        <v>701</v>
      </c>
      <c r="D919" s="262" t="s">
        <v>941</v>
      </c>
      <c r="E919" s="262" t="s">
        <v>710</v>
      </c>
      <c r="F919" s="263">
        <f t="shared" si="203"/>
        <v>0</v>
      </c>
      <c r="G919" s="263">
        <f t="shared" si="203"/>
        <v>0</v>
      </c>
      <c r="H919" s="263">
        <f t="shared" si="203"/>
        <v>0</v>
      </c>
    </row>
    <row r="920" spans="1:8" ht="47.7" hidden="1" customHeight="1" x14ac:dyDescent="0.25">
      <c r="A920" s="278" t="s">
        <v>711</v>
      </c>
      <c r="B920" s="262" t="s">
        <v>725</v>
      </c>
      <c r="C920" s="262" t="s">
        <v>701</v>
      </c>
      <c r="D920" s="262" t="s">
        <v>941</v>
      </c>
      <c r="E920" s="262" t="s">
        <v>712</v>
      </c>
      <c r="F920" s="263"/>
      <c r="G920" s="263"/>
      <c r="H920" s="263"/>
    </row>
    <row r="921" spans="1:8" s="283" customFormat="1" ht="49.5" customHeight="1" x14ac:dyDescent="0.3">
      <c r="A921" s="252" t="s">
        <v>942</v>
      </c>
      <c r="B921" s="253" t="s">
        <v>736</v>
      </c>
      <c r="C921" s="253" t="s">
        <v>109</v>
      </c>
      <c r="D921" s="253" t="s">
        <v>699</v>
      </c>
      <c r="E921" s="253" t="s">
        <v>223</v>
      </c>
      <c r="F921" s="254">
        <f t="shared" ref="F921:H931" si="204">F922</f>
        <v>10</v>
      </c>
      <c r="G921" s="254">
        <f t="shared" si="204"/>
        <v>110</v>
      </c>
      <c r="H921" s="254">
        <f t="shared" si="204"/>
        <v>110</v>
      </c>
    </row>
    <row r="922" spans="1:8" ht="33.75" customHeight="1" x14ac:dyDescent="0.25">
      <c r="A922" s="261" t="s">
        <v>943</v>
      </c>
      <c r="B922" s="262" t="s">
        <v>736</v>
      </c>
      <c r="C922" s="262" t="s">
        <v>108</v>
      </c>
      <c r="D922" s="262" t="s">
        <v>699</v>
      </c>
      <c r="E922" s="262" t="s">
        <v>223</v>
      </c>
      <c r="F922" s="263">
        <f>F923+F928</f>
        <v>10</v>
      </c>
      <c r="G922" s="263">
        <f>G923+G928</f>
        <v>110</v>
      </c>
      <c r="H922" s="263">
        <f>H923+H928</f>
        <v>110</v>
      </c>
    </row>
    <row r="923" spans="1:8" ht="96.75" customHeight="1" x14ac:dyDescent="0.25">
      <c r="A923" s="264" t="s">
        <v>488</v>
      </c>
      <c r="B923" s="13" t="s">
        <v>736</v>
      </c>
      <c r="C923" s="13" t="s">
        <v>108</v>
      </c>
      <c r="D923" s="13" t="s">
        <v>287</v>
      </c>
      <c r="E923" s="13" t="s">
        <v>223</v>
      </c>
      <c r="F923" s="265">
        <f>F924</f>
        <v>10</v>
      </c>
      <c r="G923" s="265">
        <f t="shared" si="204"/>
        <v>0</v>
      </c>
      <c r="H923" s="265">
        <f t="shared" si="204"/>
        <v>0</v>
      </c>
    </row>
    <row r="924" spans="1:8" ht="33" customHeight="1" x14ac:dyDescent="0.25">
      <c r="A924" s="261" t="s">
        <v>944</v>
      </c>
      <c r="B924" s="262" t="s">
        <v>736</v>
      </c>
      <c r="C924" s="262" t="s">
        <v>108</v>
      </c>
      <c r="D924" s="262" t="s">
        <v>283</v>
      </c>
      <c r="E924" s="262" t="s">
        <v>223</v>
      </c>
      <c r="F924" s="263">
        <f t="shared" si="204"/>
        <v>10</v>
      </c>
      <c r="G924" s="263">
        <f t="shared" si="204"/>
        <v>0</v>
      </c>
      <c r="H924" s="263">
        <f t="shared" si="204"/>
        <v>0</v>
      </c>
    </row>
    <row r="925" spans="1:8" ht="23.4" customHeight="1" x14ac:dyDescent="0.25">
      <c r="A925" s="261" t="s">
        <v>945</v>
      </c>
      <c r="B925" s="262" t="s">
        <v>736</v>
      </c>
      <c r="C925" s="262" t="s">
        <v>108</v>
      </c>
      <c r="D925" s="262" t="s">
        <v>283</v>
      </c>
      <c r="E925" s="262" t="s">
        <v>223</v>
      </c>
      <c r="F925" s="263">
        <f t="shared" si="204"/>
        <v>10</v>
      </c>
      <c r="G925" s="263">
        <f t="shared" si="204"/>
        <v>0</v>
      </c>
      <c r="H925" s="263">
        <f t="shared" si="204"/>
        <v>0</v>
      </c>
    </row>
    <row r="926" spans="1:8" ht="33" customHeight="1" x14ac:dyDescent="0.25">
      <c r="A926" s="261" t="s">
        <v>123</v>
      </c>
      <c r="B926" s="262" t="s">
        <v>736</v>
      </c>
      <c r="C926" s="262" t="s">
        <v>108</v>
      </c>
      <c r="D926" s="262" t="s">
        <v>283</v>
      </c>
      <c r="E926" s="262" t="s">
        <v>946</v>
      </c>
      <c r="F926" s="263">
        <f t="shared" si="204"/>
        <v>10</v>
      </c>
      <c r="G926" s="263">
        <f t="shared" si="204"/>
        <v>0</v>
      </c>
      <c r="H926" s="263">
        <f t="shared" si="204"/>
        <v>0</v>
      </c>
    </row>
    <row r="927" spans="1:8" ht="17.25" customHeight="1" x14ac:dyDescent="0.25">
      <c r="A927" s="261" t="s">
        <v>130</v>
      </c>
      <c r="B927" s="262" t="s">
        <v>736</v>
      </c>
      <c r="C927" s="262" t="s">
        <v>108</v>
      </c>
      <c r="D927" s="262" t="s">
        <v>283</v>
      </c>
      <c r="E927" s="262" t="s">
        <v>947</v>
      </c>
      <c r="F927" s="542">
        <f>110-100</f>
        <v>10</v>
      </c>
      <c r="G927" s="263">
        <v>0</v>
      </c>
      <c r="H927" s="263">
        <v>0</v>
      </c>
    </row>
    <row r="928" spans="1:8" ht="21.6" customHeight="1" x14ac:dyDescent="0.25">
      <c r="A928" s="17" t="s">
        <v>827</v>
      </c>
      <c r="B928" s="272" t="s">
        <v>736</v>
      </c>
      <c r="C928" s="272" t="s">
        <v>108</v>
      </c>
      <c r="D928" s="272" t="s">
        <v>6</v>
      </c>
      <c r="E928" s="272" t="s">
        <v>223</v>
      </c>
      <c r="F928" s="273">
        <f t="shared" si="204"/>
        <v>0</v>
      </c>
      <c r="G928" s="273">
        <f t="shared" si="204"/>
        <v>110</v>
      </c>
      <c r="H928" s="273">
        <f t="shared" si="204"/>
        <v>110</v>
      </c>
    </row>
    <row r="929" spans="1:8" ht="34.950000000000003" customHeight="1" x14ac:dyDescent="0.25">
      <c r="A929" s="261" t="s">
        <v>944</v>
      </c>
      <c r="B929" s="262" t="s">
        <v>736</v>
      </c>
      <c r="C929" s="262" t="s">
        <v>108</v>
      </c>
      <c r="D929" s="262" t="s">
        <v>568</v>
      </c>
      <c r="E929" s="262" t="s">
        <v>223</v>
      </c>
      <c r="F929" s="263">
        <f t="shared" si="204"/>
        <v>0</v>
      </c>
      <c r="G929" s="263">
        <f t="shared" si="204"/>
        <v>110</v>
      </c>
      <c r="H929" s="263">
        <f t="shared" si="204"/>
        <v>110</v>
      </c>
    </row>
    <row r="930" spans="1:8" ht="30" customHeight="1" x14ac:dyDescent="0.25">
      <c r="A930" s="261" t="s">
        <v>945</v>
      </c>
      <c r="B930" s="262" t="s">
        <v>736</v>
      </c>
      <c r="C930" s="262" t="s">
        <v>108</v>
      </c>
      <c r="D930" s="262" t="s">
        <v>568</v>
      </c>
      <c r="E930" s="262" t="s">
        <v>223</v>
      </c>
      <c r="F930" s="263">
        <f t="shared" si="204"/>
        <v>0</v>
      </c>
      <c r="G930" s="263">
        <f t="shared" si="204"/>
        <v>110</v>
      </c>
      <c r="H930" s="263">
        <f t="shared" si="204"/>
        <v>110</v>
      </c>
    </row>
    <row r="931" spans="1:8" ht="33.75" customHeight="1" x14ac:dyDescent="0.25">
      <c r="A931" s="261" t="s">
        <v>123</v>
      </c>
      <c r="B931" s="262" t="s">
        <v>736</v>
      </c>
      <c r="C931" s="262" t="s">
        <v>108</v>
      </c>
      <c r="D931" s="262" t="s">
        <v>568</v>
      </c>
      <c r="E931" s="262" t="s">
        <v>946</v>
      </c>
      <c r="F931" s="263">
        <f t="shared" si="204"/>
        <v>0</v>
      </c>
      <c r="G931" s="263">
        <f t="shared" si="204"/>
        <v>110</v>
      </c>
      <c r="H931" s="263">
        <f t="shared" si="204"/>
        <v>110</v>
      </c>
    </row>
    <row r="932" spans="1:8" ht="30" customHeight="1" x14ac:dyDescent="0.25">
      <c r="A932" s="261" t="s">
        <v>130</v>
      </c>
      <c r="B932" s="262" t="s">
        <v>736</v>
      </c>
      <c r="C932" s="262" t="s">
        <v>108</v>
      </c>
      <c r="D932" s="262" t="s">
        <v>568</v>
      </c>
      <c r="E932" s="262" t="s">
        <v>947</v>
      </c>
      <c r="F932" s="263">
        <v>0</v>
      </c>
      <c r="G932" s="263">
        <v>110</v>
      </c>
      <c r="H932" s="263">
        <v>110</v>
      </c>
    </row>
    <row r="933" spans="1:8" s="283" customFormat="1" ht="79.2" customHeight="1" x14ac:dyDescent="0.3">
      <c r="A933" s="252" t="s">
        <v>948</v>
      </c>
      <c r="B933" s="253" t="s">
        <v>949</v>
      </c>
      <c r="C933" s="253" t="s">
        <v>109</v>
      </c>
      <c r="D933" s="253" t="s">
        <v>699</v>
      </c>
      <c r="E933" s="253" t="s">
        <v>223</v>
      </c>
      <c r="F933" s="254">
        <f>F934+F952</f>
        <v>20395.688610000001</v>
      </c>
      <c r="G933" s="254">
        <f>G934+G952</f>
        <v>11791.041999999999</v>
      </c>
      <c r="H933" s="254">
        <f>H934+H952</f>
        <v>11741.041999999999</v>
      </c>
    </row>
    <row r="934" spans="1:8" s="283" customFormat="1" ht="79.5" customHeight="1" x14ac:dyDescent="0.3">
      <c r="A934" s="17" t="s">
        <v>488</v>
      </c>
      <c r="B934" s="272" t="s">
        <v>949</v>
      </c>
      <c r="C934" s="272" t="s">
        <v>109</v>
      </c>
      <c r="D934" s="272" t="s">
        <v>287</v>
      </c>
      <c r="E934" s="272" t="s">
        <v>223</v>
      </c>
      <c r="F934" s="273">
        <f>F935+F941+F947+F950+F951</f>
        <v>20395.688610000001</v>
      </c>
      <c r="G934" s="273">
        <f>G935+G941+G947</f>
        <v>0</v>
      </c>
      <c r="H934" s="273">
        <f>H935+H941+H947</f>
        <v>0</v>
      </c>
    </row>
    <row r="935" spans="1:8" ht="48.75" customHeight="1" x14ac:dyDescent="0.25">
      <c r="A935" s="256" t="s">
        <v>950</v>
      </c>
      <c r="B935" s="257" t="s">
        <v>949</v>
      </c>
      <c r="C935" s="257" t="s">
        <v>108</v>
      </c>
      <c r="D935" s="257" t="s">
        <v>287</v>
      </c>
      <c r="E935" s="257" t="s">
        <v>223</v>
      </c>
      <c r="F935" s="258">
        <f>F936</f>
        <v>11041.041999999999</v>
      </c>
      <c r="G935" s="258">
        <f t="shared" ref="G935:H937" si="205">G936</f>
        <v>0</v>
      </c>
      <c r="H935" s="258">
        <f t="shared" si="205"/>
        <v>0</v>
      </c>
    </row>
    <row r="936" spans="1:8" ht="50.25" customHeight="1" x14ac:dyDescent="0.25">
      <c r="A936" s="264" t="s">
        <v>951</v>
      </c>
      <c r="B936" s="13" t="s">
        <v>949</v>
      </c>
      <c r="C936" s="13" t="s">
        <v>108</v>
      </c>
      <c r="D936" s="13" t="s">
        <v>280</v>
      </c>
      <c r="E936" s="13" t="s">
        <v>223</v>
      </c>
      <c r="F936" s="265">
        <f>F937</f>
        <v>11041.041999999999</v>
      </c>
      <c r="G936" s="265">
        <f t="shared" si="205"/>
        <v>0</v>
      </c>
      <c r="H936" s="265">
        <f t="shared" si="205"/>
        <v>0</v>
      </c>
    </row>
    <row r="937" spans="1:8" ht="18.75" customHeight="1" x14ac:dyDescent="0.25">
      <c r="A937" s="261" t="s">
        <v>776</v>
      </c>
      <c r="B937" s="262" t="s">
        <v>949</v>
      </c>
      <c r="C937" s="262" t="s">
        <v>108</v>
      </c>
      <c r="D937" s="262" t="s">
        <v>280</v>
      </c>
      <c r="E937" s="262" t="s">
        <v>223</v>
      </c>
      <c r="F937" s="263">
        <f>F938</f>
        <v>11041.041999999999</v>
      </c>
      <c r="G937" s="263">
        <f t="shared" si="205"/>
        <v>0</v>
      </c>
      <c r="H937" s="263">
        <f t="shared" si="205"/>
        <v>0</v>
      </c>
    </row>
    <row r="938" spans="1:8" s="266" customFormat="1" ht="96.6" customHeight="1" x14ac:dyDescent="0.3">
      <c r="A938" s="264" t="s">
        <v>198</v>
      </c>
      <c r="B938" s="13" t="s">
        <v>949</v>
      </c>
      <c r="C938" s="13" t="s">
        <v>108</v>
      </c>
      <c r="D938" s="13" t="s">
        <v>280</v>
      </c>
      <c r="E938" s="13" t="s">
        <v>223</v>
      </c>
      <c r="F938" s="265">
        <f>F939</f>
        <v>11041.041999999999</v>
      </c>
      <c r="G938" s="265">
        <f>G939</f>
        <v>0</v>
      </c>
      <c r="H938" s="265">
        <f>H939</f>
        <v>0</v>
      </c>
    </row>
    <row r="939" spans="1:8" ht="18" customHeight="1" x14ac:dyDescent="0.25">
      <c r="A939" s="261" t="s">
        <v>952</v>
      </c>
      <c r="B939" s="262" t="s">
        <v>949</v>
      </c>
      <c r="C939" s="262" t="s">
        <v>108</v>
      </c>
      <c r="D939" s="262" t="s">
        <v>280</v>
      </c>
      <c r="E939" s="262" t="s">
        <v>953</v>
      </c>
      <c r="F939" s="263">
        <f>'5'!D218</f>
        <v>11041.041999999999</v>
      </c>
      <c r="G939" s="263">
        <f>'5'!E218</f>
        <v>0</v>
      </c>
      <c r="H939" s="263">
        <f>'5'!F218</f>
        <v>0</v>
      </c>
    </row>
    <row r="940" spans="1:8" ht="51" customHeight="1" x14ac:dyDescent="0.25">
      <c r="A940" s="264" t="s">
        <v>186</v>
      </c>
      <c r="B940" s="13" t="s">
        <v>949</v>
      </c>
      <c r="C940" s="13" t="s">
        <v>108</v>
      </c>
      <c r="D940" s="13" t="s">
        <v>281</v>
      </c>
      <c r="E940" s="13" t="s">
        <v>223</v>
      </c>
      <c r="F940" s="265">
        <f>F941</f>
        <v>7883.3519999999999</v>
      </c>
      <c r="G940" s="265">
        <f>G941</f>
        <v>0</v>
      </c>
      <c r="H940" s="265">
        <f>H941</f>
        <v>0</v>
      </c>
    </row>
    <row r="941" spans="1:8" ht="16.5" customHeight="1" x14ac:dyDescent="0.25">
      <c r="A941" s="261" t="s">
        <v>952</v>
      </c>
      <c r="B941" s="262" t="s">
        <v>949</v>
      </c>
      <c r="C941" s="262" t="s">
        <v>108</v>
      </c>
      <c r="D941" s="262" t="s">
        <v>281</v>
      </c>
      <c r="E941" s="262" t="s">
        <v>953</v>
      </c>
      <c r="F941" s="263">
        <f>'5'!D219</f>
        <v>7883.3519999999999</v>
      </c>
      <c r="G941" s="263">
        <f>'5'!E219</f>
        <v>0</v>
      </c>
      <c r="H941" s="263">
        <f>'5'!F219</f>
        <v>0</v>
      </c>
    </row>
    <row r="942" spans="1:8" ht="48" hidden="1" customHeight="1" x14ac:dyDescent="0.25">
      <c r="A942" s="261" t="s">
        <v>186</v>
      </c>
      <c r="B942" s="262" t="s">
        <v>949</v>
      </c>
      <c r="C942" s="262" t="s">
        <v>108</v>
      </c>
      <c r="D942" s="262" t="s">
        <v>12</v>
      </c>
      <c r="E942" s="262" t="s">
        <v>223</v>
      </c>
      <c r="F942" s="263">
        <f>F943</f>
        <v>0</v>
      </c>
      <c r="G942" s="263">
        <f>G943</f>
        <v>0</v>
      </c>
      <c r="H942" s="263">
        <f>H943</f>
        <v>0</v>
      </c>
    </row>
    <row r="943" spans="1:8" ht="17.25" hidden="1" customHeight="1" x14ac:dyDescent="0.25">
      <c r="A943" s="261" t="s">
        <v>753</v>
      </c>
      <c r="B943" s="262" t="s">
        <v>949</v>
      </c>
      <c r="C943" s="262" t="s">
        <v>108</v>
      </c>
      <c r="D943" s="262" t="s">
        <v>12</v>
      </c>
      <c r="E943" s="262" t="s">
        <v>953</v>
      </c>
      <c r="F943" s="263"/>
      <c r="G943" s="263"/>
      <c r="H943" s="263"/>
    </row>
    <row r="944" spans="1:8" ht="33" customHeight="1" x14ac:dyDescent="0.25">
      <c r="A944" s="256" t="s">
        <v>954</v>
      </c>
      <c r="B944" s="257" t="s">
        <v>949</v>
      </c>
      <c r="C944" s="257" t="s">
        <v>111</v>
      </c>
      <c r="D944" s="257" t="s">
        <v>287</v>
      </c>
      <c r="E944" s="257" t="s">
        <v>223</v>
      </c>
      <c r="F944" s="258">
        <f>F945</f>
        <v>1471.2946099999999</v>
      </c>
      <c r="G944" s="258">
        <f t="shared" ref="G944:H944" si="206">G945</f>
        <v>0</v>
      </c>
      <c r="H944" s="258">
        <f t="shared" si="206"/>
        <v>0</v>
      </c>
    </row>
    <row r="945" spans="1:8" ht="33" customHeight="1" x14ac:dyDescent="0.25">
      <c r="A945" s="261" t="s">
        <v>248</v>
      </c>
      <c r="B945" s="262" t="s">
        <v>949</v>
      </c>
      <c r="C945" s="262" t="s">
        <v>111</v>
      </c>
      <c r="D945" s="262" t="s">
        <v>287</v>
      </c>
      <c r="E945" s="262" t="s">
        <v>223</v>
      </c>
      <c r="F945" s="263">
        <f>F946</f>
        <v>1471.2946099999999</v>
      </c>
      <c r="G945" s="263">
        <f t="shared" ref="G945:H946" si="207">G946</f>
        <v>0</v>
      </c>
      <c r="H945" s="263">
        <f t="shared" si="207"/>
        <v>0</v>
      </c>
    </row>
    <row r="946" spans="1:8" ht="18.75" customHeight="1" x14ac:dyDescent="0.25">
      <c r="A946" s="261" t="s">
        <v>776</v>
      </c>
      <c r="B946" s="262" t="s">
        <v>949</v>
      </c>
      <c r="C946" s="262" t="s">
        <v>111</v>
      </c>
      <c r="D946" s="262" t="s">
        <v>287</v>
      </c>
      <c r="E946" s="262" t="s">
        <v>777</v>
      </c>
      <c r="F946" s="542">
        <f>F947</f>
        <v>1471.2946099999999</v>
      </c>
      <c r="G946" s="263">
        <f t="shared" si="207"/>
        <v>0</v>
      </c>
      <c r="H946" s="263">
        <f t="shared" si="207"/>
        <v>0</v>
      </c>
    </row>
    <row r="947" spans="1:8" ht="17.25" customHeight="1" x14ac:dyDescent="0.25">
      <c r="A947" s="261" t="s">
        <v>175</v>
      </c>
      <c r="B947" s="262" t="s">
        <v>949</v>
      </c>
      <c r="C947" s="262" t="s">
        <v>111</v>
      </c>
      <c r="D947" s="262" t="s">
        <v>282</v>
      </c>
      <c r="E947" s="262" t="s">
        <v>794</v>
      </c>
      <c r="F947" s="542">
        <f>'5'!D220+'5'!D222</f>
        <v>1471.2946099999999</v>
      </c>
      <c r="G947" s="485">
        <f>'5'!E220+'5'!E222</f>
        <v>0</v>
      </c>
      <c r="H947" s="485">
        <f>'5'!F220+'5'!F222</f>
        <v>0</v>
      </c>
    </row>
    <row r="948" spans="1:8" ht="32.25" hidden="1" customHeight="1" x14ac:dyDescent="0.25">
      <c r="A948" s="261" t="s">
        <v>954</v>
      </c>
      <c r="B948" s="262" t="s">
        <v>949</v>
      </c>
      <c r="C948" s="262" t="s">
        <v>111</v>
      </c>
      <c r="D948" s="262" t="s">
        <v>282</v>
      </c>
      <c r="E948" s="262" t="s">
        <v>794</v>
      </c>
      <c r="F948" s="542">
        <f>F949</f>
        <v>0</v>
      </c>
      <c r="G948" s="263">
        <f>G949</f>
        <v>0</v>
      </c>
      <c r="H948" s="263">
        <f>H949</f>
        <v>0</v>
      </c>
    </row>
    <row r="949" spans="1:8" ht="24.75" hidden="1" customHeight="1" x14ac:dyDescent="0.25">
      <c r="A949" s="261" t="s">
        <v>776</v>
      </c>
      <c r="B949" s="262" t="s">
        <v>949</v>
      </c>
      <c r="C949" s="262" t="s">
        <v>111</v>
      </c>
      <c r="D949" s="262" t="s">
        <v>282</v>
      </c>
      <c r="E949" s="262" t="s">
        <v>794</v>
      </c>
      <c r="F949" s="542"/>
      <c r="G949" s="263"/>
      <c r="H949" s="263"/>
    </row>
    <row r="950" spans="1:8" ht="147.75" hidden="1" customHeight="1" x14ac:dyDescent="0.25">
      <c r="A950" s="261" t="s">
        <v>272</v>
      </c>
      <c r="B950" s="262" t="s">
        <v>949</v>
      </c>
      <c r="C950" s="262" t="s">
        <v>111</v>
      </c>
      <c r="D950" s="262" t="s">
        <v>282</v>
      </c>
      <c r="E950" s="262" t="s">
        <v>794</v>
      </c>
      <c r="F950" s="542"/>
      <c r="G950" s="263"/>
      <c r="H950" s="263"/>
    </row>
    <row r="951" spans="1:8" ht="82.95" hidden="1" customHeight="1" x14ac:dyDescent="0.25">
      <c r="A951" s="261" t="s">
        <v>955</v>
      </c>
      <c r="B951" s="262" t="s">
        <v>949</v>
      </c>
      <c r="C951" s="262" t="s">
        <v>111</v>
      </c>
      <c r="D951" s="262" t="s">
        <v>956</v>
      </c>
      <c r="E951" s="262" t="s">
        <v>794</v>
      </c>
      <c r="F951" s="542"/>
      <c r="G951" s="263"/>
      <c r="H951" s="263"/>
    </row>
    <row r="952" spans="1:8" ht="24.6" customHeight="1" x14ac:dyDescent="0.25">
      <c r="A952" s="17" t="s">
        <v>827</v>
      </c>
      <c r="B952" s="272" t="s">
        <v>949</v>
      </c>
      <c r="C952" s="272" t="s">
        <v>109</v>
      </c>
      <c r="D952" s="272" t="s">
        <v>6</v>
      </c>
      <c r="E952" s="272" t="s">
        <v>223</v>
      </c>
      <c r="F952" s="296">
        <f>F953+F955+F957</f>
        <v>0</v>
      </c>
      <c r="G952" s="273">
        <f>G953+G955+G957</f>
        <v>11791.041999999999</v>
      </c>
      <c r="H952" s="273">
        <f>H953+H955+H957</f>
        <v>11741.041999999999</v>
      </c>
    </row>
    <row r="953" spans="1:8" ht="97.95" customHeight="1" x14ac:dyDescent="0.25">
      <c r="A953" s="261" t="s">
        <v>198</v>
      </c>
      <c r="B953" s="262" t="s">
        <v>949</v>
      </c>
      <c r="C953" s="262" t="s">
        <v>108</v>
      </c>
      <c r="D953" s="262" t="s">
        <v>263</v>
      </c>
      <c r="E953" s="262" t="s">
        <v>777</v>
      </c>
      <c r="F953" s="542">
        <f>F954</f>
        <v>0</v>
      </c>
      <c r="G953" s="263">
        <f>G954</f>
        <v>11041.041999999999</v>
      </c>
      <c r="H953" s="263">
        <f>H954</f>
        <v>11041.041999999999</v>
      </c>
    </row>
    <row r="954" spans="1:8" ht="20.25" customHeight="1" x14ac:dyDescent="0.25">
      <c r="A954" s="261" t="s">
        <v>952</v>
      </c>
      <c r="B954" s="262" t="s">
        <v>949</v>
      </c>
      <c r="C954" s="262" t="s">
        <v>108</v>
      </c>
      <c r="D954" s="262" t="s">
        <v>263</v>
      </c>
      <c r="E954" s="262" t="s">
        <v>953</v>
      </c>
      <c r="F954" s="263">
        <v>0</v>
      </c>
      <c r="G954" s="25">
        <f>'5'!E322</f>
        <v>11041.041999999999</v>
      </c>
      <c r="H954" s="25">
        <f>'5'!F322</f>
        <v>11041.041999999999</v>
      </c>
    </row>
    <row r="955" spans="1:8" ht="53.4" customHeight="1" x14ac:dyDescent="0.25">
      <c r="A955" s="261" t="s">
        <v>186</v>
      </c>
      <c r="B955" s="262" t="s">
        <v>949</v>
      </c>
      <c r="C955" s="262" t="s">
        <v>108</v>
      </c>
      <c r="D955" s="262" t="s">
        <v>569</v>
      </c>
      <c r="E955" s="262" t="s">
        <v>777</v>
      </c>
      <c r="F955" s="263">
        <f>F956</f>
        <v>0</v>
      </c>
      <c r="G955" s="263">
        <f>G956</f>
        <v>650</v>
      </c>
      <c r="H955" s="263">
        <f>H956</f>
        <v>600</v>
      </c>
    </row>
    <row r="956" spans="1:8" ht="20.25" customHeight="1" x14ac:dyDescent="0.25">
      <c r="A956" s="261" t="s">
        <v>952</v>
      </c>
      <c r="B956" s="262" t="s">
        <v>949</v>
      </c>
      <c r="C956" s="262" t="s">
        <v>108</v>
      </c>
      <c r="D956" s="262" t="s">
        <v>569</v>
      </c>
      <c r="E956" s="262" t="s">
        <v>953</v>
      </c>
      <c r="F956" s="263">
        <v>0</v>
      </c>
      <c r="G956" s="263">
        <f>'5'!E323</f>
        <v>650</v>
      </c>
      <c r="H956" s="263">
        <f>'5'!F323</f>
        <v>600</v>
      </c>
    </row>
    <row r="957" spans="1:8" ht="33" customHeight="1" x14ac:dyDescent="0.25">
      <c r="A957" s="261" t="s">
        <v>954</v>
      </c>
      <c r="B957" s="262" t="s">
        <v>949</v>
      </c>
      <c r="C957" s="262" t="s">
        <v>111</v>
      </c>
      <c r="D957" s="262" t="s">
        <v>570</v>
      </c>
      <c r="E957" s="262" t="s">
        <v>777</v>
      </c>
      <c r="F957" s="263">
        <f>F958</f>
        <v>0</v>
      </c>
      <c r="G957" s="263">
        <f>G958</f>
        <v>100</v>
      </c>
      <c r="H957" s="263">
        <f>H958</f>
        <v>100</v>
      </c>
    </row>
    <row r="958" spans="1:8" ht="20.25" customHeight="1" x14ac:dyDescent="0.25">
      <c r="A958" s="261" t="s">
        <v>175</v>
      </c>
      <c r="B958" s="262" t="s">
        <v>949</v>
      </c>
      <c r="C958" s="262" t="s">
        <v>111</v>
      </c>
      <c r="D958" s="262" t="s">
        <v>570</v>
      </c>
      <c r="E958" s="262" t="s">
        <v>794</v>
      </c>
      <c r="F958" s="263">
        <v>0</v>
      </c>
      <c r="G958" s="263">
        <f>'5'!E324</f>
        <v>100</v>
      </c>
      <c r="H958" s="263">
        <f>'5'!F324</f>
        <v>100</v>
      </c>
    </row>
    <row r="959" spans="1:8" s="283" customFormat="1" ht="20.25" customHeight="1" x14ac:dyDescent="0.3">
      <c r="A959" s="275" t="s">
        <v>565</v>
      </c>
      <c r="B959" s="257"/>
      <c r="C959" s="257"/>
      <c r="D959" s="257"/>
      <c r="E959" s="257"/>
      <c r="F959" s="258">
        <v>0</v>
      </c>
      <c r="G959" s="333">
        <f>'5'!E325</f>
        <v>7492.4134500000018</v>
      </c>
      <c r="H959" s="333">
        <f>'5'!F325</f>
        <v>14801.776900000001</v>
      </c>
    </row>
    <row r="960" spans="1:8" ht="18" customHeight="1" x14ac:dyDescent="0.25">
      <c r="A960" s="16" t="s">
        <v>132</v>
      </c>
      <c r="B960" s="483"/>
      <c r="C960" s="483"/>
      <c r="D960" s="483"/>
      <c r="E960" s="483"/>
      <c r="F960" s="288">
        <f>F13+F203+F209+F228+F236+F372+F316+F379+F653+F850+F921+F933+F759+F754+F959</f>
        <v>957216.91412999993</v>
      </c>
      <c r="G960" s="288">
        <f>G13+G203+G209+G228+G236+G372+G316+G379+G653+G850+G921+G933+G759+G754+G959</f>
        <v>757132.78599999996</v>
      </c>
      <c r="H960" s="288">
        <f>H13+H203+H209+H228+H236+H372+H316+H379+H653+H850+H921+H933+H759+H754+H959</f>
        <v>769356.98444000015</v>
      </c>
    </row>
    <row r="961" spans="1:14" ht="15" x14ac:dyDescent="0.25">
      <c r="A961" s="334"/>
      <c r="B961" s="334"/>
      <c r="C961" s="335"/>
      <c r="D961" s="336"/>
      <c r="E961" s="335"/>
      <c r="F961" s="522">
        <v>957216.91413000005</v>
      </c>
      <c r="G961" s="61">
        <f>G966-G960</f>
        <v>0</v>
      </c>
      <c r="H961" s="61">
        <f>H966-H960</f>
        <v>0</v>
      </c>
    </row>
    <row r="962" spans="1:14" x14ac:dyDescent="0.3">
      <c r="D962" s="337" t="s">
        <v>442</v>
      </c>
      <c r="E962" s="338"/>
      <c r="F962" s="37">
        <f>F961-F960</f>
        <v>0</v>
      </c>
      <c r="G962" s="60">
        <f>G960+G961</f>
        <v>757132.78599999996</v>
      </c>
      <c r="H962" s="60">
        <f>H960+H961</f>
        <v>769356.98444000015</v>
      </c>
    </row>
    <row r="963" spans="1:14" x14ac:dyDescent="0.3">
      <c r="D963" s="339" t="s">
        <v>957</v>
      </c>
      <c r="E963" s="340"/>
      <c r="F963" s="61"/>
      <c r="G963" s="50"/>
      <c r="H963" s="50"/>
    </row>
    <row r="964" spans="1:14" x14ac:dyDescent="0.3">
      <c r="A964" s="73"/>
      <c r="B964" s="45"/>
      <c r="C964" s="45"/>
      <c r="D964" s="341" t="s">
        <v>958</v>
      </c>
      <c r="E964" s="1"/>
      <c r="F964" s="60"/>
      <c r="G964" s="37">
        <v>754632.78599999996</v>
      </c>
      <c r="H964" s="44">
        <v>766856.98444000003</v>
      </c>
      <c r="I964" s="342"/>
    </row>
    <row r="965" spans="1:14" ht="16.2" x14ac:dyDescent="0.35">
      <c r="A965" s="73"/>
      <c r="B965" s="45"/>
      <c r="C965" s="45"/>
      <c r="D965" s="343"/>
      <c r="E965" s="343"/>
      <c r="F965" s="344"/>
      <c r="G965" s="50">
        <v>2500</v>
      </c>
      <c r="H965" s="50">
        <v>2500</v>
      </c>
      <c r="I965" s="45">
        <f>F964*1000</f>
        <v>0</v>
      </c>
      <c r="J965" s="45"/>
      <c r="K965" s="45"/>
      <c r="L965" s="345"/>
      <c r="M965" s="345"/>
      <c r="N965" s="345"/>
    </row>
    <row r="966" spans="1:14" ht="15" x14ac:dyDescent="0.25">
      <c r="A966" s="73"/>
      <c r="B966" s="45"/>
      <c r="C966" s="45"/>
      <c r="D966" s="45"/>
      <c r="E966" s="45"/>
      <c r="F966" s="345"/>
      <c r="G966" s="60">
        <f>G964+G965</f>
        <v>757132.78599999996</v>
      </c>
      <c r="H966" s="60">
        <f>H964+H965</f>
        <v>769356.98444000003</v>
      </c>
      <c r="I966" s="45"/>
      <c r="J966" s="45"/>
      <c r="K966" s="45"/>
      <c r="L966" s="345"/>
      <c r="M966" s="345"/>
      <c r="N966" s="345"/>
    </row>
    <row r="967" spans="1:14" ht="15" x14ac:dyDescent="0.25">
      <c r="A967" s="73"/>
      <c r="B967" s="45"/>
      <c r="C967" s="45"/>
      <c r="D967" s="45"/>
      <c r="E967" s="45"/>
      <c r="F967" s="45"/>
      <c r="G967" s="50">
        <f>G966-G962</f>
        <v>0</v>
      </c>
      <c r="H967" s="50">
        <f>H966-H962</f>
        <v>0</v>
      </c>
      <c r="I967" s="345"/>
    </row>
    <row r="968" spans="1:14" ht="15" x14ac:dyDescent="0.25">
      <c r="A968" s="73"/>
      <c r="B968" s="45"/>
      <c r="C968" s="45"/>
      <c r="D968" s="45"/>
      <c r="E968" s="76"/>
      <c r="F968" s="45"/>
      <c r="G968" s="75"/>
      <c r="H968" s="75"/>
      <c r="I968" s="50"/>
    </row>
    <row r="969" spans="1:14" x14ac:dyDescent="0.3">
      <c r="F969" s="268"/>
      <c r="G969" s="268"/>
      <c r="H969" s="268"/>
    </row>
  </sheetData>
  <mergeCells count="15">
    <mergeCell ref="A7:H7"/>
    <mergeCell ref="A8:H8"/>
    <mergeCell ref="A10:A11"/>
    <mergeCell ref="B10:B11"/>
    <mergeCell ref="C10:C11"/>
    <mergeCell ref="D10:D11"/>
    <mergeCell ref="E10:E11"/>
    <mergeCell ref="F10:F11"/>
    <mergeCell ref="G10:G11"/>
    <mergeCell ref="H10:H11"/>
    <mergeCell ref="A1:H1"/>
    <mergeCell ref="A2:H2"/>
    <mergeCell ref="A3:H3"/>
    <mergeCell ref="A4:H4"/>
    <mergeCell ref="A6:H6"/>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95"/>
  <sheetViews>
    <sheetView view="pageBreakPreview" topLeftCell="A971" zoomScale="75" zoomScaleSheetLayoutView="75" workbookViewId="0">
      <selection activeCell="A4" sqref="A4:I4"/>
    </sheetView>
  </sheetViews>
  <sheetFormatPr defaultColWidth="8.6640625" defaultRowHeight="13.8" x14ac:dyDescent="0.25"/>
  <cols>
    <col min="1" max="1" width="43.33203125" style="73" customWidth="1"/>
    <col min="2" max="2" width="5.44140625" style="45" customWidth="1"/>
    <col min="3" max="3" width="4.6640625" style="45" customWidth="1"/>
    <col min="4" max="4" width="5.33203125" style="45" customWidth="1"/>
    <col min="5" max="5" width="13.6640625" style="45" customWidth="1"/>
    <col min="6" max="6" width="5.33203125" style="45" customWidth="1"/>
    <col min="7" max="8" width="17.6640625" style="45" customWidth="1"/>
    <col min="9" max="9" width="19.88671875" style="45" customWidth="1"/>
    <col min="10" max="10" width="255.6640625" style="45" hidden="1" customWidth="1"/>
    <col min="11" max="11" width="18.109375" style="45" customWidth="1"/>
    <col min="12" max="12" width="15" style="45" bestFit="1" customWidth="1"/>
    <col min="13" max="13" width="16" style="45" customWidth="1"/>
    <col min="14" max="14" width="15" style="45" bestFit="1" customWidth="1"/>
    <col min="15" max="15" width="12.44140625" style="45" bestFit="1" customWidth="1"/>
    <col min="16" max="16384" width="8.6640625" style="45"/>
  </cols>
  <sheetData>
    <row r="1" spans="1:15" x14ac:dyDescent="0.25">
      <c r="B1" s="484"/>
      <c r="C1" s="484"/>
      <c r="D1" s="484"/>
      <c r="F1" s="484"/>
      <c r="G1" s="484"/>
      <c r="H1" s="564" t="s">
        <v>962</v>
      </c>
      <c r="I1" s="564"/>
      <c r="J1" s="353"/>
      <c r="K1" s="353"/>
      <c r="L1" s="353"/>
      <c r="M1" s="353"/>
    </row>
    <row r="2" spans="1:15" x14ac:dyDescent="0.25">
      <c r="A2" s="565" t="s">
        <v>220</v>
      </c>
      <c r="B2" s="565"/>
      <c r="C2" s="565"/>
      <c r="D2" s="565"/>
      <c r="E2" s="565"/>
      <c r="F2" s="565"/>
      <c r="G2" s="565"/>
      <c r="H2" s="565"/>
      <c r="I2" s="565"/>
      <c r="J2" s="353"/>
      <c r="K2" s="353"/>
      <c r="L2" s="353"/>
      <c r="M2" s="353"/>
    </row>
    <row r="3" spans="1:15" x14ac:dyDescent="0.25">
      <c r="A3" s="564" t="s">
        <v>240</v>
      </c>
      <c r="B3" s="564"/>
      <c r="C3" s="564"/>
      <c r="D3" s="564"/>
      <c r="E3" s="564"/>
      <c r="F3" s="564"/>
      <c r="G3" s="564"/>
      <c r="H3" s="564"/>
      <c r="I3" s="564"/>
      <c r="J3" s="353"/>
      <c r="K3" s="353"/>
      <c r="L3" s="353"/>
      <c r="M3" s="353"/>
    </row>
    <row r="4" spans="1:15" x14ac:dyDescent="0.25">
      <c r="A4" s="566" t="s">
        <v>1158</v>
      </c>
      <c r="B4" s="566"/>
      <c r="C4" s="566"/>
      <c r="D4" s="566"/>
      <c r="E4" s="566"/>
      <c r="F4" s="566"/>
      <c r="G4" s="566"/>
      <c r="H4" s="566"/>
      <c r="I4" s="566"/>
      <c r="J4" s="354"/>
      <c r="K4" s="354"/>
      <c r="L4" s="354"/>
      <c r="M4" s="354"/>
    </row>
    <row r="6" spans="1:15" x14ac:dyDescent="0.25">
      <c r="A6" s="567" t="s">
        <v>222</v>
      </c>
      <c r="B6" s="567"/>
      <c r="C6" s="567"/>
      <c r="D6" s="567"/>
      <c r="E6" s="567"/>
      <c r="F6" s="567"/>
      <c r="G6" s="567"/>
      <c r="H6" s="567"/>
      <c r="I6" s="567"/>
    </row>
    <row r="7" spans="1:15" ht="35.700000000000003" customHeight="1" x14ac:dyDescent="0.25">
      <c r="A7" s="568" t="s">
        <v>1040</v>
      </c>
      <c r="B7" s="568"/>
      <c r="C7" s="568"/>
      <c r="D7" s="568"/>
      <c r="E7" s="568"/>
      <c r="F7" s="568"/>
      <c r="G7" s="568"/>
      <c r="H7" s="568"/>
      <c r="I7" s="568"/>
    </row>
    <row r="9" spans="1:15" x14ac:dyDescent="0.25">
      <c r="I9" s="11" t="s">
        <v>102</v>
      </c>
    </row>
    <row r="10" spans="1:15" ht="15" customHeight="1" x14ac:dyDescent="0.25">
      <c r="A10" s="569" t="s">
        <v>205</v>
      </c>
      <c r="B10" s="569" t="s">
        <v>963</v>
      </c>
      <c r="C10" s="569" t="s">
        <v>105</v>
      </c>
      <c r="D10" s="569" t="s">
        <v>106</v>
      </c>
      <c r="E10" s="569" t="s">
        <v>206</v>
      </c>
      <c r="F10" s="569" t="s">
        <v>964</v>
      </c>
      <c r="G10" s="569" t="s">
        <v>965</v>
      </c>
      <c r="H10" s="569" t="s">
        <v>966</v>
      </c>
      <c r="I10" s="569" t="s">
        <v>1041</v>
      </c>
    </row>
    <row r="11" spans="1:15" ht="57.75" customHeight="1" x14ac:dyDescent="0.25">
      <c r="A11" s="569"/>
      <c r="B11" s="569"/>
      <c r="C11" s="569"/>
      <c r="D11" s="569"/>
      <c r="E11" s="569"/>
      <c r="F11" s="569"/>
      <c r="G11" s="569"/>
      <c r="H11" s="569"/>
      <c r="I11" s="569"/>
    </row>
    <row r="12" spans="1:15" ht="31.2" customHeight="1" x14ac:dyDescent="0.25">
      <c r="A12" s="355" t="s">
        <v>967</v>
      </c>
      <c r="B12" s="356">
        <v>951</v>
      </c>
      <c r="C12" s="356" t="s">
        <v>109</v>
      </c>
      <c r="D12" s="356" t="s">
        <v>109</v>
      </c>
      <c r="E12" s="356" t="s">
        <v>699</v>
      </c>
      <c r="F12" s="356" t="s">
        <v>223</v>
      </c>
      <c r="G12" s="357">
        <f>G13+G151+G156+G175+G183+G261+G317+G324+G391+G497+G573+G620+G491</f>
        <v>280594.32318999997</v>
      </c>
      <c r="H12" s="357">
        <f>H13+H151+H156+H175+H183+H261+H317+H324+H391+H497+H573+H620+H491</f>
        <v>174234.66090999998</v>
      </c>
      <c r="I12" s="357">
        <f>I13+I151+I156+I175+I183+I261+I317+I324+I391+I497+I573+I620+I491</f>
        <v>176383.22572999998</v>
      </c>
      <c r="J12" s="45">
        <v>148512.97127000001</v>
      </c>
      <c r="K12" s="50"/>
    </row>
    <row r="13" spans="1:15" ht="26.25" customHeight="1" x14ac:dyDescent="0.25">
      <c r="A13" s="358" t="s">
        <v>698</v>
      </c>
      <c r="B13" s="359">
        <v>951</v>
      </c>
      <c r="C13" s="359" t="s">
        <v>108</v>
      </c>
      <c r="D13" s="359" t="s">
        <v>109</v>
      </c>
      <c r="E13" s="359" t="s">
        <v>699</v>
      </c>
      <c r="F13" s="359" t="s">
        <v>223</v>
      </c>
      <c r="G13" s="360">
        <f>G14+G20+G30+G37+G43+G34</f>
        <v>68259.386259999985</v>
      </c>
      <c r="H13" s="360">
        <f>H14+H20+H30+H37+H43+H34</f>
        <v>66008.720349999989</v>
      </c>
      <c r="I13" s="360">
        <f>I14+I20+I30+I37+I43+I34</f>
        <v>66356.61933999999</v>
      </c>
      <c r="J13" s="50">
        <f>J12-G12</f>
        <v>-132081.35191999996</v>
      </c>
      <c r="K13" s="50"/>
      <c r="L13" s="50"/>
      <c r="N13" s="77"/>
      <c r="O13" s="50"/>
    </row>
    <row r="14" spans="1:15" ht="44.7" customHeight="1" x14ac:dyDescent="0.25">
      <c r="A14" s="361" t="s">
        <v>700</v>
      </c>
      <c r="B14" s="28">
        <v>951</v>
      </c>
      <c r="C14" s="8" t="s">
        <v>108</v>
      </c>
      <c r="D14" s="8" t="s">
        <v>701</v>
      </c>
      <c r="E14" s="8" t="s">
        <v>699</v>
      </c>
      <c r="F14" s="8" t="s">
        <v>223</v>
      </c>
      <c r="G14" s="24">
        <f>G15</f>
        <v>3257.7</v>
      </c>
      <c r="H14" s="24">
        <f>H15</f>
        <v>3257.7</v>
      </c>
      <c r="I14" s="24">
        <f>I15</f>
        <v>3257.7</v>
      </c>
      <c r="J14" s="50"/>
      <c r="K14" s="50"/>
    </row>
    <row r="15" spans="1:15" ht="32.700000000000003" customHeight="1" x14ac:dyDescent="0.25">
      <c r="A15" s="361" t="s">
        <v>702</v>
      </c>
      <c r="B15" s="28">
        <v>951</v>
      </c>
      <c r="C15" s="8" t="s">
        <v>108</v>
      </c>
      <c r="D15" s="8" t="s">
        <v>701</v>
      </c>
      <c r="E15" s="8" t="s">
        <v>5</v>
      </c>
      <c r="F15" s="8" t="s">
        <v>223</v>
      </c>
      <c r="G15" s="24">
        <f t="shared" ref="G15:I18" si="0">G16</f>
        <v>3257.7</v>
      </c>
      <c r="H15" s="24">
        <f t="shared" si="0"/>
        <v>3257.7</v>
      </c>
      <c r="I15" s="24">
        <f t="shared" si="0"/>
        <v>3257.7</v>
      </c>
      <c r="K15" s="50"/>
    </row>
    <row r="16" spans="1:15" ht="45.75" customHeight="1" x14ac:dyDescent="0.25">
      <c r="A16" s="361" t="s">
        <v>110</v>
      </c>
      <c r="B16" s="28">
        <v>951</v>
      </c>
      <c r="C16" s="8" t="s">
        <v>108</v>
      </c>
      <c r="D16" s="8" t="s">
        <v>701</v>
      </c>
      <c r="E16" s="8" t="s">
        <v>6</v>
      </c>
      <c r="F16" s="8" t="s">
        <v>223</v>
      </c>
      <c r="G16" s="24">
        <f t="shared" si="0"/>
        <v>3257.7</v>
      </c>
      <c r="H16" s="24">
        <f t="shared" si="0"/>
        <v>3257.7</v>
      </c>
      <c r="I16" s="24">
        <f t="shared" si="0"/>
        <v>3257.7</v>
      </c>
    </row>
    <row r="17" spans="1:12" ht="16.5" customHeight="1" x14ac:dyDescent="0.25">
      <c r="A17" s="361" t="s">
        <v>228</v>
      </c>
      <c r="B17" s="28">
        <v>951</v>
      </c>
      <c r="C17" s="8" t="s">
        <v>108</v>
      </c>
      <c r="D17" s="8" t="s">
        <v>701</v>
      </c>
      <c r="E17" s="8" t="s">
        <v>7</v>
      </c>
      <c r="F17" s="8" t="s">
        <v>223</v>
      </c>
      <c r="G17" s="24">
        <f t="shared" si="0"/>
        <v>3257.7</v>
      </c>
      <c r="H17" s="24">
        <f t="shared" si="0"/>
        <v>3257.7</v>
      </c>
      <c r="I17" s="24">
        <f t="shared" si="0"/>
        <v>3257.7</v>
      </c>
    </row>
    <row r="18" spans="1:12" ht="81.599999999999994" customHeight="1" x14ac:dyDescent="0.25">
      <c r="A18" s="21" t="s">
        <v>703</v>
      </c>
      <c r="B18" s="28">
        <v>951</v>
      </c>
      <c r="C18" s="8" t="s">
        <v>108</v>
      </c>
      <c r="D18" s="8" t="s">
        <v>701</v>
      </c>
      <c r="E18" s="8" t="s">
        <v>7</v>
      </c>
      <c r="F18" s="8" t="s">
        <v>704</v>
      </c>
      <c r="G18" s="24">
        <f t="shared" si="0"/>
        <v>3257.7</v>
      </c>
      <c r="H18" s="24">
        <f t="shared" si="0"/>
        <v>3257.7</v>
      </c>
      <c r="I18" s="24">
        <f t="shared" si="0"/>
        <v>3257.7</v>
      </c>
    </row>
    <row r="19" spans="1:12" ht="30.6" customHeight="1" x14ac:dyDescent="0.25">
      <c r="A19" s="21" t="s">
        <v>705</v>
      </c>
      <c r="B19" s="28">
        <v>951</v>
      </c>
      <c r="C19" s="8" t="s">
        <v>108</v>
      </c>
      <c r="D19" s="8" t="s">
        <v>701</v>
      </c>
      <c r="E19" s="8" t="s">
        <v>7</v>
      </c>
      <c r="F19" s="8" t="s">
        <v>706</v>
      </c>
      <c r="G19" s="24">
        <f>'5'!D257</f>
        <v>3257.7</v>
      </c>
      <c r="H19" s="24">
        <f>'5'!E257</f>
        <v>3257.7</v>
      </c>
      <c r="I19" s="24">
        <f>'5'!F257</f>
        <v>3257.7</v>
      </c>
    </row>
    <row r="20" spans="1:12" ht="69" x14ac:dyDescent="0.25">
      <c r="A20" s="362" t="s">
        <v>717</v>
      </c>
      <c r="B20" s="363">
        <v>951</v>
      </c>
      <c r="C20" s="364" t="s">
        <v>108</v>
      </c>
      <c r="D20" s="364" t="s">
        <v>113</v>
      </c>
      <c r="E20" s="364" t="s">
        <v>699</v>
      </c>
      <c r="F20" s="364" t="s">
        <v>223</v>
      </c>
      <c r="G20" s="365">
        <f>G21</f>
        <v>44495.488999999994</v>
      </c>
      <c r="H20" s="365">
        <f t="shared" ref="H20:I22" si="1">H21</f>
        <v>42495.899999999994</v>
      </c>
      <c r="I20" s="365">
        <f t="shared" si="1"/>
        <v>42495.899999999994</v>
      </c>
    </row>
    <row r="21" spans="1:12" ht="27.6" x14ac:dyDescent="0.25">
      <c r="A21" s="21" t="s">
        <v>702</v>
      </c>
      <c r="B21" s="28">
        <v>951</v>
      </c>
      <c r="C21" s="8" t="s">
        <v>108</v>
      </c>
      <c r="D21" s="8" t="s">
        <v>113</v>
      </c>
      <c r="E21" s="8" t="s">
        <v>5</v>
      </c>
      <c r="F21" s="8" t="s">
        <v>223</v>
      </c>
      <c r="G21" s="24">
        <f>G22</f>
        <v>44495.488999999994</v>
      </c>
      <c r="H21" s="24">
        <f t="shared" si="1"/>
        <v>42495.899999999994</v>
      </c>
      <c r="I21" s="24">
        <f t="shared" si="1"/>
        <v>42495.899999999994</v>
      </c>
    </row>
    <row r="22" spans="1:12" ht="45" customHeight="1" x14ac:dyDescent="0.25">
      <c r="A22" s="21" t="s">
        <v>110</v>
      </c>
      <c r="B22" s="28">
        <v>951</v>
      </c>
      <c r="C22" s="8" t="s">
        <v>108</v>
      </c>
      <c r="D22" s="8" t="s">
        <v>113</v>
      </c>
      <c r="E22" s="8" t="s">
        <v>6</v>
      </c>
      <c r="F22" s="8" t="s">
        <v>223</v>
      </c>
      <c r="G22" s="24">
        <f>G23</f>
        <v>44495.488999999994</v>
      </c>
      <c r="H22" s="24">
        <f t="shared" si="1"/>
        <v>42495.899999999994</v>
      </c>
      <c r="I22" s="24">
        <f t="shared" si="1"/>
        <v>42495.899999999994</v>
      </c>
    </row>
    <row r="23" spans="1:12" ht="45" customHeight="1" x14ac:dyDescent="0.25">
      <c r="A23" s="21" t="s">
        <v>112</v>
      </c>
      <c r="B23" s="28">
        <v>951</v>
      </c>
      <c r="C23" s="8" t="s">
        <v>108</v>
      </c>
      <c r="D23" s="8" t="s">
        <v>113</v>
      </c>
      <c r="E23" s="8" t="s">
        <v>9</v>
      </c>
      <c r="F23" s="8" t="s">
        <v>223</v>
      </c>
      <c r="G23" s="24">
        <f>G24+G26+G28</f>
        <v>44495.488999999994</v>
      </c>
      <c r="H23" s="24">
        <f>H24+H26+H28</f>
        <v>42495.899999999994</v>
      </c>
      <c r="I23" s="24">
        <f>I24+I26+I28</f>
        <v>42495.899999999994</v>
      </c>
    </row>
    <row r="24" spans="1:12" ht="90.75" customHeight="1" x14ac:dyDescent="0.25">
      <c r="A24" s="21" t="s">
        <v>703</v>
      </c>
      <c r="B24" s="28">
        <v>951</v>
      </c>
      <c r="C24" s="8" t="s">
        <v>108</v>
      </c>
      <c r="D24" s="8" t="s">
        <v>113</v>
      </c>
      <c r="E24" s="6" t="s">
        <v>9</v>
      </c>
      <c r="F24" s="6" t="s">
        <v>704</v>
      </c>
      <c r="G24" s="19">
        <f>G25</f>
        <v>35507.799999999996</v>
      </c>
      <c r="H24" s="19">
        <f>H25</f>
        <v>35507.799999999996</v>
      </c>
      <c r="I24" s="19">
        <f>I25</f>
        <v>35507.799999999996</v>
      </c>
      <c r="L24" s="45">
        <v>43439.868999999999</v>
      </c>
    </row>
    <row r="25" spans="1:12" ht="31.2" customHeight="1" x14ac:dyDescent="0.25">
      <c r="A25" s="21" t="s">
        <v>705</v>
      </c>
      <c r="B25" s="28">
        <v>951</v>
      </c>
      <c r="C25" s="8" t="s">
        <v>108</v>
      </c>
      <c r="D25" s="8" t="s">
        <v>113</v>
      </c>
      <c r="E25" s="6" t="s">
        <v>9</v>
      </c>
      <c r="F25" s="6" t="s">
        <v>706</v>
      </c>
      <c r="G25" s="19">
        <f>'3'!F40</f>
        <v>35507.799999999996</v>
      </c>
      <c r="H25" s="19">
        <f>'3'!G40</f>
        <v>35507.799999999996</v>
      </c>
      <c r="I25" s="19">
        <f>'3'!H40</f>
        <v>35507.799999999996</v>
      </c>
      <c r="L25" s="45">
        <f>L24+L26</f>
        <v>43439.9</v>
      </c>
    </row>
    <row r="26" spans="1:12" ht="27.6" x14ac:dyDescent="0.25">
      <c r="A26" s="21" t="s">
        <v>709</v>
      </c>
      <c r="B26" s="28">
        <v>951</v>
      </c>
      <c r="C26" s="8" t="s">
        <v>108</v>
      </c>
      <c r="D26" s="8" t="s">
        <v>113</v>
      </c>
      <c r="E26" s="6" t="s">
        <v>9</v>
      </c>
      <c r="F26" s="6" t="s">
        <v>710</v>
      </c>
      <c r="G26" s="19">
        <f>G27</f>
        <v>8482.5889999999999</v>
      </c>
      <c r="H26" s="19">
        <f>H27</f>
        <v>6483</v>
      </c>
      <c r="I26" s="19">
        <f>I27</f>
        <v>6483</v>
      </c>
      <c r="L26" s="45">
        <v>3.1E-2</v>
      </c>
    </row>
    <row r="27" spans="1:12" ht="41.4" x14ac:dyDescent="0.25">
      <c r="A27" s="21" t="s">
        <v>711</v>
      </c>
      <c r="B27" s="28">
        <v>951</v>
      </c>
      <c r="C27" s="8" t="s">
        <v>108</v>
      </c>
      <c r="D27" s="8" t="s">
        <v>113</v>
      </c>
      <c r="E27" s="6" t="s">
        <v>9</v>
      </c>
      <c r="F27" s="6" t="s">
        <v>712</v>
      </c>
      <c r="G27" s="19">
        <f>'3'!F42</f>
        <v>8482.5889999999999</v>
      </c>
      <c r="H27" s="19">
        <f>'3'!G42</f>
        <v>6483</v>
      </c>
      <c r="I27" s="19">
        <f>'3'!H42</f>
        <v>6483</v>
      </c>
    </row>
    <row r="28" spans="1:12" x14ac:dyDescent="0.25">
      <c r="A28" s="21" t="s">
        <v>713</v>
      </c>
      <c r="B28" s="28">
        <v>951</v>
      </c>
      <c r="C28" s="8" t="s">
        <v>108</v>
      </c>
      <c r="D28" s="8" t="s">
        <v>113</v>
      </c>
      <c r="E28" s="8" t="s">
        <v>9</v>
      </c>
      <c r="F28" s="8" t="s">
        <v>714</v>
      </c>
      <c r="G28" s="24">
        <f>G29</f>
        <v>505.1</v>
      </c>
      <c r="H28" s="24">
        <f>H29</f>
        <v>505.1</v>
      </c>
      <c r="I28" s="24">
        <f>I29</f>
        <v>505.1</v>
      </c>
    </row>
    <row r="29" spans="1:12" x14ac:dyDescent="0.25">
      <c r="A29" s="23" t="s">
        <v>715</v>
      </c>
      <c r="B29" s="28">
        <v>951</v>
      </c>
      <c r="C29" s="8" t="s">
        <v>108</v>
      </c>
      <c r="D29" s="8" t="s">
        <v>113</v>
      </c>
      <c r="E29" s="8" t="s">
        <v>9</v>
      </c>
      <c r="F29" s="8" t="s">
        <v>716</v>
      </c>
      <c r="G29" s="24">
        <f>'3'!F44</f>
        <v>505.1</v>
      </c>
      <c r="H29" s="24">
        <f>'3'!G44</f>
        <v>505.1</v>
      </c>
      <c r="I29" s="24">
        <f>'3'!H44</f>
        <v>505.1</v>
      </c>
    </row>
    <row r="30" spans="1:12" hidden="1" x14ac:dyDescent="0.25">
      <c r="A30" s="21" t="s">
        <v>724</v>
      </c>
      <c r="B30" s="28">
        <v>951</v>
      </c>
      <c r="C30" s="8" t="s">
        <v>108</v>
      </c>
      <c r="D30" s="8" t="s">
        <v>725</v>
      </c>
      <c r="E30" s="8" t="s">
        <v>699</v>
      </c>
      <c r="F30" s="8" t="s">
        <v>223</v>
      </c>
      <c r="G30" s="24">
        <f>G31</f>
        <v>0</v>
      </c>
      <c r="H30" s="24">
        <f t="shared" ref="H30:I32" si="2">H31</f>
        <v>0</v>
      </c>
      <c r="I30" s="24">
        <f t="shared" si="2"/>
        <v>0</v>
      </c>
    </row>
    <row r="31" spans="1:12" ht="27.6" hidden="1" x14ac:dyDescent="0.25">
      <c r="A31" s="21" t="s">
        <v>727</v>
      </c>
      <c r="B31" s="28">
        <v>951</v>
      </c>
      <c r="C31" s="8" t="s">
        <v>108</v>
      </c>
      <c r="D31" s="8" t="s">
        <v>725</v>
      </c>
      <c r="E31" s="8" t="s">
        <v>968</v>
      </c>
      <c r="F31" s="8" t="s">
        <v>223</v>
      </c>
      <c r="G31" s="24">
        <f>G32</f>
        <v>0</v>
      </c>
      <c r="H31" s="24">
        <f t="shared" si="2"/>
        <v>0</v>
      </c>
      <c r="I31" s="24">
        <f t="shared" si="2"/>
        <v>0</v>
      </c>
    </row>
    <row r="32" spans="1:12" hidden="1" x14ac:dyDescent="0.25">
      <c r="A32" s="21" t="s">
        <v>713</v>
      </c>
      <c r="B32" s="28">
        <v>951</v>
      </c>
      <c r="C32" s="8" t="s">
        <v>108</v>
      </c>
      <c r="D32" s="8" t="s">
        <v>725</v>
      </c>
      <c r="E32" s="8" t="s">
        <v>968</v>
      </c>
      <c r="F32" s="8" t="s">
        <v>714</v>
      </c>
      <c r="G32" s="24">
        <f>G33</f>
        <v>0</v>
      </c>
      <c r="H32" s="24">
        <f t="shared" si="2"/>
        <v>0</v>
      </c>
      <c r="I32" s="24">
        <f t="shared" si="2"/>
        <v>0</v>
      </c>
    </row>
    <row r="33" spans="1:11" hidden="1" x14ac:dyDescent="0.25">
      <c r="A33" s="21" t="s">
        <v>729</v>
      </c>
      <c r="B33" s="28">
        <v>951</v>
      </c>
      <c r="C33" s="8" t="s">
        <v>108</v>
      </c>
      <c r="D33" s="8" t="s">
        <v>725</v>
      </c>
      <c r="E33" s="8" t="s">
        <v>968</v>
      </c>
      <c r="F33" s="8" t="s">
        <v>730</v>
      </c>
      <c r="G33" s="24"/>
      <c r="H33" s="24"/>
      <c r="I33" s="24"/>
    </row>
    <row r="34" spans="1:11" ht="42" customHeight="1" x14ac:dyDescent="0.25">
      <c r="A34" s="366" t="s">
        <v>395</v>
      </c>
      <c r="B34" s="363" t="s">
        <v>117</v>
      </c>
      <c r="C34" s="364" t="s">
        <v>108</v>
      </c>
      <c r="D34" s="364" t="s">
        <v>718</v>
      </c>
      <c r="E34" s="364" t="s">
        <v>249</v>
      </c>
      <c r="F34" s="364" t="s">
        <v>223</v>
      </c>
      <c r="G34" s="365">
        <f t="shared" ref="G34:I35" si="3">G35</f>
        <v>11.829000000000001</v>
      </c>
      <c r="H34" s="365">
        <f t="shared" si="3"/>
        <v>12.269</v>
      </c>
      <c r="I34" s="365">
        <f t="shared" si="3"/>
        <v>151.56200000000001</v>
      </c>
    </row>
    <row r="35" spans="1:11" ht="27.6" x14ac:dyDescent="0.25">
      <c r="A35" s="21" t="s">
        <v>709</v>
      </c>
      <c r="B35" s="28" t="s">
        <v>117</v>
      </c>
      <c r="C35" s="8" t="s">
        <v>108</v>
      </c>
      <c r="D35" s="8" t="s">
        <v>718</v>
      </c>
      <c r="E35" s="8" t="s">
        <v>249</v>
      </c>
      <c r="F35" s="8" t="s">
        <v>710</v>
      </c>
      <c r="G35" s="24">
        <f t="shared" si="3"/>
        <v>11.829000000000001</v>
      </c>
      <c r="H35" s="24">
        <f t="shared" si="3"/>
        <v>12.269</v>
      </c>
      <c r="I35" s="24">
        <f t="shared" si="3"/>
        <v>151.56200000000001</v>
      </c>
    </row>
    <row r="36" spans="1:11" ht="41.4" x14ac:dyDescent="0.25">
      <c r="A36" s="21" t="s">
        <v>711</v>
      </c>
      <c r="B36" s="28" t="s">
        <v>117</v>
      </c>
      <c r="C36" s="8" t="s">
        <v>108</v>
      </c>
      <c r="D36" s="8" t="s">
        <v>718</v>
      </c>
      <c r="E36" s="8" t="s">
        <v>249</v>
      </c>
      <c r="F36" s="8" t="s">
        <v>712</v>
      </c>
      <c r="G36" s="19">
        <f>'5'!D311</f>
        <v>11.829000000000001</v>
      </c>
      <c r="H36" s="19">
        <f>'5'!E311</f>
        <v>12.269</v>
      </c>
      <c r="I36" s="19">
        <f>'5'!F311</f>
        <v>151.56200000000001</v>
      </c>
    </row>
    <row r="37" spans="1:11" x14ac:dyDescent="0.25">
      <c r="A37" s="367" t="s">
        <v>724</v>
      </c>
      <c r="B37" s="363" t="s">
        <v>117</v>
      </c>
      <c r="C37" s="364" t="s">
        <v>108</v>
      </c>
      <c r="D37" s="364" t="s">
        <v>725</v>
      </c>
      <c r="E37" s="364" t="s">
        <v>699</v>
      </c>
      <c r="F37" s="364" t="s">
        <v>223</v>
      </c>
      <c r="G37" s="365">
        <f t="shared" ref="G37:I41" si="4">G38</f>
        <v>1609.511</v>
      </c>
      <c r="H37" s="365">
        <f t="shared" si="4"/>
        <v>2000</v>
      </c>
      <c r="I37" s="365">
        <f t="shared" si="4"/>
        <v>2000</v>
      </c>
    </row>
    <row r="38" spans="1:11" ht="27.6" x14ac:dyDescent="0.25">
      <c r="A38" s="368" t="s">
        <v>702</v>
      </c>
      <c r="B38" s="28" t="s">
        <v>117</v>
      </c>
      <c r="C38" s="8" t="s">
        <v>108</v>
      </c>
      <c r="D38" s="8" t="s">
        <v>725</v>
      </c>
      <c r="E38" s="369" t="s">
        <v>5</v>
      </c>
      <c r="F38" s="369" t="s">
        <v>223</v>
      </c>
      <c r="G38" s="24">
        <f t="shared" si="4"/>
        <v>1609.511</v>
      </c>
      <c r="H38" s="24">
        <f t="shared" si="4"/>
        <v>2000</v>
      </c>
      <c r="I38" s="24">
        <f t="shared" si="4"/>
        <v>2000</v>
      </c>
    </row>
    <row r="39" spans="1:11" ht="33.6" customHeight="1" x14ac:dyDescent="0.25">
      <c r="A39" s="368" t="s">
        <v>110</v>
      </c>
      <c r="B39" s="28" t="s">
        <v>117</v>
      </c>
      <c r="C39" s="8" t="s">
        <v>108</v>
      </c>
      <c r="D39" s="8" t="s">
        <v>725</v>
      </c>
      <c r="E39" s="369" t="s">
        <v>6</v>
      </c>
      <c r="F39" s="369" t="s">
        <v>223</v>
      </c>
      <c r="G39" s="24">
        <f t="shared" si="4"/>
        <v>1609.511</v>
      </c>
      <c r="H39" s="24">
        <f t="shared" si="4"/>
        <v>2000</v>
      </c>
      <c r="I39" s="24">
        <f t="shared" si="4"/>
        <v>2000</v>
      </c>
    </row>
    <row r="40" spans="1:11" ht="27.6" x14ac:dyDescent="0.25">
      <c r="A40" s="368" t="s">
        <v>307</v>
      </c>
      <c r="B40" s="28" t="s">
        <v>117</v>
      </c>
      <c r="C40" s="8" t="s">
        <v>108</v>
      </c>
      <c r="D40" s="8" t="s">
        <v>725</v>
      </c>
      <c r="E40" s="8" t="s">
        <v>308</v>
      </c>
      <c r="F40" s="369" t="s">
        <v>223</v>
      </c>
      <c r="G40" s="24">
        <f t="shared" si="4"/>
        <v>1609.511</v>
      </c>
      <c r="H40" s="24">
        <f t="shared" si="4"/>
        <v>2000</v>
      </c>
      <c r="I40" s="24">
        <f t="shared" si="4"/>
        <v>2000</v>
      </c>
    </row>
    <row r="41" spans="1:11" x14ac:dyDescent="0.25">
      <c r="A41" s="368" t="s">
        <v>713</v>
      </c>
      <c r="B41" s="28" t="s">
        <v>117</v>
      </c>
      <c r="C41" s="8" t="s">
        <v>108</v>
      </c>
      <c r="D41" s="8" t="s">
        <v>725</v>
      </c>
      <c r="E41" s="8" t="s">
        <v>308</v>
      </c>
      <c r="F41" s="369" t="s">
        <v>714</v>
      </c>
      <c r="G41" s="24">
        <f t="shared" si="4"/>
        <v>1609.511</v>
      </c>
      <c r="H41" s="24">
        <f t="shared" si="4"/>
        <v>2000</v>
      </c>
      <c r="I41" s="24">
        <f t="shared" si="4"/>
        <v>2000</v>
      </c>
    </row>
    <row r="42" spans="1:11" x14ac:dyDescent="0.25">
      <c r="A42" s="368" t="s">
        <v>729</v>
      </c>
      <c r="B42" s="28" t="s">
        <v>117</v>
      </c>
      <c r="C42" s="8" t="s">
        <v>108</v>
      </c>
      <c r="D42" s="8" t="s">
        <v>725</v>
      </c>
      <c r="E42" s="8" t="s">
        <v>308</v>
      </c>
      <c r="F42" s="369" t="s">
        <v>730</v>
      </c>
      <c r="G42" s="19">
        <f>'5'!D286</f>
        <v>1609.511</v>
      </c>
      <c r="H42" s="19">
        <f>'5'!E286</f>
        <v>2000</v>
      </c>
      <c r="I42" s="19">
        <f>'5'!F286</f>
        <v>2000</v>
      </c>
    </row>
    <row r="43" spans="1:11" ht="17.100000000000001" customHeight="1" x14ac:dyDescent="0.25">
      <c r="A43" s="362" t="s">
        <v>735</v>
      </c>
      <c r="B43" s="363">
        <v>951</v>
      </c>
      <c r="C43" s="364" t="s">
        <v>108</v>
      </c>
      <c r="D43" s="364" t="s">
        <v>736</v>
      </c>
      <c r="E43" s="364" t="s">
        <v>699</v>
      </c>
      <c r="F43" s="364" t="s">
        <v>223</v>
      </c>
      <c r="G43" s="365">
        <f>G44+G78+G127+G145+G88+G72+G91+G148+G96+G164+G172</f>
        <v>18884.857259999997</v>
      </c>
      <c r="H43" s="365">
        <f>H44+H78+H127+H145+H88+H72+H91+H148+H96+H164+H172</f>
        <v>18242.851350000001</v>
      </c>
      <c r="I43" s="365">
        <f>I44+I78+I127+I145+I88+I72+I91+I148+I96+I164+I172</f>
        <v>18451.457339999997</v>
      </c>
    </row>
    <row r="44" spans="1:11" ht="16.5" customHeight="1" x14ac:dyDescent="0.25">
      <c r="A44" s="21" t="s">
        <v>737</v>
      </c>
      <c r="B44" s="28">
        <v>951</v>
      </c>
      <c r="C44" s="8" t="s">
        <v>108</v>
      </c>
      <c r="D44" s="8" t="s">
        <v>736</v>
      </c>
      <c r="E44" s="8" t="s">
        <v>699</v>
      </c>
      <c r="F44" s="8" t="s">
        <v>223</v>
      </c>
      <c r="G44" s="24">
        <f>G45+G50+G55+G60+G65+G70+G101</f>
        <v>7804.8983499999995</v>
      </c>
      <c r="H44" s="24">
        <f>H45+H50+H55+H60+H65+H70+H101</f>
        <v>7858.2413499999993</v>
      </c>
      <c r="I44" s="24">
        <f>I45+I50+I55+I60+I65+I70+I101</f>
        <v>8086.8473399999984</v>
      </c>
    </row>
    <row r="45" spans="1:11" ht="59.1" customHeight="1" x14ac:dyDescent="0.25">
      <c r="A45" s="15" t="s">
        <v>738</v>
      </c>
      <c r="B45" s="57">
        <v>951</v>
      </c>
      <c r="C45" s="29" t="s">
        <v>108</v>
      </c>
      <c r="D45" s="29" t="s">
        <v>736</v>
      </c>
      <c r="E45" s="29" t="s">
        <v>11</v>
      </c>
      <c r="F45" s="29" t="s">
        <v>223</v>
      </c>
      <c r="G45" s="26">
        <f>G46+G48</f>
        <v>1101.2190000000001</v>
      </c>
      <c r="H45" s="26">
        <f>H46+H48</f>
        <v>1111.5810000000001</v>
      </c>
      <c r="I45" s="26">
        <f>I46+I48</f>
        <v>1153.444</v>
      </c>
    </row>
    <row r="46" spans="1:11" ht="84" customHeight="1" x14ac:dyDescent="0.25">
      <c r="A46" s="21" t="s">
        <v>703</v>
      </c>
      <c r="B46" s="28">
        <v>951</v>
      </c>
      <c r="C46" s="8" t="s">
        <v>108</v>
      </c>
      <c r="D46" s="8" t="s">
        <v>736</v>
      </c>
      <c r="E46" s="8" t="s">
        <v>11</v>
      </c>
      <c r="F46" s="8" t="s">
        <v>704</v>
      </c>
      <c r="G46" s="24">
        <f>G47</f>
        <v>1067.0640000000001</v>
      </c>
      <c r="H46" s="24">
        <f>H47</f>
        <v>952.80700000000002</v>
      </c>
      <c r="I46" s="24">
        <f>I47</f>
        <v>952.80700000000002</v>
      </c>
    </row>
    <row r="47" spans="1:11" ht="29.7" customHeight="1" x14ac:dyDescent="0.25">
      <c r="A47" s="22" t="s">
        <v>705</v>
      </c>
      <c r="B47" s="28">
        <v>951</v>
      </c>
      <c r="C47" s="8" t="s">
        <v>108</v>
      </c>
      <c r="D47" s="8" t="s">
        <v>736</v>
      </c>
      <c r="E47" s="8" t="s">
        <v>11</v>
      </c>
      <c r="F47" s="8" t="s">
        <v>706</v>
      </c>
      <c r="G47" s="19">
        <f>'3'!F88</f>
        <v>1067.0640000000001</v>
      </c>
      <c r="H47" s="19">
        <f>'3'!G88</f>
        <v>952.80700000000002</v>
      </c>
      <c r="I47" s="19">
        <f>'3'!H88</f>
        <v>952.80700000000002</v>
      </c>
    </row>
    <row r="48" spans="1:11" ht="32.1" customHeight="1" x14ac:dyDescent="0.25">
      <c r="A48" s="21" t="s">
        <v>709</v>
      </c>
      <c r="B48" s="28">
        <v>951</v>
      </c>
      <c r="C48" s="8" t="s">
        <v>108</v>
      </c>
      <c r="D48" s="8" t="s">
        <v>736</v>
      </c>
      <c r="E48" s="8" t="s">
        <v>11</v>
      </c>
      <c r="F48" s="8" t="s">
        <v>710</v>
      </c>
      <c r="G48" s="19">
        <f>G49</f>
        <v>34.154999999999973</v>
      </c>
      <c r="H48" s="24">
        <f>H49</f>
        <v>158.774</v>
      </c>
      <c r="I48" s="24">
        <f>I49</f>
        <v>200.637</v>
      </c>
      <c r="K48" s="50"/>
    </row>
    <row r="49" spans="1:13" ht="43.2" customHeight="1" x14ac:dyDescent="0.25">
      <c r="A49" s="22" t="s">
        <v>711</v>
      </c>
      <c r="B49" s="28">
        <v>951</v>
      </c>
      <c r="C49" s="8" t="s">
        <v>108</v>
      </c>
      <c r="D49" s="8" t="s">
        <v>736</v>
      </c>
      <c r="E49" s="8" t="s">
        <v>11</v>
      </c>
      <c r="F49" s="8" t="s">
        <v>712</v>
      </c>
      <c r="G49" s="19">
        <f>'3'!F90</f>
        <v>34.154999999999973</v>
      </c>
      <c r="H49" s="19">
        <f>'3'!G90</f>
        <v>158.774</v>
      </c>
      <c r="I49" s="19">
        <f>'3'!H90</f>
        <v>200.637</v>
      </c>
    </row>
    <row r="50" spans="1:13" ht="66.599999999999994" customHeight="1" x14ac:dyDescent="0.25">
      <c r="A50" s="15" t="s">
        <v>739</v>
      </c>
      <c r="B50" s="57">
        <v>951</v>
      </c>
      <c r="C50" s="29" t="s">
        <v>108</v>
      </c>
      <c r="D50" s="29" t="s">
        <v>736</v>
      </c>
      <c r="E50" s="29" t="s">
        <v>436</v>
      </c>
      <c r="F50" s="29" t="s">
        <v>223</v>
      </c>
      <c r="G50" s="26">
        <f>G51+G53</f>
        <v>1680.9669999999999</v>
      </c>
      <c r="H50" s="26">
        <f>H51+H53</f>
        <v>1844.0160000000001</v>
      </c>
      <c r="I50" s="26">
        <f>I51+I53</f>
        <v>1917.778</v>
      </c>
      <c r="J50" s="50">
        <v>2236.6860000000001</v>
      </c>
      <c r="K50" s="50">
        <v>2349.433</v>
      </c>
      <c r="L50" s="45">
        <v>2443.4090000000001</v>
      </c>
    </row>
    <row r="51" spans="1:13" ht="75" customHeight="1" x14ac:dyDescent="0.25">
      <c r="A51" s="21" t="s">
        <v>703</v>
      </c>
      <c r="B51" s="28" t="s">
        <v>117</v>
      </c>
      <c r="C51" s="8" t="s">
        <v>108</v>
      </c>
      <c r="D51" s="8" t="s">
        <v>736</v>
      </c>
      <c r="E51" s="8" t="s">
        <v>436</v>
      </c>
      <c r="F51" s="8" t="s">
        <v>704</v>
      </c>
      <c r="G51" s="19">
        <f>G52</f>
        <v>1680.9669999999999</v>
      </c>
      <c r="H51" s="24">
        <f>H52</f>
        <v>1844.0160000000001</v>
      </c>
      <c r="I51" s="24">
        <f>I52</f>
        <v>1917.778</v>
      </c>
      <c r="J51" s="50">
        <f>G52-J52</f>
        <v>316.58899999999994</v>
      </c>
      <c r="K51" s="50">
        <f>H52-K52</f>
        <v>410.86200000000008</v>
      </c>
      <c r="L51" s="50">
        <f>I52-L52</f>
        <v>427.298</v>
      </c>
    </row>
    <row r="52" spans="1:13" ht="32.700000000000003" customHeight="1" x14ac:dyDescent="0.25">
      <c r="A52" s="22" t="s">
        <v>705</v>
      </c>
      <c r="B52" s="28" t="s">
        <v>117</v>
      </c>
      <c r="C52" s="8" t="s">
        <v>108</v>
      </c>
      <c r="D52" s="8" t="s">
        <v>736</v>
      </c>
      <c r="E52" s="8" t="s">
        <v>436</v>
      </c>
      <c r="F52" s="8" t="s">
        <v>706</v>
      </c>
      <c r="G52" s="19">
        <f>'3'!F93</f>
        <v>1680.9669999999999</v>
      </c>
      <c r="H52" s="19">
        <f>'3'!G93</f>
        <v>1844.0160000000001</v>
      </c>
      <c r="I52" s="19">
        <f>'3'!H93</f>
        <v>1917.778</v>
      </c>
      <c r="J52" s="45">
        <v>1364.3779999999999</v>
      </c>
      <c r="K52" s="45">
        <v>1433.154</v>
      </c>
      <c r="L52" s="45">
        <v>1490.48</v>
      </c>
    </row>
    <row r="53" spans="1:13" ht="32.1" hidden="1" customHeight="1" x14ac:dyDescent="0.25">
      <c r="A53" s="21" t="s">
        <v>709</v>
      </c>
      <c r="B53" s="28">
        <v>951</v>
      </c>
      <c r="C53" s="8" t="s">
        <v>108</v>
      </c>
      <c r="D53" s="8" t="s">
        <v>736</v>
      </c>
      <c r="E53" s="8" t="s">
        <v>436</v>
      </c>
      <c r="F53" s="8" t="s">
        <v>710</v>
      </c>
      <c r="G53" s="19">
        <f>G54</f>
        <v>0</v>
      </c>
      <c r="H53" s="19">
        <f>H54</f>
        <v>0</v>
      </c>
      <c r="I53" s="19">
        <f>I54</f>
        <v>0</v>
      </c>
      <c r="J53" s="50">
        <f>J50-J52</f>
        <v>872.30800000000022</v>
      </c>
      <c r="K53" s="50">
        <f>K50-K52</f>
        <v>916.279</v>
      </c>
      <c r="L53" s="50">
        <f>L50-L52</f>
        <v>952.92900000000009</v>
      </c>
      <c r="M53" s="50"/>
    </row>
    <row r="54" spans="1:13" ht="44.7" hidden="1" customHeight="1" x14ac:dyDescent="0.25">
      <c r="A54" s="22" t="s">
        <v>711</v>
      </c>
      <c r="B54" s="28">
        <v>951</v>
      </c>
      <c r="C54" s="8" t="s">
        <v>108</v>
      </c>
      <c r="D54" s="8" t="s">
        <v>736</v>
      </c>
      <c r="E54" s="8" t="s">
        <v>436</v>
      </c>
      <c r="F54" s="8" t="s">
        <v>712</v>
      </c>
      <c r="G54" s="19">
        <v>0</v>
      </c>
      <c r="H54" s="19">
        <v>0</v>
      </c>
      <c r="I54" s="19">
        <v>0</v>
      </c>
      <c r="J54" s="50">
        <f>J53-G57</f>
        <v>-309.83299999999986</v>
      </c>
      <c r="K54" s="50">
        <f>K53-H57</f>
        <v>-135.7940000000001</v>
      </c>
      <c r="L54" s="50">
        <f>L53-I57</f>
        <v>-141.22599999999989</v>
      </c>
    </row>
    <row r="55" spans="1:13" ht="44.7" customHeight="1" x14ac:dyDescent="0.25">
      <c r="A55" s="15" t="s">
        <v>740</v>
      </c>
      <c r="B55" s="57" t="s">
        <v>117</v>
      </c>
      <c r="C55" s="29" t="s">
        <v>108</v>
      </c>
      <c r="D55" s="29" t="s">
        <v>736</v>
      </c>
      <c r="E55" s="29" t="s">
        <v>436</v>
      </c>
      <c r="F55" s="29" t="s">
        <v>223</v>
      </c>
      <c r="G55" s="128">
        <f>G56+G58</f>
        <v>1182.1410000000001</v>
      </c>
      <c r="H55" s="128">
        <f>H56+H58</f>
        <v>1052.0730000000001</v>
      </c>
      <c r="I55" s="128">
        <f>I56+I58</f>
        <v>1094.155</v>
      </c>
    </row>
    <row r="56" spans="1:13" ht="81.599999999999994" customHeight="1" x14ac:dyDescent="0.25">
      <c r="A56" s="21" t="s">
        <v>703</v>
      </c>
      <c r="B56" s="28" t="s">
        <v>117</v>
      </c>
      <c r="C56" s="8" t="s">
        <v>108</v>
      </c>
      <c r="D56" s="8" t="s">
        <v>736</v>
      </c>
      <c r="E56" s="8" t="s">
        <v>436</v>
      </c>
      <c r="F56" s="8" t="s">
        <v>704</v>
      </c>
      <c r="G56" s="19">
        <f>G57</f>
        <v>1182.1410000000001</v>
      </c>
      <c r="H56" s="19">
        <f>H57</f>
        <v>1052.0730000000001</v>
      </c>
      <c r="I56" s="19">
        <f>I57</f>
        <v>1094.155</v>
      </c>
      <c r="J56" s="50">
        <f>G55+G50</f>
        <v>2863.1080000000002</v>
      </c>
      <c r="K56" s="50">
        <f>H55+H50</f>
        <v>2896.0889999999999</v>
      </c>
      <c r="L56" s="50">
        <f>I55+I50</f>
        <v>3011.933</v>
      </c>
    </row>
    <row r="57" spans="1:13" ht="30.6" customHeight="1" x14ac:dyDescent="0.25">
      <c r="A57" s="22" t="s">
        <v>705</v>
      </c>
      <c r="B57" s="28">
        <v>951</v>
      </c>
      <c r="C57" s="8" t="s">
        <v>108</v>
      </c>
      <c r="D57" s="8" t="s">
        <v>736</v>
      </c>
      <c r="E57" s="8" t="s">
        <v>436</v>
      </c>
      <c r="F57" s="8" t="s">
        <v>706</v>
      </c>
      <c r="G57" s="19">
        <f>'3'!F98</f>
        <v>1182.1410000000001</v>
      </c>
      <c r="H57" s="19">
        <f>'3'!G98</f>
        <v>1052.0730000000001</v>
      </c>
      <c r="I57" s="19">
        <f>'3'!H98</f>
        <v>1094.155</v>
      </c>
    </row>
    <row r="58" spans="1:13" ht="31.2" hidden="1" customHeight="1" x14ac:dyDescent="0.25">
      <c r="A58" s="21" t="s">
        <v>709</v>
      </c>
      <c r="B58" s="28">
        <v>951</v>
      </c>
      <c r="C58" s="8" t="s">
        <v>108</v>
      </c>
      <c r="D58" s="8" t="s">
        <v>736</v>
      </c>
      <c r="E58" s="8" t="s">
        <v>436</v>
      </c>
      <c r="F58" s="8" t="s">
        <v>710</v>
      </c>
      <c r="G58" s="19">
        <f>G59</f>
        <v>0</v>
      </c>
      <c r="H58" s="19">
        <f>H59</f>
        <v>0</v>
      </c>
      <c r="I58" s="19">
        <f>I59</f>
        <v>0</v>
      </c>
    </row>
    <row r="59" spans="1:13" ht="41.4" hidden="1" x14ac:dyDescent="0.25">
      <c r="A59" s="22" t="s">
        <v>711</v>
      </c>
      <c r="B59" s="28">
        <v>951</v>
      </c>
      <c r="C59" s="8" t="s">
        <v>108</v>
      </c>
      <c r="D59" s="8" t="s">
        <v>736</v>
      </c>
      <c r="E59" s="8" t="s">
        <v>436</v>
      </c>
      <c r="F59" s="8" t="s">
        <v>712</v>
      </c>
      <c r="G59" s="19">
        <v>0</v>
      </c>
      <c r="H59" s="19">
        <v>0</v>
      </c>
      <c r="I59" s="19">
        <v>0</v>
      </c>
    </row>
    <row r="60" spans="1:13" ht="102.6" customHeight="1" x14ac:dyDescent="0.25">
      <c r="A60" s="15" t="s">
        <v>741</v>
      </c>
      <c r="B60" s="57">
        <v>951</v>
      </c>
      <c r="C60" s="29" t="s">
        <v>108</v>
      </c>
      <c r="D60" s="29" t="s">
        <v>736</v>
      </c>
      <c r="E60" s="29" t="s">
        <v>742</v>
      </c>
      <c r="F60" s="29" t="s">
        <v>223</v>
      </c>
      <c r="G60" s="26">
        <f>G61+G63</f>
        <v>1447.646</v>
      </c>
      <c r="H60" s="26">
        <f>H61+H63</f>
        <v>1641.578</v>
      </c>
      <c r="I60" s="26">
        <f>I61+I63</f>
        <v>1696.2670000000001</v>
      </c>
    </row>
    <row r="61" spans="1:13" ht="76.2" customHeight="1" x14ac:dyDescent="0.25">
      <c r="A61" s="21" t="s">
        <v>703</v>
      </c>
      <c r="B61" s="28">
        <v>951</v>
      </c>
      <c r="C61" s="8" t="s">
        <v>108</v>
      </c>
      <c r="D61" s="8" t="s">
        <v>736</v>
      </c>
      <c r="E61" s="8" t="s">
        <v>742</v>
      </c>
      <c r="F61" s="8" t="s">
        <v>704</v>
      </c>
      <c r="G61" s="24">
        <f>G62</f>
        <v>1447.646</v>
      </c>
      <c r="H61" s="24">
        <f>H62</f>
        <v>1641.578</v>
      </c>
      <c r="I61" s="24">
        <f>I62</f>
        <v>1696.2670000000001</v>
      </c>
    </row>
    <row r="62" spans="1:13" ht="27.6" x14ac:dyDescent="0.25">
      <c r="A62" s="22" t="s">
        <v>705</v>
      </c>
      <c r="B62" s="28">
        <v>951</v>
      </c>
      <c r="C62" s="8" t="s">
        <v>108</v>
      </c>
      <c r="D62" s="8" t="s">
        <v>736</v>
      </c>
      <c r="E62" s="8" t="s">
        <v>742</v>
      </c>
      <c r="F62" s="8" t="s">
        <v>706</v>
      </c>
      <c r="G62" s="19">
        <f>'3'!F103</f>
        <v>1447.646</v>
      </c>
      <c r="H62" s="19">
        <f>'3'!G103</f>
        <v>1641.578</v>
      </c>
      <c r="I62" s="19">
        <f>'3'!H103</f>
        <v>1696.2670000000001</v>
      </c>
    </row>
    <row r="63" spans="1:13" ht="27.6" hidden="1" x14ac:dyDescent="0.25">
      <c r="A63" s="21" t="s">
        <v>709</v>
      </c>
      <c r="B63" s="28">
        <v>951</v>
      </c>
      <c r="C63" s="8" t="s">
        <v>108</v>
      </c>
      <c r="D63" s="8" t="s">
        <v>736</v>
      </c>
      <c r="E63" s="8" t="s">
        <v>742</v>
      </c>
      <c r="F63" s="8" t="s">
        <v>710</v>
      </c>
      <c r="G63" s="19">
        <f>G64</f>
        <v>0</v>
      </c>
      <c r="H63" s="19">
        <f>H64</f>
        <v>0</v>
      </c>
      <c r="I63" s="19">
        <f>I64</f>
        <v>0</v>
      </c>
      <c r="J63" s="50"/>
    </row>
    <row r="64" spans="1:13" ht="41.4" hidden="1" x14ac:dyDescent="0.25">
      <c r="A64" s="22" t="s">
        <v>711</v>
      </c>
      <c r="B64" s="28">
        <v>951</v>
      </c>
      <c r="C64" s="8" t="s">
        <v>108</v>
      </c>
      <c r="D64" s="8" t="s">
        <v>736</v>
      </c>
      <c r="E64" s="8" t="s">
        <v>742</v>
      </c>
      <c r="F64" s="8" t="s">
        <v>712</v>
      </c>
      <c r="G64" s="19">
        <v>0</v>
      </c>
      <c r="H64" s="19">
        <v>0</v>
      </c>
      <c r="I64" s="19">
        <v>0</v>
      </c>
    </row>
    <row r="65" spans="1:13" ht="64.2" customHeight="1" x14ac:dyDescent="0.25">
      <c r="A65" s="370" t="s">
        <v>743</v>
      </c>
      <c r="B65" s="57">
        <v>951</v>
      </c>
      <c r="C65" s="29" t="s">
        <v>108</v>
      </c>
      <c r="D65" s="29" t="s">
        <v>736</v>
      </c>
      <c r="E65" s="29" t="s">
        <v>744</v>
      </c>
      <c r="F65" s="29" t="s">
        <v>223</v>
      </c>
      <c r="G65" s="26">
        <f>G68+G66</f>
        <v>445.22699999999998</v>
      </c>
      <c r="H65" s="26">
        <f>H68+H66</f>
        <v>449.23899999999998</v>
      </c>
      <c r="I65" s="26">
        <f>I68+I66</f>
        <v>465.44900000000001</v>
      </c>
      <c r="K65" s="45">
        <f>'2  '!D93</f>
        <v>445.22699999999998</v>
      </c>
      <c r="L65" s="45">
        <f>'2  '!E93</f>
        <v>449.23899999999998</v>
      </c>
      <c r="M65" s="45">
        <f>'2  '!F93</f>
        <v>465.44900000000001</v>
      </c>
    </row>
    <row r="66" spans="1:13" ht="64.2" customHeight="1" x14ac:dyDescent="0.25">
      <c r="A66" s="21" t="s">
        <v>703</v>
      </c>
      <c r="B66" s="28">
        <v>951</v>
      </c>
      <c r="C66" s="8" t="s">
        <v>108</v>
      </c>
      <c r="D66" s="8" t="s">
        <v>736</v>
      </c>
      <c r="E66" s="8" t="s">
        <v>744</v>
      </c>
      <c r="F66" s="8" t="s">
        <v>704</v>
      </c>
      <c r="G66" s="26">
        <f>G67</f>
        <v>154.45699999999999</v>
      </c>
      <c r="H66" s="26">
        <f>H67</f>
        <v>154.45699999999999</v>
      </c>
      <c r="I66" s="26">
        <f>I67</f>
        <v>154.45699999999999</v>
      </c>
      <c r="J66" s="26">
        <f>J67</f>
        <v>0</v>
      </c>
    </row>
    <row r="67" spans="1:13" ht="42" customHeight="1" x14ac:dyDescent="0.25">
      <c r="A67" s="22" t="s">
        <v>705</v>
      </c>
      <c r="B67" s="28">
        <v>951</v>
      </c>
      <c r="C67" s="8" t="s">
        <v>108</v>
      </c>
      <c r="D67" s="8" t="s">
        <v>736</v>
      </c>
      <c r="E67" s="8" t="s">
        <v>744</v>
      </c>
      <c r="F67" s="8" t="s">
        <v>706</v>
      </c>
      <c r="G67" s="26">
        <f>'3'!F107</f>
        <v>154.45699999999999</v>
      </c>
      <c r="H67" s="26">
        <f>'3'!G107</f>
        <v>154.45699999999999</v>
      </c>
      <c r="I67" s="26">
        <f>'3'!H107</f>
        <v>154.45699999999999</v>
      </c>
    </row>
    <row r="68" spans="1:13" ht="27.6" x14ac:dyDescent="0.25">
      <c r="A68" s="21" t="s">
        <v>709</v>
      </c>
      <c r="B68" s="28">
        <v>951</v>
      </c>
      <c r="C68" s="8" t="s">
        <v>108</v>
      </c>
      <c r="D68" s="8" t="s">
        <v>736</v>
      </c>
      <c r="E68" s="8" t="s">
        <v>744</v>
      </c>
      <c r="F68" s="8" t="s">
        <v>710</v>
      </c>
      <c r="G68" s="24">
        <f>G69</f>
        <v>290.77</v>
      </c>
      <c r="H68" s="24">
        <f>H69</f>
        <v>294.78199999999998</v>
      </c>
      <c r="I68" s="24">
        <f>I69</f>
        <v>310.99200000000002</v>
      </c>
    </row>
    <row r="69" spans="1:13" ht="41.4" x14ac:dyDescent="0.25">
      <c r="A69" s="22" t="s">
        <v>711</v>
      </c>
      <c r="B69" s="28">
        <v>951</v>
      </c>
      <c r="C69" s="8" t="s">
        <v>108</v>
      </c>
      <c r="D69" s="8" t="s">
        <v>736</v>
      </c>
      <c r="E69" s="8" t="s">
        <v>744</v>
      </c>
      <c r="F69" s="8" t="s">
        <v>712</v>
      </c>
      <c r="G69" s="24">
        <f>'3'!F109</f>
        <v>290.77</v>
      </c>
      <c r="H69" s="24">
        <f>'3'!G109</f>
        <v>294.78199999999998</v>
      </c>
      <c r="I69" s="24">
        <f>'3'!H109</f>
        <v>310.99200000000002</v>
      </c>
    </row>
    <row r="70" spans="1:13" s="76" customFormat="1" ht="28.8" hidden="1" x14ac:dyDescent="0.25">
      <c r="A70" s="371" t="s">
        <v>435</v>
      </c>
      <c r="B70" s="31">
        <v>951</v>
      </c>
      <c r="C70" s="32" t="s">
        <v>108</v>
      </c>
      <c r="D70" s="32" t="s">
        <v>736</v>
      </c>
      <c r="E70" s="32" t="s">
        <v>437</v>
      </c>
      <c r="F70" s="32" t="s">
        <v>223</v>
      </c>
      <c r="G70" s="33">
        <f>G71</f>
        <v>0</v>
      </c>
      <c r="H70" s="33">
        <f>H71</f>
        <v>0</v>
      </c>
      <c r="I70" s="33">
        <f>I71</f>
        <v>0</v>
      </c>
    </row>
    <row r="71" spans="1:13" ht="41.4" hidden="1" x14ac:dyDescent="0.25">
      <c r="A71" s="22" t="s">
        <v>711</v>
      </c>
      <c r="B71" s="28">
        <v>951</v>
      </c>
      <c r="C71" s="8" t="s">
        <v>108</v>
      </c>
      <c r="D71" s="8" t="s">
        <v>736</v>
      </c>
      <c r="E71" s="8" t="s">
        <v>437</v>
      </c>
      <c r="F71" s="8" t="s">
        <v>712</v>
      </c>
      <c r="G71" s="24"/>
      <c r="H71" s="24"/>
      <c r="I71" s="24"/>
    </row>
    <row r="72" spans="1:13" ht="55.2" hidden="1" x14ac:dyDescent="0.25">
      <c r="A72" s="372" t="s">
        <v>235</v>
      </c>
      <c r="B72" s="28">
        <v>951</v>
      </c>
      <c r="C72" s="8" t="s">
        <v>108</v>
      </c>
      <c r="D72" s="8" t="s">
        <v>736</v>
      </c>
      <c r="E72" s="29" t="s">
        <v>21</v>
      </c>
      <c r="F72" s="29" t="s">
        <v>223</v>
      </c>
      <c r="G72" s="26">
        <f>G73+G74</f>
        <v>0</v>
      </c>
      <c r="H72" s="26">
        <f>H73+H74</f>
        <v>0</v>
      </c>
      <c r="I72" s="26">
        <f>I73+I74</f>
        <v>0</v>
      </c>
    </row>
    <row r="73" spans="1:13" ht="69" hidden="1" x14ac:dyDescent="0.25">
      <c r="A73" s="373" t="s">
        <v>751</v>
      </c>
      <c r="B73" s="28">
        <v>951</v>
      </c>
      <c r="C73" s="8" t="s">
        <v>108</v>
      </c>
      <c r="D73" s="8" t="s">
        <v>736</v>
      </c>
      <c r="E73" s="8" t="s">
        <v>251</v>
      </c>
      <c r="F73" s="8" t="s">
        <v>750</v>
      </c>
      <c r="G73" s="24"/>
      <c r="H73" s="24"/>
      <c r="I73" s="24"/>
    </row>
    <row r="74" spans="1:13" ht="69" hidden="1" x14ac:dyDescent="0.25">
      <c r="A74" s="64" t="s">
        <v>969</v>
      </c>
      <c r="B74" s="28">
        <v>951</v>
      </c>
      <c r="C74" s="8" t="s">
        <v>108</v>
      </c>
      <c r="D74" s="8" t="s">
        <v>736</v>
      </c>
      <c r="E74" s="8" t="s">
        <v>78</v>
      </c>
      <c r="F74" s="8" t="s">
        <v>750</v>
      </c>
      <c r="G74" s="24"/>
      <c r="H74" s="24"/>
      <c r="I74" s="24"/>
    </row>
    <row r="75" spans="1:13" s="59" customFormat="1" ht="55.2" hidden="1" x14ac:dyDescent="0.3">
      <c r="A75" s="15" t="s">
        <v>413</v>
      </c>
      <c r="B75" s="28">
        <v>951</v>
      </c>
      <c r="C75" s="29" t="s">
        <v>108</v>
      </c>
      <c r="D75" s="29" t="s">
        <v>736</v>
      </c>
      <c r="E75" s="29" t="s">
        <v>414</v>
      </c>
      <c r="F75" s="29" t="s">
        <v>223</v>
      </c>
      <c r="G75" s="26">
        <f t="shared" ref="G75:I76" si="5">G76</f>
        <v>0</v>
      </c>
      <c r="H75" s="26">
        <f t="shared" si="5"/>
        <v>0</v>
      </c>
      <c r="I75" s="26">
        <f t="shared" si="5"/>
        <v>0</v>
      </c>
    </row>
    <row r="76" spans="1:13" ht="82.8" hidden="1" x14ac:dyDescent="0.25">
      <c r="A76" s="21" t="s">
        <v>703</v>
      </c>
      <c r="B76" s="28">
        <v>951</v>
      </c>
      <c r="C76" s="8" t="s">
        <v>108</v>
      </c>
      <c r="D76" s="8" t="s">
        <v>736</v>
      </c>
      <c r="E76" s="8" t="s">
        <v>414</v>
      </c>
      <c r="F76" s="8" t="s">
        <v>704</v>
      </c>
      <c r="G76" s="24">
        <f t="shared" si="5"/>
        <v>0</v>
      </c>
      <c r="H76" s="24">
        <f t="shared" si="5"/>
        <v>0</v>
      </c>
      <c r="I76" s="24">
        <f t="shared" si="5"/>
        <v>0</v>
      </c>
    </row>
    <row r="77" spans="1:13" ht="27.6" hidden="1" x14ac:dyDescent="0.25">
      <c r="A77" s="22" t="s">
        <v>705</v>
      </c>
      <c r="B77" s="28">
        <v>951</v>
      </c>
      <c r="C77" s="8" t="s">
        <v>108</v>
      </c>
      <c r="D77" s="8" t="s">
        <v>736</v>
      </c>
      <c r="E77" s="8" t="s">
        <v>414</v>
      </c>
      <c r="F77" s="8" t="s">
        <v>706</v>
      </c>
      <c r="G77" s="24"/>
      <c r="H77" s="24"/>
      <c r="I77" s="24"/>
    </row>
    <row r="78" spans="1:13" ht="28.8" x14ac:dyDescent="0.25">
      <c r="A78" s="34" t="s">
        <v>702</v>
      </c>
      <c r="B78" s="56">
        <v>951</v>
      </c>
      <c r="C78" s="36" t="s">
        <v>108</v>
      </c>
      <c r="D78" s="36" t="s">
        <v>736</v>
      </c>
      <c r="E78" s="36" t="s">
        <v>5</v>
      </c>
      <c r="F78" s="36" t="s">
        <v>223</v>
      </c>
      <c r="G78" s="35">
        <f>G79</f>
        <v>7652.6860999999999</v>
      </c>
      <c r="H78" s="35">
        <f>H79</f>
        <v>7697.5</v>
      </c>
      <c r="I78" s="35">
        <f>I79</f>
        <v>7697.5</v>
      </c>
    </row>
    <row r="79" spans="1:13" ht="42" customHeight="1" x14ac:dyDescent="0.25">
      <c r="A79" s="21" t="s">
        <v>110</v>
      </c>
      <c r="B79" s="28">
        <v>951</v>
      </c>
      <c r="C79" s="8" t="s">
        <v>108</v>
      </c>
      <c r="D79" s="8" t="s">
        <v>736</v>
      </c>
      <c r="E79" s="8" t="s">
        <v>6</v>
      </c>
      <c r="F79" s="8" t="s">
        <v>223</v>
      </c>
      <c r="G79" s="24">
        <f>G80+G85+G112+G115+G118+G121+G124</f>
        <v>7652.6860999999999</v>
      </c>
      <c r="H79" s="24">
        <f>H80+H85+H112+H115+H118+H121+H124</f>
        <v>7697.5</v>
      </c>
      <c r="I79" s="24">
        <f>I80+I85+I112+I115+I118+I121+I124</f>
        <v>7697.5</v>
      </c>
    </row>
    <row r="80" spans="1:13" ht="45.6" customHeight="1" x14ac:dyDescent="0.25">
      <c r="A80" s="21" t="s">
        <v>752</v>
      </c>
      <c r="B80" s="28">
        <v>951</v>
      </c>
      <c r="C80" s="8" t="s">
        <v>108</v>
      </c>
      <c r="D80" s="8" t="s">
        <v>736</v>
      </c>
      <c r="E80" s="8" t="s">
        <v>9</v>
      </c>
      <c r="F80" s="8" t="s">
        <v>223</v>
      </c>
      <c r="G80" s="24">
        <f>G81+G83</f>
        <v>7247.5</v>
      </c>
      <c r="H80" s="24">
        <f>H81+H83</f>
        <v>7247.5</v>
      </c>
      <c r="I80" s="24">
        <f>I81+I83</f>
        <v>7247.5</v>
      </c>
    </row>
    <row r="81" spans="1:9" ht="82.2" customHeight="1" x14ac:dyDescent="0.25">
      <c r="A81" s="21" t="s">
        <v>703</v>
      </c>
      <c r="B81" s="28">
        <v>951</v>
      </c>
      <c r="C81" s="8" t="s">
        <v>108</v>
      </c>
      <c r="D81" s="8" t="s">
        <v>736</v>
      </c>
      <c r="E81" s="8" t="s">
        <v>9</v>
      </c>
      <c r="F81" s="8" t="s">
        <v>704</v>
      </c>
      <c r="G81" s="24">
        <f>G82</f>
        <v>7155.5</v>
      </c>
      <c r="H81" s="24">
        <f>H82</f>
        <v>7155.5</v>
      </c>
      <c r="I81" s="24">
        <f>I82</f>
        <v>7155.5</v>
      </c>
    </row>
    <row r="82" spans="1:9" ht="27.6" x14ac:dyDescent="0.25">
      <c r="A82" s="22" t="s">
        <v>705</v>
      </c>
      <c r="B82" s="28">
        <v>951</v>
      </c>
      <c r="C82" s="8" t="s">
        <v>108</v>
      </c>
      <c r="D82" s="8" t="s">
        <v>736</v>
      </c>
      <c r="E82" s="8" t="s">
        <v>9</v>
      </c>
      <c r="F82" s="8" t="s">
        <v>706</v>
      </c>
      <c r="G82" s="24">
        <f>'3'!F127</f>
        <v>7155.5</v>
      </c>
      <c r="H82" s="24">
        <f>'3'!G127</f>
        <v>7155.5</v>
      </c>
      <c r="I82" s="24">
        <f>'3'!H127</f>
        <v>7155.5</v>
      </c>
    </row>
    <row r="83" spans="1:9" ht="27.6" x14ac:dyDescent="0.25">
      <c r="A83" s="21" t="s">
        <v>709</v>
      </c>
      <c r="B83" s="28">
        <v>951</v>
      </c>
      <c r="C83" s="8" t="s">
        <v>108</v>
      </c>
      <c r="D83" s="8" t="s">
        <v>736</v>
      </c>
      <c r="E83" s="8" t="s">
        <v>9</v>
      </c>
      <c r="F83" s="8" t="s">
        <v>710</v>
      </c>
      <c r="G83" s="24">
        <f>G84</f>
        <v>92</v>
      </c>
      <c r="H83" s="24">
        <f>H84</f>
        <v>92</v>
      </c>
      <c r="I83" s="24">
        <f>I84</f>
        <v>92</v>
      </c>
    </row>
    <row r="84" spans="1:9" ht="43.2" customHeight="1" x14ac:dyDescent="0.25">
      <c r="A84" s="22" t="s">
        <v>711</v>
      </c>
      <c r="B84" s="28">
        <v>951</v>
      </c>
      <c r="C84" s="8" t="s">
        <v>108</v>
      </c>
      <c r="D84" s="8" t="s">
        <v>736</v>
      </c>
      <c r="E84" s="8" t="s">
        <v>9</v>
      </c>
      <c r="F84" s="8" t="s">
        <v>712</v>
      </c>
      <c r="G84" s="24">
        <f>'3'!F129</f>
        <v>92</v>
      </c>
      <c r="H84" s="24">
        <f>'3'!G129</f>
        <v>92</v>
      </c>
      <c r="I84" s="24">
        <f>'3'!H129</f>
        <v>92</v>
      </c>
    </row>
    <row r="85" spans="1:9" x14ac:dyDescent="0.25">
      <c r="A85" s="15" t="s">
        <v>753</v>
      </c>
      <c r="B85" s="57">
        <v>951</v>
      </c>
      <c r="C85" s="29" t="s">
        <v>108</v>
      </c>
      <c r="D85" s="29" t="s">
        <v>736</v>
      </c>
      <c r="E85" s="29" t="s">
        <v>12</v>
      </c>
      <c r="F85" s="29" t="s">
        <v>223</v>
      </c>
      <c r="G85" s="128">
        <f t="shared" ref="G85:I86" si="6">G86</f>
        <v>5.5111000000000008</v>
      </c>
      <c r="H85" s="26">
        <f t="shared" si="6"/>
        <v>0</v>
      </c>
      <c r="I85" s="26">
        <f t="shared" si="6"/>
        <v>0</v>
      </c>
    </row>
    <row r="86" spans="1:9" x14ac:dyDescent="0.25">
      <c r="A86" s="21" t="s">
        <v>713</v>
      </c>
      <c r="B86" s="28">
        <v>951</v>
      </c>
      <c r="C86" s="8" t="s">
        <v>108</v>
      </c>
      <c r="D86" s="8" t="s">
        <v>736</v>
      </c>
      <c r="E86" s="8" t="s">
        <v>12</v>
      </c>
      <c r="F86" s="8" t="s">
        <v>714</v>
      </c>
      <c r="G86" s="19">
        <f t="shared" si="6"/>
        <v>5.5111000000000008</v>
      </c>
      <c r="H86" s="24">
        <f t="shared" si="6"/>
        <v>0</v>
      </c>
      <c r="I86" s="24">
        <f t="shared" si="6"/>
        <v>0</v>
      </c>
    </row>
    <row r="87" spans="1:9" x14ac:dyDescent="0.25">
      <c r="A87" s="21" t="s">
        <v>753</v>
      </c>
      <c r="B87" s="28">
        <v>951</v>
      </c>
      <c r="C87" s="8" t="s">
        <v>108</v>
      </c>
      <c r="D87" s="8" t="s">
        <v>736</v>
      </c>
      <c r="E87" s="8" t="s">
        <v>12</v>
      </c>
      <c r="F87" s="8" t="s">
        <v>754</v>
      </c>
      <c r="G87" s="19">
        <f>'5'!D262</f>
        <v>5.5111000000000008</v>
      </c>
      <c r="H87" s="19">
        <f>'5'!E262</f>
        <v>0</v>
      </c>
      <c r="I87" s="19">
        <f>'5'!F262</f>
        <v>0</v>
      </c>
    </row>
    <row r="88" spans="1:9" ht="57.6" customHeight="1" x14ac:dyDescent="0.25">
      <c r="A88" s="15" t="s">
        <v>755</v>
      </c>
      <c r="B88" s="57">
        <v>951</v>
      </c>
      <c r="C88" s="29" t="s">
        <v>108</v>
      </c>
      <c r="D88" s="29" t="s">
        <v>736</v>
      </c>
      <c r="E88" s="29" t="s">
        <v>13</v>
      </c>
      <c r="F88" s="29" t="s">
        <v>223</v>
      </c>
      <c r="G88" s="128">
        <f t="shared" ref="G88:I89" si="7">G89</f>
        <v>610</v>
      </c>
      <c r="H88" s="26">
        <f t="shared" si="7"/>
        <v>420.96</v>
      </c>
      <c r="I88" s="26">
        <f t="shared" si="7"/>
        <v>420.96</v>
      </c>
    </row>
    <row r="89" spans="1:9" ht="27.6" x14ac:dyDescent="0.25">
      <c r="A89" s="21" t="s">
        <v>709</v>
      </c>
      <c r="B89" s="28">
        <v>951</v>
      </c>
      <c r="C89" s="8" t="s">
        <v>108</v>
      </c>
      <c r="D89" s="8" t="s">
        <v>736</v>
      </c>
      <c r="E89" s="8" t="s">
        <v>13</v>
      </c>
      <c r="F89" s="8" t="s">
        <v>710</v>
      </c>
      <c r="G89" s="19">
        <f t="shared" si="7"/>
        <v>610</v>
      </c>
      <c r="H89" s="24">
        <f t="shared" si="7"/>
        <v>420.96</v>
      </c>
      <c r="I89" s="24">
        <f t="shared" si="7"/>
        <v>420.96</v>
      </c>
    </row>
    <row r="90" spans="1:9" ht="41.4" x14ac:dyDescent="0.25">
      <c r="A90" s="22" t="s">
        <v>711</v>
      </c>
      <c r="B90" s="28">
        <v>951</v>
      </c>
      <c r="C90" s="8" t="s">
        <v>108</v>
      </c>
      <c r="D90" s="8" t="s">
        <v>736</v>
      </c>
      <c r="E90" s="8" t="s">
        <v>13</v>
      </c>
      <c r="F90" s="8" t="s">
        <v>712</v>
      </c>
      <c r="G90" s="19">
        <f>'5'!D264</f>
        <v>610</v>
      </c>
      <c r="H90" s="19">
        <f>'5'!E264</f>
        <v>420.96</v>
      </c>
      <c r="I90" s="19">
        <f>'5'!F264</f>
        <v>420.96</v>
      </c>
    </row>
    <row r="91" spans="1:9" x14ac:dyDescent="0.25">
      <c r="A91" s="370" t="s">
        <v>275</v>
      </c>
      <c r="B91" s="57" t="s">
        <v>117</v>
      </c>
      <c r="C91" s="29" t="s">
        <v>108</v>
      </c>
      <c r="D91" s="29" t="s">
        <v>736</v>
      </c>
      <c r="E91" s="29" t="s">
        <v>276</v>
      </c>
      <c r="F91" s="29" t="s">
        <v>223</v>
      </c>
      <c r="G91" s="128">
        <f>G92+G94</f>
        <v>2481.7728099999999</v>
      </c>
      <c r="H91" s="26">
        <f>H92+H94</f>
        <v>2087.15</v>
      </c>
      <c r="I91" s="26">
        <f>I92+I94</f>
        <v>2087.15</v>
      </c>
    </row>
    <row r="92" spans="1:9" ht="34.200000000000003" customHeight="1" x14ac:dyDescent="0.25">
      <c r="A92" s="21" t="s">
        <v>709</v>
      </c>
      <c r="B92" s="28" t="s">
        <v>117</v>
      </c>
      <c r="C92" s="8" t="s">
        <v>108</v>
      </c>
      <c r="D92" s="8" t="s">
        <v>736</v>
      </c>
      <c r="E92" s="8" t="s">
        <v>276</v>
      </c>
      <c r="F92" s="8" t="s">
        <v>710</v>
      </c>
      <c r="G92" s="19">
        <f>G93</f>
        <v>2481.7728099999999</v>
      </c>
      <c r="H92" s="24">
        <f>H93</f>
        <v>2087.15</v>
      </c>
      <c r="I92" s="24">
        <f>I93</f>
        <v>2087.15</v>
      </c>
    </row>
    <row r="93" spans="1:9" ht="41.4" x14ac:dyDescent="0.25">
      <c r="A93" s="22" t="s">
        <v>711</v>
      </c>
      <c r="B93" s="28" t="s">
        <v>117</v>
      </c>
      <c r="C93" s="8" t="s">
        <v>108</v>
      </c>
      <c r="D93" s="8" t="s">
        <v>736</v>
      </c>
      <c r="E93" s="8" t="s">
        <v>276</v>
      </c>
      <c r="F93" s="8" t="s">
        <v>712</v>
      </c>
      <c r="G93" s="19">
        <f>'5'!D282</f>
        <v>2481.7728099999999</v>
      </c>
      <c r="H93" s="19">
        <f>'5'!E282</f>
        <v>2087.15</v>
      </c>
      <c r="I93" s="19">
        <f>'5'!F282</f>
        <v>2087.15</v>
      </c>
    </row>
    <row r="94" spans="1:9" hidden="1" x14ac:dyDescent="0.25">
      <c r="A94" s="21" t="s">
        <v>713</v>
      </c>
      <c r="B94" s="28" t="s">
        <v>117</v>
      </c>
      <c r="C94" s="8" t="s">
        <v>108</v>
      </c>
      <c r="D94" s="8" t="s">
        <v>736</v>
      </c>
      <c r="E94" s="8" t="s">
        <v>276</v>
      </c>
      <c r="F94" s="8" t="s">
        <v>714</v>
      </c>
      <c r="G94" s="19">
        <f>G95</f>
        <v>0</v>
      </c>
      <c r="H94" s="24">
        <f>H95</f>
        <v>0</v>
      </c>
      <c r="I94" s="24">
        <f>I95</f>
        <v>0</v>
      </c>
    </row>
    <row r="95" spans="1:9" hidden="1" x14ac:dyDescent="0.25">
      <c r="A95" s="23" t="s">
        <v>715</v>
      </c>
      <c r="B95" s="28" t="s">
        <v>117</v>
      </c>
      <c r="C95" s="8" t="s">
        <v>108</v>
      </c>
      <c r="D95" s="8" t="s">
        <v>736</v>
      </c>
      <c r="E95" s="8" t="s">
        <v>276</v>
      </c>
      <c r="F95" s="8" t="s">
        <v>716</v>
      </c>
      <c r="G95" s="19"/>
      <c r="H95" s="27"/>
      <c r="I95" s="27"/>
    </row>
    <row r="96" spans="1:9" ht="69" x14ac:dyDescent="0.25">
      <c r="A96" s="374" t="s">
        <v>529</v>
      </c>
      <c r="B96" s="57" t="s">
        <v>117</v>
      </c>
      <c r="C96" s="29" t="s">
        <v>108</v>
      </c>
      <c r="D96" s="29" t="s">
        <v>736</v>
      </c>
      <c r="E96" s="8" t="s">
        <v>530</v>
      </c>
      <c r="F96" s="29" t="s">
        <v>223</v>
      </c>
      <c r="G96" s="128">
        <f>G97+G99</f>
        <v>172.5</v>
      </c>
      <c r="H96" s="26">
        <f>H97+H99</f>
        <v>0</v>
      </c>
      <c r="I96" s="26">
        <f>I97+I99</f>
        <v>0</v>
      </c>
    </row>
    <row r="97" spans="1:11" ht="27.6" x14ac:dyDescent="0.25">
      <c r="A97" s="21" t="s">
        <v>709</v>
      </c>
      <c r="B97" s="28" t="s">
        <v>117</v>
      </c>
      <c r="C97" s="8" t="s">
        <v>108</v>
      </c>
      <c r="D97" s="8" t="s">
        <v>736</v>
      </c>
      <c r="E97" s="8" t="s">
        <v>530</v>
      </c>
      <c r="F97" s="8" t="s">
        <v>710</v>
      </c>
      <c r="G97" s="19">
        <f>G98</f>
        <v>172.5</v>
      </c>
      <c r="H97" s="24">
        <f>H98</f>
        <v>0</v>
      </c>
      <c r="I97" s="24">
        <f>I98</f>
        <v>0</v>
      </c>
    </row>
    <row r="98" spans="1:11" ht="41.4" x14ac:dyDescent="0.25">
      <c r="A98" s="22" t="s">
        <v>711</v>
      </c>
      <c r="B98" s="28" t="s">
        <v>117</v>
      </c>
      <c r="C98" s="8" t="s">
        <v>108</v>
      </c>
      <c r="D98" s="8" t="s">
        <v>736</v>
      </c>
      <c r="E98" s="8" t="s">
        <v>530</v>
      </c>
      <c r="F98" s="8" t="s">
        <v>712</v>
      </c>
      <c r="G98" s="19">
        <f>'5'!D291</f>
        <v>172.5</v>
      </c>
      <c r="H98" s="24">
        <v>0</v>
      </c>
      <c r="I98" s="24">
        <v>0</v>
      </c>
    </row>
    <row r="99" spans="1:11" hidden="1" x14ac:dyDescent="0.25">
      <c r="A99" s="21" t="s">
        <v>713</v>
      </c>
      <c r="B99" s="28" t="s">
        <v>117</v>
      </c>
      <c r="C99" s="8" t="s">
        <v>108</v>
      </c>
      <c r="D99" s="8" t="s">
        <v>736</v>
      </c>
      <c r="E99" s="8" t="s">
        <v>301</v>
      </c>
      <c r="F99" s="8" t="s">
        <v>714</v>
      </c>
      <c r="G99" s="19">
        <f>G100</f>
        <v>0</v>
      </c>
      <c r="H99" s="24">
        <f>H100</f>
        <v>0</v>
      </c>
      <c r="I99" s="24">
        <f>I100</f>
        <v>0</v>
      </c>
    </row>
    <row r="100" spans="1:11" hidden="1" x14ac:dyDescent="0.25">
      <c r="A100" s="23" t="s">
        <v>715</v>
      </c>
      <c r="B100" s="28" t="s">
        <v>117</v>
      </c>
      <c r="C100" s="8" t="s">
        <v>108</v>
      </c>
      <c r="D100" s="8" t="s">
        <v>736</v>
      </c>
      <c r="E100" s="8" t="s">
        <v>301</v>
      </c>
      <c r="F100" s="8" t="s">
        <v>716</v>
      </c>
      <c r="G100" s="19"/>
      <c r="H100" s="24"/>
      <c r="I100" s="24"/>
    </row>
    <row r="101" spans="1:11" ht="73.95" customHeight="1" x14ac:dyDescent="0.25">
      <c r="A101" s="371" t="s">
        <v>756</v>
      </c>
      <c r="B101" s="31" t="s">
        <v>117</v>
      </c>
      <c r="C101" s="32" t="s">
        <v>108</v>
      </c>
      <c r="D101" s="32" t="s">
        <v>736</v>
      </c>
      <c r="E101" s="32" t="s">
        <v>699</v>
      </c>
      <c r="F101" s="32" t="s">
        <v>223</v>
      </c>
      <c r="G101" s="134">
        <f>G102</f>
        <v>1947.6983500000001</v>
      </c>
      <c r="H101" s="33">
        <f t="shared" ref="H101:I102" si="8">H102</f>
        <v>1759.7543500000002</v>
      </c>
      <c r="I101" s="33">
        <f t="shared" si="8"/>
        <v>1759.75434</v>
      </c>
    </row>
    <row r="102" spans="1:11" ht="27.6" x14ac:dyDescent="0.25">
      <c r="A102" s="21" t="s">
        <v>732</v>
      </c>
      <c r="B102" s="28" t="s">
        <v>117</v>
      </c>
      <c r="C102" s="8" t="s">
        <v>108</v>
      </c>
      <c r="D102" s="8" t="s">
        <v>736</v>
      </c>
      <c r="E102" s="8" t="s">
        <v>5</v>
      </c>
      <c r="F102" s="8" t="s">
        <v>223</v>
      </c>
      <c r="G102" s="19">
        <f>G103</f>
        <v>1947.6983500000001</v>
      </c>
      <c r="H102" s="24">
        <f t="shared" si="8"/>
        <v>1759.7543500000002</v>
      </c>
      <c r="I102" s="24">
        <f t="shared" si="8"/>
        <v>1759.75434</v>
      </c>
    </row>
    <row r="103" spans="1:11" ht="41.4" x14ac:dyDescent="0.25">
      <c r="A103" s="21" t="s">
        <v>110</v>
      </c>
      <c r="B103" s="28" t="s">
        <v>117</v>
      </c>
      <c r="C103" s="8" t="s">
        <v>108</v>
      </c>
      <c r="D103" s="8" t="s">
        <v>736</v>
      </c>
      <c r="E103" s="8" t="s">
        <v>6</v>
      </c>
      <c r="F103" s="8" t="s">
        <v>223</v>
      </c>
      <c r="G103" s="24">
        <f>G104+G106</f>
        <v>1947.6983500000001</v>
      </c>
      <c r="H103" s="24">
        <f>H104+H106</f>
        <v>1759.7543500000002</v>
      </c>
      <c r="I103" s="24">
        <f>I104+I106</f>
        <v>1759.75434</v>
      </c>
    </row>
    <row r="104" spans="1:11" ht="82.8" x14ac:dyDescent="0.25">
      <c r="A104" s="21" t="s">
        <v>703</v>
      </c>
      <c r="B104" s="28" t="s">
        <v>117</v>
      </c>
      <c r="C104" s="8" t="s">
        <v>108</v>
      </c>
      <c r="D104" s="8" t="s">
        <v>736</v>
      </c>
      <c r="E104" s="3" t="s">
        <v>1092</v>
      </c>
      <c r="F104" s="6" t="s">
        <v>704</v>
      </c>
      <c r="G104" s="19">
        <f>G105</f>
        <v>1224.33123</v>
      </c>
      <c r="H104" s="24">
        <f>H105</f>
        <v>976.86347000000001</v>
      </c>
      <c r="I104" s="24">
        <f>I105</f>
        <v>976.86347000000001</v>
      </c>
    </row>
    <row r="105" spans="1:11" ht="31.95" customHeight="1" x14ac:dyDescent="0.25">
      <c r="A105" s="21" t="s">
        <v>705</v>
      </c>
      <c r="B105" s="28" t="s">
        <v>117</v>
      </c>
      <c r="C105" s="8" t="s">
        <v>108</v>
      </c>
      <c r="D105" s="8" t="s">
        <v>736</v>
      </c>
      <c r="E105" s="3" t="s">
        <v>1092</v>
      </c>
      <c r="F105" s="6" t="s">
        <v>706</v>
      </c>
      <c r="G105" s="19">
        <f>'3'!F152</f>
        <v>1224.33123</v>
      </c>
      <c r="H105" s="24">
        <f>'3'!G152</f>
        <v>976.86347000000001</v>
      </c>
      <c r="I105" s="24">
        <f>'3'!H152</f>
        <v>976.86347000000001</v>
      </c>
      <c r="J105" s="375"/>
      <c r="K105" s="50"/>
    </row>
    <row r="106" spans="1:11" ht="27.6" x14ac:dyDescent="0.25">
      <c r="A106" s="21" t="s">
        <v>709</v>
      </c>
      <c r="B106" s="28" t="s">
        <v>117</v>
      </c>
      <c r="C106" s="8" t="s">
        <v>108</v>
      </c>
      <c r="D106" s="8" t="s">
        <v>736</v>
      </c>
      <c r="E106" s="3" t="s">
        <v>1092</v>
      </c>
      <c r="F106" s="6" t="s">
        <v>710</v>
      </c>
      <c r="G106" s="19">
        <f>G107</f>
        <v>723.36712</v>
      </c>
      <c r="H106" s="24">
        <f>H107</f>
        <v>782.89088000000004</v>
      </c>
      <c r="I106" s="24">
        <f>I107</f>
        <v>782.89086999999995</v>
      </c>
    </row>
    <row r="107" spans="1:11" ht="42.6" customHeight="1" x14ac:dyDescent="0.25">
      <c r="A107" s="22" t="s">
        <v>711</v>
      </c>
      <c r="B107" s="28" t="s">
        <v>117</v>
      </c>
      <c r="C107" s="8" t="s">
        <v>108</v>
      </c>
      <c r="D107" s="8" t="s">
        <v>736</v>
      </c>
      <c r="E107" s="3" t="s">
        <v>1092</v>
      </c>
      <c r="F107" s="6" t="s">
        <v>712</v>
      </c>
      <c r="G107" s="19">
        <f>'3'!F154</f>
        <v>723.36712</v>
      </c>
      <c r="H107" s="19">
        <f>'3'!G154</f>
        <v>782.89088000000004</v>
      </c>
      <c r="I107" s="19">
        <f>'3'!H154</f>
        <v>782.89086999999995</v>
      </c>
    </row>
    <row r="108" spans="1:11" ht="33.6" customHeight="1" x14ac:dyDescent="0.25">
      <c r="A108" s="21" t="s">
        <v>732</v>
      </c>
      <c r="B108" s="28" t="s">
        <v>117</v>
      </c>
      <c r="C108" s="8" t="s">
        <v>108</v>
      </c>
      <c r="D108" s="8" t="s">
        <v>736</v>
      </c>
      <c r="E108" s="8" t="s">
        <v>5</v>
      </c>
      <c r="F108" s="24" t="str">
        <f>F109</f>
        <v>000</v>
      </c>
      <c r="G108" s="24">
        <f>G109</f>
        <v>0</v>
      </c>
      <c r="H108" s="24">
        <f t="shared" ref="H108:I110" si="9">H109</f>
        <v>0</v>
      </c>
      <c r="I108" s="24">
        <f t="shared" si="9"/>
        <v>0</v>
      </c>
    </row>
    <row r="109" spans="1:11" ht="46.95" customHeight="1" x14ac:dyDescent="0.25">
      <c r="A109" s="21" t="s">
        <v>110</v>
      </c>
      <c r="B109" s="28" t="s">
        <v>117</v>
      </c>
      <c r="C109" s="8" t="s">
        <v>108</v>
      </c>
      <c r="D109" s="8" t="s">
        <v>736</v>
      </c>
      <c r="E109" s="8" t="s">
        <v>6</v>
      </c>
      <c r="F109" s="8" t="s">
        <v>223</v>
      </c>
      <c r="G109" s="24">
        <f>G110</f>
        <v>0</v>
      </c>
      <c r="H109" s="24">
        <f t="shared" si="9"/>
        <v>0</v>
      </c>
      <c r="I109" s="24">
        <f t="shared" si="9"/>
        <v>0</v>
      </c>
    </row>
    <row r="110" spans="1:11" ht="75.599999999999994" customHeight="1" x14ac:dyDescent="0.25">
      <c r="A110" s="21" t="s">
        <v>703</v>
      </c>
      <c r="B110" s="28" t="s">
        <v>117</v>
      </c>
      <c r="C110" s="8" t="s">
        <v>108</v>
      </c>
      <c r="D110" s="8" t="s">
        <v>736</v>
      </c>
      <c r="E110" s="8" t="s">
        <v>507</v>
      </c>
      <c r="F110" s="8" t="s">
        <v>704</v>
      </c>
      <c r="G110" s="24">
        <f>G111</f>
        <v>0</v>
      </c>
      <c r="H110" s="24">
        <f t="shared" si="9"/>
        <v>0</v>
      </c>
      <c r="I110" s="24">
        <f t="shared" si="9"/>
        <v>0</v>
      </c>
    </row>
    <row r="111" spans="1:11" ht="31.2" customHeight="1" x14ac:dyDescent="0.25">
      <c r="A111" s="21" t="s">
        <v>705</v>
      </c>
      <c r="B111" s="28" t="s">
        <v>117</v>
      </c>
      <c r="C111" s="8" t="s">
        <v>108</v>
      </c>
      <c r="D111" s="8" t="s">
        <v>736</v>
      </c>
      <c r="E111" s="8" t="s">
        <v>507</v>
      </c>
      <c r="F111" s="8" t="s">
        <v>706</v>
      </c>
      <c r="G111" s="24"/>
      <c r="H111" s="24"/>
      <c r="I111" s="24"/>
    </row>
    <row r="112" spans="1:11" ht="41.4" x14ac:dyDescent="0.25">
      <c r="A112" s="370" t="s">
        <v>402</v>
      </c>
      <c r="B112" s="57" t="s">
        <v>117</v>
      </c>
      <c r="C112" s="29" t="s">
        <v>108</v>
      </c>
      <c r="D112" s="29" t="s">
        <v>736</v>
      </c>
      <c r="E112" s="29" t="s">
        <v>403</v>
      </c>
      <c r="F112" s="29" t="s">
        <v>223</v>
      </c>
      <c r="G112" s="26">
        <f t="shared" ref="G112:I113" si="10">G113</f>
        <v>0</v>
      </c>
      <c r="H112" s="26">
        <f t="shared" si="10"/>
        <v>0</v>
      </c>
      <c r="I112" s="26">
        <f t="shared" si="10"/>
        <v>0</v>
      </c>
    </row>
    <row r="113" spans="1:10" ht="27.6" x14ac:dyDescent="0.25">
      <c r="A113" s="21" t="s">
        <v>709</v>
      </c>
      <c r="B113" s="28" t="s">
        <v>117</v>
      </c>
      <c r="C113" s="8" t="s">
        <v>108</v>
      </c>
      <c r="D113" s="8" t="s">
        <v>736</v>
      </c>
      <c r="E113" s="8" t="s">
        <v>403</v>
      </c>
      <c r="F113" s="8" t="s">
        <v>710</v>
      </c>
      <c r="G113" s="24">
        <f t="shared" si="10"/>
        <v>0</v>
      </c>
      <c r="H113" s="24">
        <f t="shared" si="10"/>
        <v>0</v>
      </c>
      <c r="I113" s="24">
        <f t="shared" si="10"/>
        <v>0</v>
      </c>
    </row>
    <row r="114" spans="1:10" ht="41.4" x14ac:dyDescent="0.25">
      <c r="A114" s="22" t="s">
        <v>711</v>
      </c>
      <c r="B114" s="28" t="s">
        <v>117</v>
      </c>
      <c r="C114" s="8" t="s">
        <v>108</v>
      </c>
      <c r="D114" s="8" t="s">
        <v>736</v>
      </c>
      <c r="E114" s="8" t="s">
        <v>403</v>
      </c>
      <c r="F114" s="8" t="s">
        <v>712</v>
      </c>
      <c r="G114" s="24"/>
      <c r="H114" s="24"/>
      <c r="I114" s="24"/>
    </row>
    <row r="115" spans="1:10" ht="28.8" x14ac:dyDescent="0.25">
      <c r="A115" s="371" t="s">
        <v>477</v>
      </c>
      <c r="B115" s="31" t="s">
        <v>117</v>
      </c>
      <c r="C115" s="32" t="s">
        <v>108</v>
      </c>
      <c r="D115" s="32" t="s">
        <v>736</v>
      </c>
      <c r="E115" s="32" t="s">
        <v>478</v>
      </c>
      <c r="F115" s="32" t="s">
        <v>223</v>
      </c>
      <c r="G115" s="33">
        <f t="shared" ref="G115:I116" si="11">G116</f>
        <v>49.674999999999997</v>
      </c>
      <c r="H115" s="33">
        <f t="shared" si="11"/>
        <v>0</v>
      </c>
      <c r="I115" s="33">
        <f t="shared" si="11"/>
        <v>0</v>
      </c>
    </row>
    <row r="116" spans="1:10" ht="30" customHeight="1" x14ac:dyDescent="0.25">
      <c r="A116" s="21" t="s">
        <v>709</v>
      </c>
      <c r="B116" s="28" t="s">
        <v>117</v>
      </c>
      <c r="C116" s="8" t="s">
        <v>108</v>
      </c>
      <c r="D116" s="8" t="s">
        <v>736</v>
      </c>
      <c r="E116" s="8" t="s">
        <v>478</v>
      </c>
      <c r="F116" s="8" t="s">
        <v>710</v>
      </c>
      <c r="G116" s="24">
        <f t="shared" si="11"/>
        <v>49.674999999999997</v>
      </c>
      <c r="H116" s="24">
        <f t="shared" si="11"/>
        <v>0</v>
      </c>
      <c r="I116" s="24">
        <f t="shared" si="11"/>
        <v>0</v>
      </c>
    </row>
    <row r="117" spans="1:10" ht="45" customHeight="1" x14ac:dyDescent="0.25">
      <c r="A117" s="22" t="s">
        <v>711</v>
      </c>
      <c r="B117" s="28" t="s">
        <v>117</v>
      </c>
      <c r="C117" s="8" t="s">
        <v>108</v>
      </c>
      <c r="D117" s="8" t="s">
        <v>736</v>
      </c>
      <c r="E117" s="8" t="s">
        <v>478</v>
      </c>
      <c r="F117" s="8" t="s">
        <v>712</v>
      </c>
      <c r="G117" s="24">
        <f>'5'!D295</f>
        <v>49.674999999999997</v>
      </c>
      <c r="H117" s="24">
        <f>'5'!E295</f>
        <v>0</v>
      </c>
      <c r="I117" s="24">
        <f>'5'!F295</f>
        <v>0</v>
      </c>
    </row>
    <row r="118" spans="1:10" ht="73.2" hidden="1" customHeight="1" x14ac:dyDescent="0.25">
      <c r="A118" s="370" t="s">
        <v>529</v>
      </c>
      <c r="B118" s="28" t="s">
        <v>117</v>
      </c>
      <c r="C118" s="29" t="s">
        <v>108</v>
      </c>
      <c r="D118" s="29" t="s">
        <v>736</v>
      </c>
      <c r="E118" s="29" t="s">
        <v>530</v>
      </c>
      <c r="F118" s="29" t="s">
        <v>223</v>
      </c>
      <c r="G118" s="26">
        <f t="shared" ref="G118:I119" si="12">G119</f>
        <v>0</v>
      </c>
      <c r="H118" s="26">
        <f t="shared" si="12"/>
        <v>0</v>
      </c>
      <c r="I118" s="26">
        <f t="shared" si="12"/>
        <v>0</v>
      </c>
    </row>
    <row r="119" spans="1:10" ht="33" hidden="1" customHeight="1" x14ac:dyDescent="0.25">
      <c r="A119" s="21" t="s">
        <v>709</v>
      </c>
      <c r="B119" s="28" t="s">
        <v>117</v>
      </c>
      <c r="C119" s="8" t="s">
        <v>108</v>
      </c>
      <c r="D119" s="8" t="s">
        <v>736</v>
      </c>
      <c r="E119" s="8" t="s">
        <v>530</v>
      </c>
      <c r="F119" s="8" t="s">
        <v>710</v>
      </c>
      <c r="G119" s="24">
        <f t="shared" si="12"/>
        <v>0</v>
      </c>
      <c r="H119" s="24">
        <f t="shared" si="12"/>
        <v>0</v>
      </c>
      <c r="I119" s="24">
        <f t="shared" si="12"/>
        <v>0</v>
      </c>
    </row>
    <row r="120" spans="1:10" ht="41.4" hidden="1" customHeight="1" x14ac:dyDescent="0.25">
      <c r="A120" s="22" t="s">
        <v>711</v>
      </c>
      <c r="B120" s="28" t="s">
        <v>117</v>
      </c>
      <c r="C120" s="8" t="s">
        <v>108</v>
      </c>
      <c r="D120" s="8" t="s">
        <v>736</v>
      </c>
      <c r="E120" s="8" t="s">
        <v>530</v>
      </c>
      <c r="F120" s="8" t="s">
        <v>712</v>
      </c>
      <c r="G120" s="24"/>
      <c r="H120" s="24"/>
      <c r="I120" s="24"/>
    </row>
    <row r="121" spans="1:10" ht="41.4" customHeight="1" x14ac:dyDescent="0.25">
      <c r="A121" s="370" t="s">
        <v>531</v>
      </c>
      <c r="B121" s="28" t="s">
        <v>117</v>
      </c>
      <c r="C121" s="29" t="s">
        <v>108</v>
      </c>
      <c r="D121" s="29" t="s">
        <v>736</v>
      </c>
      <c r="E121" s="29" t="s">
        <v>532</v>
      </c>
      <c r="F121" s="29" t="s">
        <v>223</v>
      </c>
      <c r="G121" s="26">
        <f t="shared" ref="G121:I122" si="13">G122</f>
        <v>350</v>
      </c>
      <c r="H121" s="26">
        <f t="shared" si="13"/>
        <v>450</v>
      </c>
      <c r="I121" s="26">
        <f t="shared" si="13"/>
        <v>450</v>
      </c>
    </row>
    <row r="122" spans="1:10" ht="30.6" customHeight="1" x14ac:dyDescent="0.25">
      <c r="A122" s="21" t="s">
        <v>709</v>
      </c>
      <c r="B122" s="28" t="s">
        <v>117</v>
      </c>
      <c r="C122" s="8" t="s">
        <v>108</v>
      </c>
      <c r="D122" s="8" t="s">
        <v>736</v>
      </c>
      <c r="E122" s="8" t="s">
        <v>532</v>
      </c>
      <c r="F122" s="8" t="s">
        <v>710</v>
      </c>
      <c r="G122" s="24">
        <f t="shared" si="13"/>
        <v>350</v>
      </c>
      <c r="H122" s="24">
        <f t="shared" si="13"/>
        <v>450</v>
      </c>
      <c r="I122" s="24">
        <f t="shared" si="13"/>
        <v>450</v>
      </c>
    </row>
    <row r="123" spans="1:10" ht="39.6" customHeight="1" x14ac:dyDescent="0.25">
      <c r="A123" s="22" t="s">
        <v>711</v>
      </c>
      <c r="B123" s="28" t="s">
        <v>117</v>
      </c>
      <c r="C123" s="8" t="s">
        <v>108</v>
      </c>
      <c r="D123" s="8" t="s">
        <v>736</v>
      </c>
      <c r="E123" s="8" t="s">
        <v>532</v>
      </c>
      <c r="F123" s="8" t="s">
        <v>712</v>
      </c>
      <c r="G123" s="19">
        <f>'5'!D296</f>
        <v>350</v>
      </c>
      <c r="H123" s="19">
        <f>'5'!E296</f>
        <v>450</v>
      </c>
      <c r="I123" s="19">
        <f>'5'!F296</f>
        <v>450</v>
      </c>
      <c r="J123" s="19">
        <f>'5'!G296</f>
        <v>0</v>
      </c>
    </row>
    <row r="124" spans="1:10" ht="42.6" hidden="1" customHeight="1" x14ac:dyDescent="0.25">
      <c r="A124" s="376" t="s">
        <v>608</v>
      </c>
      <c r="B124" s="129" t="s">
        <v>117</v>
      </c>
      <c r="C124" s="317" t="s">
        <v>108</v>
      </c>
      <c r="D124" s="317" t="s">
        <v>736</v>
      </c>
      <c r="E124" s="317" t="s">
        <v>607</v>
      </c>
      <c r="F124" s="317" t="s">
        <v>223</v>
      </c>
      <c r="G124" s="128">
        <f t="shared" ref="G124:I125" si="14">G125</f>
        <v>0</v>
      </c>
      <c r="H124" s="128">
        <f t="shared" si="14"/>
        <v>0</v>
      </c>
      <c r="I124" s="128">
        <f t="shared" si="14"/>
        <v>0</v>
      </c>
    </row>
    <row r="125" spans="1:10" ht="34.950000000000003" hidden="1" customHeight="1" x14ac:dyDescent="0.25">
      <c r="A125" s="2" t="s">
        <v>709</v>
      </c>
      <c r="B125" s="3" t="s">
        <v>117</v>
      </c>
      <c r="C125" s="6" t="s">
        <v>108</v>
      </c>
      <c r="D125" s="6" t="s">
        <v>736</v>
      </c>
      <c r="E125" s="6" t="s">
        <v>607</v>
      </c>
      <c r="F125" s="6" t="s">
        <v>710</v>
      </c>
      <c r="G125" s="19">
        <f t="shared" si="14"/>
        <v>0</v>
      </c>
      <c r="H125" s="19">
        <f t="shared" si="14"/>
        <v>0</v>
      </c>
      <c r="I125" s="19">
        <f t="shared" si="14"/>
        <v>0</v>
      </c>
    </row>
    <row r="126" spans="1:10" ht="42.6" hidden="1" customHeight="1" x14ac:dyDescent="0.25">
      <c r="A126" s="9" t="s">
        <v>711</v>
      </c>
      <c r="B126" s="3" t="s">
        <v>117</v>
      </c>
      <c r="C126" s="6" t="s">
        <v>108</v>
      </c>
      <c r="D126" s="6" t="s">
        <v>736</v>
      </c>
      <c r="E126" s="6" t="s">
        <v>607</v>
      </c>
      <c r="F126" s="6" t="s">
        <v>712</v>
      </c>
      <c r="G126" s="19">
        <v>0</v>
      </c>
      <c r="H126" s="19">
        <v>0</v>
      </c>
      <c r="I126" s="19">
        <v>0</v>
      </c>
    </row>
    <row r="127" spans="1:10" ht="41.4" x14ac:dyDescent="0.25">
      <c r="A127" s="15" t="s">
        <v>757</v>
      </c>
      <c r="B127" s="57">
        <v>951</v>
      </c>
      <c r="C127" s="29" t="s">
        <v>108</v>
      </c>
      <c r="D127" s="29" t="s">
        <v>736</v>
      </c>
      <c r="E127" s="29" t="s">
        <v>22</v>
      </c>
      <c r="F127" s="29" t="s">
        <v>223</v>
      </c>
      <c r="G127" s="26">
        <f>G131+G139+G128+G142</f>
        <v>93</v>
      </c>
      <c r="H127" s="26">
        <f>H131+H139+H128+H142</f>
        <v>120</v>
      </c>
      <c r="I127" s="26">
        <f>I131+I139+I128+I142</f>
        <v>120</v>
      </c>
    </row>
    <row r="128" spans="1:10" ht="27.6" hidden="1" x14ac:dyDescent="0.25">
      <c r="A128" s="329" t="s">
        <v>758</v>
      </c>
      <c r="B128" s="57">
        <v>951</v>
      </c>
      <c r="C128" s="29" t="s">
        <v>108</v>
      </c>
      <c r="D128" s="29" t="s">
        <v>736</v>
      </c>
      <c r="E128" s="28" t="s">
        <v>23</v>
      </c>
      <c r="F128" s="8" t="s">
        <v>223</v>
      </c>
      <c r="G128" s="24">
        <f t="shared" ref="G128:I129" si="15">G129</f>
        <v>0</v>
      </c>
      <c r="H128" s="24">
        <f t="shared" si="15"/>
        <v>0</v>
      </c>
      <c r="I128" s="24">
        <f t="shared" si="15"/>
        <v>0</v>
      </c>
    </row>
    <row r="129" spans="1:11" ht="27.6" hidden="1" x14ac:dyDescent="0.25">
      <c r="A129" s="21" t="s">
        <v>709</v>
      </c>
      <c r="B129" s="57">
        <v>951</v>
      </c>
      <c r="C129" s="29" t="s">
        <v>108</v>
      </c>
      <c r="D129" s="29" t="s">
        <v>736</v>
      </c>
      <c r="E129" s="28" t="s">
        <v>23</v>
      </c>
      <c r="F129" s="8" t="s">
        <v>710</v>
      </c>
      <c r="G129" s="24">
        <f t="shared" si="15"/>
        <v>0</v>
      </c>
      <c r="H129" s="24">
        <f t="shared" si="15"/>
        <v>0</v>
      </c>
      <c r="I129" s="24">
        <f t="shared" si="15"/>
        <v>0</v>
      </c>
    </row>
    <row r="130" spans="1:11" ht="41.4" hidden="1" x14ac:dyDescent="0.25">
      <c r="A130" s="22" t="s">
        <v>711</v>
      </c>
      <c r="B130" s="57">
        <v>951</v>
      </c>
      <c r="C130" s="29" t="s">
        <v>108</v>
      </c>
      <c r="D130" s="29" t="s">
        <v>736</v>
      </c>
      <c r="E130" s="28" t="s">
        <v>23</v>
      </c>
      <c r="F130" s="8" t="s">
        <v>712</v>
      </c>
      <c r="G130" s="24"/>
      <c r="H130" s="24"/>
      <c r="I130" s="24"/>
    </row>
    <row r="131" spans="1:11" ht="31.2" hidden="1" customHeight="1" x14ac:dyDescent="0.25">
      <c r="A131" s="377" t="s">
        <v>168</v>
      </c>
      <c r="B131" s="57">
        <v>951</v>
      </c>
      <c r="C131" s="29" t="s">
        <v>108</v>
      </c>
      <c r="D131" s="29" t="s">
        <v>736</v>
      </c>
      <c r="E131" s="28" t="s">
        <v>35</v>
      </c>
      <c r="F131" s="8" t="s">
        <v>223</v>
      </c>
      <c r="G131" s="24">
        <f>G132</f>
        <v>0</v>
      </c>
      <c r="H131" s="24">
        <f t="shared" ref="H131:I134" si="16">H132</f>
        <v>0</v>
      </c>
      <c r="I131" s="24">
        <f t="shared" si="16"/>
        <v>0</v>
      </c>
    </row>
    <row r="132" spans="1:11" ht="55.2" hidden="1" x14ac:dyDescent="0.25">
      <c r="A132" s="15" t="s">
        <v>760</v>
      </c>
      <c r="B132" s="57">
        <v>951</v>
      </c>
      <c r="C132" s="29" t="s">
        <v>108</v>
      </c>
      <c r="D132" s="29" t="s">
        <v>736</v>
      </c>
      <c r="E132" s="29" t="s">
        <v>699</v>
      </c>
      <c r="F132" s="29" t="s">
        <v>223</v>
      </c>
      <c r="G132" s="26">
        <f>G133+G136</f>
        <v>0</v>
      </c>
      <c r="H132" s="26">
        <f>H133+H136</f>
        <v>0</v>
      </c>
      <c r="I132" s="26">
        <f>I133+I136</f>
        <v>0</v>
      </c>
      <c r="K132" s="50">
        <f>G132+G130+G142</f>
        <v>93</v>
      </c>
    </row>
    <row r="133" spans="1:11" ht="69" hidden="1" x14ac:dyDescent="0.25">
      <c r="A133" s="21" t="s">
        <v>970</v>
      </c>
      <c r="B133" s="28">
        <v>951</v>
      </c>
      <c r="C133" s="8" t="s">
        <v>108</v>
      </c>
      <c r="D133" s="8" t="s">
        <v>736</v>
      </c>
      <c r="E133" s="8" t="s">
        <v>378</v>
      </c>
      <c r="F133" s="8" t="s">
        <v>223</v>
      </c>
      <c r="G133" s="24">
        <f>G134</f>
        <v>0</v>
      </c>
      <c r="H133" s="24">
        <f t="shared" si="16"/>
        <v>0</v>
      </c>
      <c r="I133" s="24">
        <f t="shared" si="16"/>
        <v>0</v>
      </c>
    </row>
    <row r="134" spans="1:11" ht="41.4" hidden="1" x14ac:dyDescent="0.25">
      <c r="A134" s="22" t="s">
        <v>762</v>
      </c>
      <c r="B134" s="28">
        <v>951</v>
      </c>
      <c r="C134" s="8" t="s">
        <v>108</v>
      </c>
      <c r="D134" s="8" t="s">
        <v>736</v>
      </c>
      <c r="E134" s="8" t="s">
        <v>378</v>
      </c>
      <c r="F134" s="8" t="s">
        <v>763</v>
      </c>
      <c r="G134" s="24">
        <f>G135</f>
        <v>0</v>
      </c>
      <c r="H134" s="24">
        <f t="shared" si="16"/>
        <v>0</v>
      </c>
      <c r="I134" s="24">
        <f t="shared" si="16"/>
        <v>0</v>
      </c>
    </row>
    <row r="135" spans="1:11" hidden="1" x14ac:dyDescent="0.25">
      <c r="A135" s="22" t="s">
        <v>764</v>
      </c>
      <c r="B135" s="28">
        <v>951</v>
      </c>
      <c r="C135" s="8" t="s">
        <v>108</v>
      </c>
      <c r="D135" s="8" t="s">
        <v>736</v>
      </c>
      <c r="E135" s="8" t="s">
        <v>378</v>
      </c>
      <c r="F135" s="8" t="s">
        <v>765</v>
      </c>
      <c r="G135" s="24"/>
      <c r="H135" s="24"/>
      <c r="I135" s="24"/>
    </row>
    <row r="136" spans="1:11" ht="82.8" hidden="1" x14ac:dyDescent="0.25">
      <c r="A136" s="21" t="s">
        <v>971</v>
      </c>
      <c r="B136" s="28">
        <v>951</v>
      </c>
      <c r="C136" s="8" t="s">
        <v>108</v>
      </c>
      <c r="D136" s="8" t="s">
        <v>736</v>
      </c>
      <c r="E136" s="8" t="s">
        <v>582</v>
      </c>
      <c r="F136" s="8" t="s">
        <v>223</v>
      </c>
      <c r="G136" s="24">
        <f t="shared" ref="G136:I137" si="17">G137</f>
        <v>0</v>
      </c>
      <c r="H136" s="24">
        <f t="shared" si="17"/>
        <v>0</v>
      </c>
      <c r="I136" s="24">
        <f t="shared" si="17"/>
        <v>0</v>
      </c>
    </row>
    <row r="137" spans="1:11" ht="41.4" hidden="1" x14ac:dyDescent="0.25">
      <c r="A137" s="22" t="s">
        <v>762</v>
      </c>
      <c r="B137" s="28">
        <v>951</v>
      </c>
      <c r="C137" s="8" t="s">
        <v>108</v>
      </c>
      <c r="D137" s="8" t="s">
        <v>736</v>
      </c>
      <c r="E137" s="8" t="s">
        <v>582</v>
      </c>
      <c r="F137" s="8" t="s">
        <v>763</v>
      </c>
      <c r="G137" s="24">
        <f t="shared" si="17"/>
        <v>0</v>
      </c>
      <c r="H137" s="24">
        <f t="shared" si="17"/>
        <v>0</v>
      </c>
      <c r="I137" s="24">
        <f t="shared" si="17"/>
        <v>0</v>
      </c>
    </row>
    <row r="138" spans="1:11" hidden="1" x14ac:dyDescent="0.25">
      <c r="A138" s="22" t="s">
        <v>764</v>
      </c>
      <c r="B138" s="28">
        <v>951</v>
      </c>
      <c r="C138" s="8" t="s">
        <v>108</v>
      </c>
      <c r="D138" s="8" t="s">
        <v>736</v>
      </c>
      <c r="E138" s="6" t="s">
        <v>582</v>
      </c>
      <c r="F138" s="6" t="s">
        <v>765</v>
      </c>
      <c r="G138" s="19"/>
      <c r="H138" s="24"/>
      <c r="I138" s="24"/>
      <c r="J138" s="45" t="s">
        <v>972</v>
      </c>
    </row>
    <row r="139" spans="1:11" ht="71.7" hidden="1" customHeight="1" x14ac:dyDescent="0.25">
      <c r="A139" s="15" t="s">
        <v>385</v>
      </c>
      <c r="B139" s="57">
        <v>951</v>
      </c>
      <c r="C139" s="29" t="s">
        <v>108</v>
      </c>
      <c r="D139" s="29" t="s">
        <v>736</v>
      </c>
      <c r="E139" s="29" t="s">
        <v>379</v>
      </c>
      <c r="F139" s="29" t="s">
        <v>223</v>
      </c>
      <c r="G139" s="26">
        <f t="shared" ref="G139:I140" si="18">G140</f>
        <v>0</v>
      </c>
      <c r="H139" s="26">
        <f t="shared" si="18"/>
        <v>0</v>
      </c>
      <c r="I139" s="26">
        <f t="shared" si="18"/>
        <v>0</v>
      </c>
    </row>
    <row r="140" spans="1:11" ht="27.6" hidden="1" x14ac:dyDescent="0.25">
      <c r="A140" s="21" t="s">
        <v>709</v>
      </c>
      <c r="B140" s="28">
        <v>951</v>
      </c>
      <c r="C140" s="8" t="s">
        <v>108</v>
      </c>
      <c r="D140" s="8" t="s">
        <v>736</v>
      </c>
      <c r="E140" s="8" t="s">
        <v>379</v>
      </c>
      <c r="F140" s="8" t="s">
        <v>710</v>
      </c>
      <c r="G140" s="24">
        <f t="shared" si="18"/>
        <v>0</v>
      </c>
      <c r="H140" s="24">
        <f t="shared" si="18"/>
        <v>0</v>
      </c>
      <c r="I140" s="24">
        <f t="shared" si="18"/>
        <v>0</v>
      </c>
    </row>
    <row r="141" spans="1:11" ht="41.4" hidden="1" x14ac:dyDescent="0.25">
      <c r="A141" s="22" t="s">
        <v>711</v>
      </c>
      <c r="B141" s="28">
        <v>951</v>
      </c>
      <c r="C141" s="8" t="s">
        <v>108</v>
      </c>
      <c r="D141" s="8" t="s">
        <v>736</v>
      </c>
      <c r="E141" s="8" t="s">
        <v>379</v>
      </c>
      <c r="F141" s="8" t="s">
        <v>712</v>
      </c>
      <c r="G141" s="24"/>
      <c r="H141" s="24"/>
      <c r="I141" s="24"/>
    </row>
    <row r="142" spans="1:11" ht="33.6" customHeight="1" x14ac:dyDescent="0.25">
      <c r="A142" s="329" t="s">
        <v>767</v>
      </c>
      <c r="B142" s="28">
        <v>951</v>
      </c>
      <c r="C142" s="8" t="s">
        <v>108</v>
      </c>
      <c r="D142" s="8" t="s">
        <v>736</v>
      </c>
      <c r="E142" s="8" t="s">
        <v>25</v>
      </c>
      <c r="F142" s="8" t="s">
        <v>223</v>
      </c>
      <c r="G142" s="24">
        <f t="shared" ref="G142:I143" si="19">G143</f>
        <v>93</v>
      </c>
      <c r="H142" s="24">
        <f t="shared" si="19"/>
        <v>120</v>
      </c>
      <c r="I142" s="24">
        <f t="shared" si="19"/>
        <v>120</v>
      </c>
    </row>
    <row r="143" spans="1:11" ht="29.7" customHeight="1" x14ac:dyDescent="0.25">
      <c r="A143" s="21" t="s">
        <v>709</v>
      </c>
      <c r="B143" s="28">
        <v>951</v>
      </c>
      <c r="C143" s="8" t="s">
        <v>108</v>
      </c>
      <c r="D143" s="8" t="s">
        <v>736</v>
      </c>
      <c r="E143" s="8" t="s">
        <v>380</v>
      </c>
      <c r="F143" s="8" t="s">
        <v>710</v>
      </c>
      <c r="G143" s="24">
        <f t="shared" si="19"/>
        <v>93</v>
      </c>
      <c r="H143" s="24">
        <f t="shared" si="19"/>
        <v>120</v>
      </c>
      <c r="I143" s="24">
        <f t="shared" si="19"/>
        <v>120</v>
      </c>
    </row>
    <row r="144" spans="1:11" ht="43.5" customHeight="1" x14ac:dyDescent="0.25">
      <c r="A144" s="22" t="s">
        <v>711</v>
      </c>
      <c r="B144" s="28">
        <v>951</v>
      </c>
      <c r="C144" s="8" t="s">
        <v>108</v>
      </c>
      <c r="D144" s="8" t="s">
        <v>736</v>
      </c>
      <c r="E144" s="8" t="s">
        <v>380</v>
      </c>
      <c r="F144" s="8" t="s">
        <v>712</v>
      </c>
      <c r="G144" s="19">
        <f>'5'!D99</f>
        <v>93</v>
      </c>
      <c r="H144" s="24">
        <f>'5'!E99</f>
        <v>120</v>
      </c>
      <c r="I144" s="24">
        <f>'5'!F99</f>
        <v>120</v>
      </c>
    </row>
    <row r="145" spans="1:9" ht="58.95" customHeight="1" x14ac:dyDescent="0.25">
      <c r="A145" s="15" t="s">
        <v>601</v>
      </c>
      <c r="B145" s="57">
        <v>951</v>
      </c>
      <c r="C145" s="29" t="s">
        <v>108</v>
      </c>
      <c r="D145" s="29" t="s">
        <v>736</v>
      </c>
      <c r="E145" s="29" t="s">
        <v>26</v>
      </c>
      <c r="F145" s="29" t="s">
        <v>223</v>
      </c>
      <c r="G145" s="26">
        <f t="shared" ref="G145:I146" si="20">G146</f>
        <v>35</v>
      </c>
      <c r="H145" s="26">
        <f t="shared" si="20"/>
        <v>39</v>
      </c>
      <c r="I145" s="26">
        <f t="shared" si="20"/>
        <v>39</v>
      </c>
    </row>
    <row r="146" spans="1:9" ht="34.200000000000003" customHeight="1" x14ac:dyDescent="0.25">
      <c r="A146" s="21" t="s">
        <v>709</v>
      </c>
      <c r="B146" s="28">
        <v>951</v>
      </c>
      <c r="C146" s="8" t="s">
        <v>108</v>
      </c>
      <c r="D146" s="8" t="s">
        <v>736</v>
      </c>
      <c r="E146" s="8" t="s">
        <v>27</v>
      </c>
      <c r="F146" s="8" t="s">
        <v>710</v>
      </c>
      <c r="G146" s="24">
        <f t="shared" si="20"/>
        <v>35</v>
      </c>
      <c r="H146" s="24">
        <f t="shared" si="20"/>
        <v>39</v>
      </c>
      <c r="I146" s="24">
        <f t="shared" si="20"/>
        <v>39</v>
      </c>
    </row>
    <row r="147" spans="1:9" ht="41.4" x14ac:dyDescent="0.25">
      <c r="A147" s="9" t="s">
        <v>711</v>
      </c>
      <c r="B147" s="3">
        <v>951</v>
      </c>
      <c r="C147" s="6" t="s">
        <v>108</v>
      </c>
      <c r="D147" s="6" t="s">
        <v>736</v>
      </c>
      <c r="E147" s="6" t="s">
        <v>27</v>
      </c>
      <c r="F147" s="6" t="s">
        <v>712</v>
      </c>
      <c r="G147" s="19">
        <f>'5'!D117</f>
        <v>35</v>
      </c>
      <c r="H147" s="19">
        <f>'5'!E117</f>
        <v>39</v>
      </c>
      <c r="I147" s="19">
        <f>'5'!F117</f>
        <v>39</v>
      </c>
    </row>
    <row r="148" spans="1:9" ht="75" customHeight="1" x14ac:dyDescent="0.25">
      <c r="A148" s="376" t="s">
        <v>581</v>
      </c>
      <c r="B148" s="129" t="s">
        <v>117</v>
      </c>
      <c r="C148" s="317" t="s">
        <v>108</v>
      </c>
      <c r="D148" s="317" t="s">
        <v>736</v>
      </c>
      <c r="E148" s="317" t="s">
        <v>309</v>
      </c>
      <c r="F148" s="317" t="s">
        <v>223</v>
      </c>
      <c r="G148" s="128">
        <f t="shared" ref="G148:I149" si="21">G149</f>
        <v>20</v>
      </c>
      <c r="H148" s="128">
        <f t="shared" si="21"/>
        <v>20</v>
      </c>
      <c r="I148" s="128">
        <f t="shared" si="21"/>
        <v>0</v>
      </c>
    </row>
    <row r="149" spans="1:9" ht="51.75" customHeight="1" x14ac:dyDescent="0.25">
      <c r="A149" s="9" t="s">
        <v>310</v>
      </c>
      <c r="B149" s="129" t="s">
        <v>117</v>
      </c>
      <c r="C149" s="6" t="s">
        <v>108</v>
      </c>
      <c r="D149" s="6" t="s">
        <v>736</v>
      </c>
      <c r="E149" s="6" t="s">
        <v>311</v>
      </c>
      <c r="F149" s="6" t="s">
        <v>710</v>
      </c>
      <c r="G149" s="19">
        <f t="shared" si="21"/>
        <v>20</v>
      </c>
      <c r="H149" s="19">
        <f t="shared" si="21"/>
        <v>20</v>
      </c>
      <c r="I149" s="19">
        <f t="shared" si="21"/>
        <v>0</v>
      </c>
    </row>
    <row r="150" spans="1:9" ht="43.5" customHeight="1" x14ac:dyDescent="0.25">
      <c r="A150" s="9" t="s">
        <v>339</v>
      </c>
      <c r="B150" s="129" t="s">
        <v>117</v>
      </c>
      <c r="C150" s="6" t="s">
        <v>108</v>
      </c>
      <c r="D150" s="6" t="s">
        <v>736</v>
      </c>
      <c r="E150" s="6" t="s">
        <v>312</v>
      </c>
      <c r="F150" s="6" t="s">
        <v>712</v>
      </c>
      <c r="G150" s="19">
        <f>'5'!D225</f>
        <v>20</v>
      </c>
      <c r="H150" s="19">
        <f>'5'!E225</f>
        <v>20</v>
      </c>
      <c r="I150" s="19">
        <f>'5'!F225</f>
        <v>0</v>
      </c>
    </row>
    <row r="151" spans="1:9" hidden="1" x14ac:dyDescent="0.25">
      <c r="A151" s="130" t="s">
        <v>772</v>
      </c>
      <c r="B151" s="129" t="s">
        <v>117</v>
      </c>
      <c r="C151" s="6" t="s">
        <v>108</v>
      </c>
      <c r="D151" s="6" t="s">
        <v>736</v>
      </c>
      <c r="E151" s="115" t="s">
        <v>699</v>
      </c>
      <c r="F151" s="115" t="s">
        <v>223</v>
      </c>
      <c r="G151" s="20">
        <f>G152</f>
        <v>0</v>
      </c>
      <c r="H151" s="20">
        <f t="shared" ref="H151:I154" si="22">H152</f>
        <v>0</v>
      </c>
      <c r="I151" s="20">
        <f t="shared" si="22"/>
        <v>0</v>
      </c>
    </row>
    <row r="152" spans="1:9" ht="69" hidden="1" x14ac:dyDescent="0.25">
      <c r="A152" s="12" t="s">
        <v>774</v>
      </c>
      <c r="B152" s="129" t="s">
        <v>117</v>
      </c>
      <c r="C152" s="6" t="s">
        <v>108</v>
      </c>
      <c r="D152" s="6" t="s">
        <v>736</v>
      </c>
      <c r="E152" s="6" t="s">
        <v>699</v>
      </c>
      <c r="F152" s="6" t="s">
        <v>223</v>
      </c>
      <c r="G152" s="19">
        <f>G153</f>
        <v>0</v>
      </c>
      <c r="H152" s="19">
        <f t="shared" si="22"/>
        <v>0</v>
      </c>
      <c r="I152" s="19">
        <f t="shared" si="22"/>
        <v>0</v>
      </c>
    </row>
    <row r="153" spans="1:9" ht="41.4" hidden="1" x14ac:dyDescent="0.25">
      <c r="A153" s="2" t="s">
        <v>775</v>
      </c>
      <c r="B153" s="129" t="s">
        <v>117</v>
      </c>
      <c r="C153" s="6" t="s">
        <v>108</v>
      </c>
      <c r="D153" s="6" t="s">
        <v>736</v>
      </c>
      <c r="E153" s="6" t="s">
        <v>284</v>
      </c>
      <c r="F153" s="6" t="s">
        <v>223</v>
      </c>
      <c r="G153" s="19">
        <f>G154</f>
        <v>0</v>
      </c>
      <c r="H153" s="19">
        <f t="shared" si="22"/>
        <v>0</v>
      </c>
      <c r="I153" s="19">
        <f t="shared" si="22"/>
        <v>0</v>
      </c>
    </row>
    <row r="154" spans="1:9" hidden="1" x14ac:dyDescent="0.25">
      <c r="A154" s="2" t="s">
        <v>776</v>
      </c>
      <c r="B154" s="129" t="s">
        <v>117</v>
      </c>
      <c r="C154" s="6" t="s">
        <v>108</v>
      </c>
      <c r="D154" s="6" t="s">
        <v>736</v>
      </c>
      <c r="E154" s="6" t="s">
        <v>284</v>
      </c>
      <c r="F154" s="6" t="s">
        <v>777</v>
      </c>
      <c r="G154" s="19">
        <f>G155</f>
        <v>0</v>
      </c>
      <c r="H154" s="19">
        <f t="shared" si="22"/>
        <v>0</v>
      </c>
      <c r="I154" s="19">
        <f t="shared" si="22"/>
        <v>0</v>
      </c>
    </row>
    <row r="155" spans="1:9" hidden="1" x14ac:dyDescent="0.25">
      <c r="A155" s="2" t="s">
        <v>737</v>
      </c>
      <c r="B155" s="129" t="s">
        <v>117</v>
      </c>
      <c r="C155" s="6" t="s">
        <v>108</v>
      </c>
      <c r="D155" s="6" t="s">
        <v>736</v>
      </c>
      <c r="E155" s="6" t="s">
        <v>284</v>
      </c>
      <c r="F155" s="6" t="s">
        <v>778</v>
      </c>
      <c r="G155" s="19"/>
      <c r="H155" s="19"/>
      <c r="I155" s="19"/>
    </row>
    <row r="156" spans="1:9" ht="41.4" hidden="1" x14ac:dyDescent="0.25">
      <c r="A156" s="130" t="s">
        <v>779</v>
      </c>
      <c r="B156" s="116" t="s">
        <v>117</v>
      </c>
      <c r="C156" s="6" t="s">
        <v>108</v>
      </c>
      <c r="D156" s="6" t="s">
        <v>736</v>
      </c>
      <c r="E156" s="115" t="s">
        <v>699</v>
      </c>
      <c r="F156" s="115" t="s">
        <v>223</v>
      </c>
      <c r="G156" s="20">
        <f>G157</f>
        <v>0</v>
      </c>
      <c r="H156" s="20">
        <f t="shared" ref="H156:I159" si="23">H157</f>
        <v>0</v>
      </c>
      <c r="I156" s="20">
        <f t="shared" si="23"/>
        <v>0</v>
      </c>
    </row>
    <row r="157" spans="1:9" ht="44.1" hidden="1" customHeight="1" x14ac:dyDescent="0.25">
      <c r="A157" s="2" t="s">
        <v>210</v>
      </c>
      <c r="B157" s="3" t="s">
        <v>117</v>
      </c>
      <c r="C157" s="6" t="s">
        <v>108</v>
      </c>
      <c r="D157" s="6" t="s">
        <v>736</v>
      </c>
      <c r="E157" s="6" t="s">
        <v>14</v>
      </c>
      <c r="F157" s="6" t="s">
        <v>223</v>
      </c>
      <c r="G157" s="19">
        <f>G158</f>
        <v>0</v>
      </c>
      <c r="H157" s="19">
        <f t="shared" si="23"/>
        <v>0</v>
      </c>
      <c r="I157" s="19">
        <f t="shared" si="23"/>
        <v>0</v>
      </c>
    </row>
    <row r="158" spans="1:9" ht="43.5" hidden="1" customHeight="1" x14ac:dyDescent="0.25">
      <c r="A158" s="2" t="s">
        <v>781</v>
      </c>
      <c r="B158" s="3" t="s">
        <v>117</v>
      </c>
      <c r="C158" s="6" t="s">
        <v>108</v>
      </c>
      <c r="D158" s="6" t="s">
        <v>736</v>
      </c>
      <c r="E158" s="6" t="s">
        <v>14</v>
      </c>
      <c r="F158" s="6" t="s">
        <v>223</v>
      </c>
      <c r="G158" s="19">
        <f>G159</f>
        <v>0</v>
      </c>
      <c r="H158" s="19">
        <f t="shared" si="23"/>
        <v>0</v>
      </c>
      <c r="I158" s="19">
        <f t="shared" si="23"/>
        <v>0</v>
      </c>
    </row>
    <row r="159" spans="1:9" ht="31.5" hidden="1" customHeight="1" x14ac:dyDescent="0.25">
      <c r="A159" s="2" t="s">
        <v>709</v>
      </c>
      <c r="B159" s="3" t="s">
        <v>117</v>
      </c>
      <c r="C159" s="6" t="s">
        <v>108</v>
      </c>
      <c r="D159" s="6" t="s">
        <v>736</v>
      </c>
      <c r="E159" s="6" t="s">
        <v>14</v>
      </c>
      <c r="F159" s="6" t="s">
        <v>710</v>
      </c>
      <c r="G159" s="19">
        <f>G160</f>
        <v>0</v>
      </c>
      <c r="H159" s="19">
        <f t="shared" si="23"/>
        <v>0</v>
      </c>
      <c r="I159" s="19">
        <f t="shared" si="23"/>
        <v>0</v>
      </c>
    </row>
    <row r="160" spans="1:9" ht="44.1" hidden="1" customHeight="1" x14ac:dyDescent="0.25">
      <c r="A160" s="9" t="s">
        <v>711</v>
      </c>
      <c r="B160" s="3" t="s">
        <v>117</v>
      </c>
      <c r="C160" s="6" t="s">
        <v>108</v>
      </c>
      <c r="D160" s="6" t="s">
        <v>736</v>
      </c>
      <c r="E160" s="6" t="s">
        <v>14</v>
      </c>
      <c r="F160" s="6" t="s">
        <v>712</v>
      </c>
      <c r="G160" s="19"/>
      <c r="H160" s="19"/>
      <c r="I160" s="19"/>
    </row>
    <row r="161" spans="1:9" ht="85.2" hidden="1" customHeight="1" x14ac:dyDescent="0.25">
      <c r="A161" s="376" t="s">
        <v>973</v>
      </c>
      <c r="B161" s="129" t="s">
        <v>117</v>
      </c>
      <c r="C161" s="6" t="s">
        <v>108</v>
      </c>
      <c r="D161" s="6" t="s">
        <v>736</v>
      </c>
      <c r="E161" s="317" t="s">
        <v>783</v>
      </c>
      <c r="F161" s="6" t="s">
        <v>223</v>
      </c>
      <c r="G161" s="128">
        <f t="shared" ref="G161:I162" si="24">G162</f>
        <v>0</v>
      </c>
      <c r="H161" s="128">
        <f t="shared" si="24"/>
        <v>0</v>
      </c>
      <c r="I161" s="128">
        <f t="shared" si="24"/>
        <v>0</v>
      </c>
    </row>
    <row r="162" spans="1:9" ht="85.2" hidden="1" customHeight="1" x14ac:dyDescent="0.25">
      <c r="A162" s="2" t="s">
        <v>703</v>
      </c>
      <c r="B162" s="3" t="s">
        <v>117</v>
      </c>
      <c r="C162" s="6" t="s">
        <v>108</v>
      </c>
      <c r="D162" s="6" t="s">
        <v>736</v>
      </c>
      <c r="E162" s="6" t="s">
        <v>783</v>
      </c>
      <c r="F162" s="6" t="s">
        <v>704</v>
      </c>
      <c r="G162" s="19">
        <f t="shared" si="24"/>
        <v>0</v>
      </c>
      <c r="H162" s="19">
        <f t="shared" si="24"/>
        <v>0</v>
      </c>
      <c r="I162" s="19">
        <f t="shared" si="24"/>
        <v>0</v>
      </c>
    </row>
    <row r="163" spans="1:9" ht="31.2" hidden="1" customHeight="1" x14ac:dyDescent="0.25">
      <c r="A163" s="9" t="s">
        <v>705</v>
      </c>
      <c r="B163" s="3" t="s">
        <v>117</v>
      </c>
      <c r="C163" s="6" t="s">
        <v>108</v>
      </c>
      <c r="D163" s="6" t="s">
        <v>736</v>
      </c>
      <c r="E163" s="6" t="s">
        <v>783</v>
      </c>
      <c r="F163" s="6" t="s">
        <v>706</v>
      </c>
      <c r="G163" s="19"/>
      <c r="H163" s="19"/>
      <c r="I163" s="19"/>
    </row>
    <row r="164" spans="1:9" ht="70.95" hidden="1" customHeight="1" x14ac:dyDescent="0.25">
      <c r="A164" s="376" t="s">
        <v>784</v>
      </c>
      <c r="B164" s="129" t="s">
        <v>117</v>
      </c>
      <c r="C164" s="6" t="s">
        <v>108</v>
      </c>
      <c r="D164" s="6" t="s">
        <v>736</v>
      </c>
      <c r="E164" s="317" t="s">
        <v>785</v>
      </c>
      <c r="F164" s="317" t="s">
        <v>223</v>
      </c>
      <c r="G164" s="128">
        <f>G165+G167</f>
        <v>0</v>
      </c>
      <c r="H164" s="128">
        <f>H165+H167</f>
        <v>0</v>
      </c>
      <c r="I164" s="128">
        <f>I165+I167</f>
        <v>0</v>
      </c>
    </row>
    <row r="165" spans="1:9" ht="82.2" hidden="1" customHeight="1" x14ac:dyDescent="0.25">
      <c r="A165" s="2" t="s">
        <v>703</v>
      </c>
      <c r="B165" s="3" t="s">
        <v>117</v>
      </c>
      <c r="C165" s="6" t="s">
        <v>108</v>
      </c>
      <c r="D165" s="6" t="s">
        <v>736</v>
      </c>
      <c r="E165" s="6" t="s">
        <v>785</v>
      </c>
      <c r="F165" s="6" t="s">
        <v>704</v>
      </c>
      <c r="G165" s="19">
        <f>G166</f>
        <v>0</v>
      </c>
      <c r="H165" s="19">
        <f>H166</f>
        <v>0</v>
      </c>
      <c r="I165" s="19">
        <f>I166</f>
        <v>0</v>
      </c>
    </row>
    <row r="166" spans="1:9" ht="30.6" hidden="1" customHeight="1" x14ac:dyDescent="0.25">
      <c r="A166" s="9" t="s">
        <v>705</v>
      </c>
      <c r="B166" s="3" t="s">
        <v>117</v>
      </c>
      <c r="C166" s="6" t="s">
        <v>108</v>
      </c>
      <c r="D166" s="6" t="s">
        <v>736</v>
      </c>
      <c r="E166" s="6" t="s">
        <v>785</v>
      </c>
      <c r="F166" s="6" t="s">
        <v>706</v>
      </c>
      <c r="G166" s="19"/>
      <c r="H166" s="19"/>
      <c r="I166" s="19"/>
    </row>
    <row r="167" spans="1:9" ht="31.2" hidden="1" customHeight="1" x14ac:dyDescent="0.25">
      <c r="A167" s="2" t="s">
        <v>709</v>
      </c>
      <c r="B167" s="3" t="s">
        <v>117</v>
      </c>
      <c r="C167" s="6" t="s">
        <v>108</v>
      </c>
      <c r="D167" s="6" t="s">
        <v>736</v>
      </c>
      <c r="E167" s="6" t="s">
        <v>785</v>
      </c>
      <c r="F167" s="6" t="s">
        <v>710</v>
      </c>
      <c r="G167" s="19">
        <f>G168</f>
        <v>0</v>
      </c>
      <c r="H167" s="19">
        <f>H168</f>
        <v>0</v>
      </c>
      <c r="I167" s="19">
        <f>I168</f>
        <v>0</v>
      </c>
    </row>
    <row r="168" spans="1:9" ht="42.6" hidden="1" customHeight="1" x14ac:dyDescent="0.25">
      <c r="A168" s="9" t="s">
        <v>711</v>
      </c>
      <c r="B168" s="3" t="s">
        <v>117</v>
      </c>
      <c r="C168" s="6" t="s">
        <v>108</v>
      </c>
      <c r="D168" s="6" t="s">
        <v>736</v>
      </c>
      <c r="E168" s="6" t="s">
        <v>785</v>
      </c>
      <c r="F168" s="6" t="s">
        <v>712</v>
      </c>
      <c r="G168" s="19"/>
      <c r="H168" s="19"/>
      <c r="I168" s="19"/>
    </row>
    <row r="169" spans="1:9" ht="82.95" hidden="1" customHeight="1" x14ac:dyDescent="0.25">
      <c r="A169" s="376" t="s">
        <v>406</v>
      </c>
      <c r="B169" s="129" t="s">
        <v>117</v>
      </c>
      <c r="C169" s="6" t="s">
        <v>108</v>
      </c>
      <c r="D169" s="6" t="s">
        <v>736</v>
      </c>
      <c r="E169" s="317" t="s">
        <v>407</v>
      </c>
      <c r="F169" s="317" t="s">
        <v>223</v>
      </c>
      <c r="G169" s="128">
        <f t="shared" ref="G169:I170" si="25">G170</f>
        <v>0</v>
      </c>
      <c r="H169" s="128">
        <f t="shared" si="25"/>
        <v>0</v>
      </c>
      <c r="I169" s="128">
        <f t="shared" si="25"/>
        <v>0</v>
      </c>
    </row>
    <row r="170" spans="1:9" ht="33" hidden="1" customHeight="1" x14ac:dyDescent="0.25">
      <c r="A170" s="2" t="s">
        <v>709</v>
      </c>
      <c r="B170" s="3" t="s">
        <v>117</v>
      </c>
      <c r="C170" s="6" t="s">
        <v>108</v>
      </c>
      <c r="D170" s="6" t="s">
        <v>736</v>
      </c>
      <c r="E170" s="6" t="s">
        <v>407</v>
      </c>
      <c r="F170" s="6" t="s">
        <v>710</v>
      </c>
      <c r="G170" s="19">
        <f t="shared" si="25"/>
        <v>0</v>
      </c>
      <c r="H170" s="19">
        <f t="shared" si="25"/>
        <v>0</v>
      </c>
      <c r="I170" s="19">
        <f t="shared" si="25"/>
        <v>0</v>
      </c>
    </row>
    <row r="171" spans="1:9" ht="41.7" hidden="1" customHeight="1" x14ac:dyDescent="0.25">
      <c r="A171" s="9" t="s">
        <v>711</v>
      </c>
      <c r="B171" s="3" t="s">
        <v>117</v>
      </c>
      <c r="C171" s="6" t="s">
        <v>108</v>
      </c>
      <c r="D171" s="6" t="s">
        <v>736</v>
      </c>
      <c r="E171" s="6" t="s">
        <v>407</v>
      </c>
      <c r="F171" s="6" t="s">
        <v>712</v>
      </c>
      <c r="G171" s="19"/>
      <c r="H171" s="19"/>
      <c r="I171" s="19"/>
    </row>
    <row r="172" spans="1:9" ht="57" customHeight="1" x14ac:dyDescent="0.25">
      <c r="A172" s="12" t="s">
        <v>596</v>
      </c>
      <c r="B172" s="129" t="s">
        <v>117</v>
      </c>
      <c r="C172" s="317" t="s">
        <v>108</v>
      </c>
      <c r="D172" s="317" t="s">
        <v>736</v>
      </c>
      <c r="E172" s="317" t="s">
        <v>786</v>
      </c>
      <c r="F172" s="317" t="s">
        <v>223</v>
      </c>
      <c r="G172" s="128">
        <f t="shared" ref="G172:I173" si="26">G173</f>
        <v>15</v>
      </c>
      <c r="H172" s="128">
        <f t="shared" si="26"/>
        <v>0</v>
      </c>
      <c r="I172" s="128">
        <f t="shared" si="26"/>
        <v>0</v>
      </c>
    </row>
    <row r="173" spans="1:9" ht="31.95" customHeight="1" x14ac:dyDescent="0.25">
      <c r="A173" s="2" t="s">
        <v>709</v>
      </c>
      <c r="B173" s="3" t="s">
        <v>117</v>
      </c>
      <c r="C173" s="6" t="s">
        <v>108</v>
      </c>
      <c r="D173" s="6" t="s">
        <v>736</v>
      </c>
      <c r="E173" s="6" t="s">
        <v>598</v>
      </c>
      <c r="F173" s="6" t="s">
        <v>710</v>
      </c>
      <c r="G173" s="19">
        <f t="shared" si="26"/>
        <v>15</v>
      </c>
      <c r="H173" s="19">
        <f t="shared" si="26"/>
        <v>0</v>
      </c>
      <c r="I173" s="19">
        <f t="shared" si="26"/>
        <v>0</v>
      </c>
    </row>
    <row r="174" spans="1:9" ht="41.7" customHeight="1" x14ac:dyDescent="0.25">
      <c r="A174" s="9" t="s">
        <v>711</v>
      </c>
      <c r="B174" s="3" t="s">
        <v>117</v>
      </c>
      <c r="C174" s="6" t="s">
        <v>108</v>
      </c>
      <c r="D174" s="6" t="s">
        <v>736</v>
      </c>
      <c r="E174" s="6" t="s">
        <v>598</v>
      </c>
      <c r="F174" s="6" t="s">
        <v>712</v>
      </c>
      <c r="G174" s="19">
        <f>'5'!D239</f>
        <v>15</v>
      </c>
      <c r="H174" s="19">
        <f>'5'!E239</f>
        <v>0</v>
      </c>
      <c r="I174" s="19">
        <f>'5'!F239</f>
        <v>0</v>
      </c>
    </row>
    <row r="175" spans="1:9" ht="42" customHeight="1" x14ac:dyDescent="0.25">
      <c r="A175" s="378" t="s">
        <v>779</v>
      </c>
      <c r="B175" s="359">
        <v>951</v>
      </c>
      <c r="C175" s="379" t="s">
        <v>111</v>
      </c>
      <c r="D175" s="379" t="s">
        <v>109</v>
      </c>
      <c r="E175" s="379" t="s">
        <v>699</v>
      </c>
      <c r="F175" s="379" t="s">
        <v>223</v>
      </c>
      <c r="G175" s="360">
        <f>G176+G180</f>
        <v>177.989</v>
      </c>
      <c r="H175" s="360">
        <f>H176+H180</f>
        <v>100</v>
      </c>
      <c r="I175" s="360">
        <f>I176+I180</f>
        <v>100</v>
      </c>
    </row>
    <row r="176" spans="1:9" ht="44.1" customHeight="1" x14ac:dyDescent="0.25">
      <c r="A176" s="21" t="s">
        <v>210</v>
      </c>
      <c r="B176" s="380">
        <v>951</v>
      </c>
      <c r="C176" s="8" t="s">
        <v>111</v>
      </c>
      <c r="D176" s="8" t="s">
        <v>780</v>
      </c>
      <c r="E176" s="8" t="s">
        <v>14</v>
      </c>
      <c r="F176" s="8" t="s">
        <v>223</v>
      </c>
      <c r="G176" s="330">
        <f t="shared" ref="G176:I178" si="27">G177</f>
        <v>100</v>
      </c>
      <c r="H176" s="330">
        <f t="shared" si="27"/>
        <v>100</v>
      </c>
      <c r="I176" s="330">
        <f t="shared" si="27"/>
        <v>100</v>
      </c>
    </row>
    <row r="177" spans="1:11" ht="43.2" customHeight="1" x14ac:dyDescent="0.25">
      <c r="A177" s="21" t="s">
        <v>781</v>
      </c>
      <c r="B177" s="380">
        <v>951</v>
      </c>
      <c r="C177" s="8" t="s">
        <v>111</v>
      </c>
      <c r="D177" s="8" t="s">
        <v>780</v>
      </c>
      <c r="E177" s="8" t="s">
        <v>14</v>
      </c>
      <c r="F177" s="8" t="s">
        <v>223</v>
      </c>
      <c r="G177" s="330">
        <f t="shared" si="27"/>
        <v>100</v>
      </c>
      <c r="H177" s="330">
        <f t="shared" si="27"/>
        <v>100</v>
      </c>
      <c r="I177" s="330">
        <f t="shared" si="27"/>
        <v>100</v>
      </c>
    </row>
    <row r="178" spans="1:11" ht="34.950000000000003" customHeight="1" x14ac:dyDescent="0.25">
      <c r="A178" s="2" t="s">
        <v>709</v>
      </c>
      <c r="B178" s="380">
        <v>951</v>
      </c>
      <c r="C178" s="8" t="s">
        <v>111</v>
      </c>
      <c r="D178" s="8" t="s">
        <v>780</v>
      </c>
      <c r="E178" s="8" t="s">
        <v>14</v>
      </c>
      <c r="F178" s="8" t="s">
        <v>710</v>
      </c>
      <c r="G178" s="330">
        <f t="shared" si="27"/>
        <v>100</v>
      </c>
      <c r="H178" s="330">
        <f t="shared" si="27"/>
        <v>100</v>
      </c>
      <c r="I178" s="330">
        <f t="shared" si="27"/>
        <v>100</v>
      </c>
    </row>
    <row r="179" spans="1:11" ht="44.1" customHeight="1" x14ac:dyDescent="0.25">
      <c r="A179" s="9" t="s">
        <v>711</v>
      </c>
      <c r="B179" s="380">
        <v>951</v>
      </c>
      <c r="C179" s="8" t="s">
        <v>111</v>
      </c>
      <c r="D179" s="8" t="s">
        <v>780</v>
      </c>
      <c r="E179" s="8" t="s">
        <v>14</v>
      </c>
      <c r="F179" s="8" t="s">
        <v>712</v>
      </c>
      <c r="G179" s="24">
        <v>100</v>
      </c>
      <c r="H179" s="24">
        <v>100</v>
      </c>
      <c r="I179" s="24">
        <v>100</v>
      </c>
    </row>
    <row r="180" spans="1:11" ht="60" customHeight="1" x14ac:dyDescent="0.25">
      <c r="A180" s="303" t="s">
        <v>621</v>
      </c>
      <c r="B180" s="116">
        <v>951</v>
      </c>
      <c r="C180" s="115" t="s">
        <v>111</v>
      </c>
      <c r="D180" s="115" t="s">
        <v>780</v>
      </c>
      <c r="E180" s="115" t="s">
        <v>617</v>
      </c>
      <c r="F180" s="115" t="s">
        <v>223</v>
      </c>
      <c r="G180" s="20">
        <f t="shared" ref="G180:I181" si="28">G181</f>
        <v>77.989000000000004</v>
      </c>
      <c r="H180" s="20">
        <f t="shared" si="28"/>
        <v>0</v>
      </c>
      <c r="I180" s="20">
        <f t="shared" si="28"/>
        <v>0</v>
      </c>
      <c r="K180" s="45" t="s">
        <v>974</v>
      </c>
    </row>
    <row r="181" spans="1:11" ht="44.1" customHeight="1" x14ac:dyDescent="0.25">
      <c r="A181" s="2" t="s">
        <v>709</v>
      </c>
      <c r="B181" s="380">
        <v>951</v>
      </c>
      <c r="C181" s="8" t="s">
        <v>111</v>
      </c>
      <c r="D181" s="8" t="s">
        <v>780</v>
      </c>
      <c r="E181" s="8" t="s">
        <v>617</v>
      </c>
      <c r="F181" s="8" t="s">
        <v>710</v>
      </c>
      <c r="G181" s="24">
        <f t="shared" si="28"/>
        <v>77.989000000000004</v>
      </c>
      <c r="H181" s="24">
        <f t="shared" si="28"/>
        <v>0</v>
      </c>
      <c r="I181" s="24">
        <f t="shared" si="28"/>
        <v>0</v>
      </c>
    </row>
    <row r="182" spans="1:11" ht="44.1" customHeight="1" x14ac:dyDescent="0.25">
      <c r="A182" s="9" t="s">
        <v>711</v>
      </c>
      <c r="B182" s="380">
        <v>951</v>
      </c>
      <c r="C182" s="8" t="s">
        <v>111</v>
      </c>
      <c r="D182" s="8" t="s">
        <v>780</v>
      </c>
      <c r="E182" s="8" t="s">
        <v>617</v>
      </c>
      <c r="F182" s="8" t="s">
        <v>712</v>
      </c>
      <c r="G182" s="19">
        <f>'5'!D288</f>
        <v>77.989000000000004</v>
      </c>
      <c r="H182" s="24">
        <v>0</v>
      </c>
      <c r="I182" s="24">
        <v>0</v>
      </c>
    </row>
    <row r="183" spans="1:11" x14ac:dyDescent="0.25">
      <c r="A183" s="381" t="s">
        <v>787</v>
      </c>
      <c r="B183" s="359">
        <v>951</v>
      </c>
      <c r="C183" s="379" t="s">
        <v>113</v>
      </c>
      <c r="D183" s="379" t="s">
        <v>109</v>
      </c>
      <c r="E183" s="379" t="s">
        <v>699</v>
      </c>
      <c r="F183" s="379" t="s">
        <v>223</v>
      </c>
      <c r="G183" s="360">
        <f>G191+G209+G233+G184+G238</f>
        <v>123213.13658999998</v>
      </c>
      <c r="H183" s="360">
        <f>H191+H209+H233+H184+H238</f>
        <v>26277.098269999999</v>
      </c>
      <c r="I183" s="360">
        <f>I191+I209+I233+I184+I238</f>
        <v>27197.098269999999</v>
      </c>
    </row>
    <row r="184" spans="1:11" x14ac:dyDescent="0.25">
      <c r="A184" s="362" t="s">
        <v>788</v>
      </c>
      <c r="B184" s="363" t="s">
        <v>117</v>
      </c>
      <c r="C184" s="364" t="s">
        <v>113</v>
      </c>
      <c r="D184" s="364" t="s">
        <v>718</v>
      </c>
      <c r="E184" s="364" t="s">
        <v>699</v>
      </c>
      <c r="F184" s="364" t="s">
        <v>223</v>
      </c>
      <c r="G184" s="365">
        <f>G185+G188</f>
        <v>1485.3911900000001</v>
      </c>
      <c r="H184" s="365">
        <f>H185+H188</f>
        <v>1485.3911900000001</v>
      </c>
      <c r="I184" s="365">
        <f>I185+I188</f>
        <v>1485.3911900000001</v>
      </c>
    </row>
    <row r="185" spans="1:11" ht="82.8" x14ac:dyDescent="0.25">
      <c r="A185" s="21" t="s">
        <v>789</v>
      </c>
      <c r="B185" s="28" t="s">
        <v>117</v>
      </c>
      <c r="C185" s="8" t="s">
        <v>113</v>
      </c>
      <c r="D185" s="8" t="s">
        <v>718</v>
      </c>
      <c r="E185" s="8" t="s">
        <v>29</v>
      </c>
      <c r="F185" s="8" t="s">
        <v>223</v>
      </c>
      <c r="G185" s="24">
        <f t="shared" ref="G185:I186" si="29">G186</f>
        <v>1485.3911900000001</v>
      </c>
      <c r="H185" s="24">
        <f t="shared" si="29"/>
        <v>1485.3911900000001</v>
      </c>
      <c r="I185" s="24">
        <f t="shared" si="29"/>
        <v>1485.3911900000001</v>
      </c>
    </row>
    <row r="186" spans="1:11" ht="30.6" customHeight="1" x14ac:dyDescent="0.25">
      <c r="A186" s="21" t="s">
        <v>709</v>
      </c>
      <c r="B186" s="28" t="s">
        <v>117</v>
      </c>
      <c r="C186" s="8" t="s">
        <v>113</v>
      </c>
      <c r="D186" s="8" t="s">
        <v>718</v>
      </c>
      <c r="E186" s="8" t="s">
        <v>29</v>
      </c>
      <c r="F186" s="8" t="s">
        <v>710</v>
      </c>
      <c r="G186" s="24">
        <f t="shared" si="29"/>
        <v>1485.3911900000001</v>
      </c>
      <c r="H186" s="24">
        <f t="shared" si="29"/>
        <v>1485.3911900000001</v>
      </c>
      <c r="I186" s="24">
        <f t="shared" si="29"/>
        <v>1485.3911900000001</v>
      </c>
    </row>
    <row r="187" spans="1:11" ht="45" customHeight="1" x14ac:dyDescent="0.25">
      <c r="A187" s="22" t="s">
        <v>711</v>
      </c>
      <c r="B187" s="28" t="s">
        <v>117</v>
      </c>
      <c r="C187" s="8" t="s">
        <v>113</v>
      </c>
      <c r="D187" s="8" t="s">
        <v>718</v>
      </c>
      <c r="E187" s="8" t="s">
        <v>29</v>
      </c>
      <c r="F187" s="8" t="s">
        <v>712</v>
      </c>
      <c r="G187" s="24">
        <f>'5'!D305</f>
        <v>1485.3911900000001</v>
      </c>
      <c r="H187" s="24">
        <f>'5'!E305</f>
        <v>1485.3911900000001</v>
      </c>
      <c r="I187" s="24">
        <f>'5'!F305</f>
        <v>1485.3911900000001</v>
      </c>
    </row>
    <row r="188" spans="1:11" ht="73.95" hidden="1" customHeight="1" x14ac:dyDescent="0.25">
      <c r="A188" s="370" t="s">
        <v>533</v>
      </c>
      <c r="B188" s="57" t="s">
        <v>117</v>
      </c>
      <c r="C188" s="29" t="s">
        <v>113</v>
      </c>
      <c r="D188" s="29" t="s">
        <v>718</v>
      </c>
      <c r="E188" s="29" t="s">
        <v>534</v>
      </c>
      <c r="F188" s="29" t="s">
        <v>223</v>
      </c>
      <c r="G188" s="26">
        <f t="shared" ref="G188:I189" si="30">G189</f>
        <v>0</v>
      </c>
      <c r="H188" s="26">
        <f t="shared" si="30"/>
        <v>0</v>
      </c>
      <c r="I188" s="26">
        <f t="shared" si="30"/>
        <v>0</v>
      </c>
    </row>
    <row r="189" spans="1:11" ht="34.950000000000003" hidden="1" customHeight="1" x14ac:dyDescent="0.25">
      <c r="A189" s="21" t="s">
        <v>709</v>
      </c>
      <c r="B189" s="28" t="s">
        <v>117</v>
      </c>
      <c r="C189" s="8" t="s">
        <v>113</v>
      </c>
      <c r="D189" s="8" t="s">
        <v>718</v>
      </c>
      <c r="E189" s="8" t="s">
        <v>534</v>
      </c>
      <c r="F189" s="8" t="s">
        <v>710</v>
      </c>
      <c r="G189" s="24">
        <f t="shared" si="30"/>
        <v>0</v>
      </c>
      <c r="H189" s="24">
        <f t="shared" si="30"/>
        <v>0</v>
      </c>
      <c r="I189" s="24">
        <f t="shared" si="30"/>
        <v>0</v>
      </c>
    </row>
    <row r="190" spans="1:11" ht="43.95" hidden="1" customHeight="1" x14ac:dyDescent="0.25">
      <c r="A190" s="22" t="s">
        <v>711</v>
      </c>
      <c r="B190" s="28" t="s">
        <v>117</v>
      </c>
      <c r="C190" s="8" t="s">
        <v>113</v>
      </c>
      <c r="D190" s="8" t="s">
        <v>718</v>
      </c>
      <c r="E190" s="8" t="s">
        <v>534</v>
      </c>
      <c r="F190" s="8" t="s">
        <v>712</v>
      </c>
      <c r="G190" s="24"/>
      <c r="H190" s="24"/>
      <c r="I190" s="24"/>
    </row>
    <row r="191" spans="1:11" x14ac:dyDescent="0.25">
      <c r="A191" s="362" t="s">
        <v>790</v>
      </c>
      <c r="B191" s="363">
        <v>951</v>
      </c>
      <c r="C191" s="364" t="s">
        <v>113</v>
      </c>
      <c r="D191" s="364" t="s">
        <v>791</v>
      </c>
      <c r="E191" s="364" t="s">
        <v>699</v>
      </c>
      <c r="F191" s="364" t="s">
        <v>223</v>
      </c>
      <c r="G191" s="365">
        <f>G192+G196</f>
        <v>9099.8363100000006</v>
      </c>
      <c r="H191" s="365">
        <f t="shared" ref="H191:I191" si="31">H192+H196</f>
        <v>2003.38708</v>
      </c>
      <c r="I191" s="365">
        <f t="shared" si="31"/>
        <v>2003.38708</v>
      </c>
      <c r="J191" s="365">
        <f t="shared" ref="J191" si="32">J192+J196</f>
        <v>0</v>
      </c>
    </row>
    <row r="192" spans="1:11" hidden="1" x14ac:dyDescent="0.25">
      <c r="A192" s="21" t="s">
        <v>792</v>
      </c>
      <c r="B192" s="28">
        <v>951</v>
      </c>
      <c r="C192" s="8" t="s">
        <v>113</v>
      </c>
      <c r="D192" s="8" t="s">
        <v>791</v>
      </c>
      <c r="E192" s="8" t="s">
        <v>15</v>
      </c>
      <c r="F192" s="8" t="s">
        <v>223</v>
      </c>
      <c r="G192" s="24">
        <f t="shared" ref="G192:I194" si="33">G193</f>
        <v>0</v>
      </c>
      <c r="H192" s="24">
        <f t="shared" si="33"/>
        <v>0</v>
      </c>
      <c r="I192" s="24">
        <f t="shared" si="33"/>
        <v>0</v>
      </c>
    </row>
    <row r="193" spans="1:10" s="79" customFormat="1" ht="27.6" hidden="1" x14ac:dyDescent="0.25">
      <c r="A193" s="2" t="s">
        <v>797</v>
      </c>
      <c r="B193" s="3">
        <v>951</v>
      </c>
      <c r="C193" s="6" t="s">
        <v>113</v>
      </c>
      <c r="D193" s="6" t="s">
        <v>791</v>
      </c>
      <c r="E193" s="6" t="s">
        <v>15</v>
      </c>
      <c r="F193" s="6" t="s">
        <v>223</v>
      </c>
      <c r="G193" s="19">
        <f t="shared" si="33"/>
        <v>0</v>
      </c>
      <c r="H193" s="19">
        <f t="shared" si="33"/>
        <v>0</v>
      </c>
      <c r="I193" s="19">
        <f t="shared" si="33"/>
        <v>0</v>
      </c>
    </row>
    <row r="194" spans="1:10" s="79" customFormat="1" hidden="1" x14ac:dyDescent="0.25">
      <c r="A194" s="2" t="s">
        <v>713</v>
      </c>
      <c r="B194" s="3">
        <v>951</v>
      </c>
      <c r="C194" s="6" t="s">
        <v>113</v>
      </c>
      <c r="D194" s="6" t="s">
        <v>791</v>
      </c>
      <c r="E194" s="6" t="s">
        <v>15</v>
      </c>
      <c r="F194" s="6" t="s">
        <v>714</v>
      </c>
      <c r="G194" s="19">
        <f t="shared" si="33"/>
        <v>0</v>
      </c>
      <c r="H194" s="19">
        <f t="shared" si="33"/>
        <v>0</v>
      </c>
      <c r="I194" s="19">
        <f t="shared" si="33"/>
        <v>0</v>
      </c>
    </row>
    <row r="195" spans="1:10" s="79" customFormat="1" ht="41.4" hidden="1" x14ac:dyDescent="0.25">
      <c r="A195" s="2" t="s">
        <v>387</v>
      </c>
      <c r="B195" s="3">
        <v>951</v>
      </c>
      <c r="C195" s="6" t="s">
        <v>113</v>
      </c>
      <c r="D195" s="6" t="s">
        <v>791</v>
      </c>
      <c r="E195" s="6" t="s">
        <v>15</v>
      </c>
      <c r="F195" s="6" t="s">
        <v>793</v>
      </c>
      <c r="G195" s="19"/>
      <c r="H195" s="19"/>
      <c r="I195" s="19"/>
    </row>
    <row r="196" spans="1:10" ht="120.75" customHeight="1" x14ac:dyDescent="0.25">
      <c r="A196" s="15" t="s">
        <v>1056</v>
      </c>
      <c r="B196" s="57" t="s">
        <v>117</v>
      </c>
      <c r="C196" s="29" t="s">
        <v>113</v>
      </c>
      <c r="D196" s="29" t="s">
        <v>791</v>
      </c>
      <c r="E196" s="29" t="s">
        <v>699</v>
      </c>
      <c r="F196" s="29" t="s">
        <v>223</v>
      </c>
      <c r="G196" s="26">
        <f>G197</f>
        <v>9099.8363100000006</v>
      </c>
      <c r="H196" s="26">
        <f t="shared" ref="H196:I196" si="34">H197</f>
        <v>2003.38708</v>
      </c>
      <c r="I196" s="26">
        <f t="shared" si="34"/>
        <v>2003.38708</v>
      </c>
    </row>
    <row r="197" spans="1:10" x14ac:dyDescent="0.25">
      <c r="A197" s="21" t="s">
        <v>792</v>
      </c>
      <c r="B197" s="28">
        <v>951</v>
      </c>
      <c r="C197" s="8" t="s">
        <v>113</v>
      </c>
      <c r="D197" s="8" t="s">
        <v>791</v>
      </c>
      <c r="E197" s="3" t="s">
        <v>1050</v>
      </c>
      <c r="F197" s="8" t="s">
        <v>223</v>
      </c>
      <c r="G197" s="24">
        <f>G198+G201+G207</f>
        <v>9099.8363100000006</v>
      </c>
      <c r="H197" s="24">
        <f t="shared" ref="H197:I197" si="35">H198+H201+H207</f>
        <v>2003.38708</v>
      </c>
      <c r="I197" s="24">
        <f t="shared" si="35"/>
        <v>2003.38708</v>
      </c>
    </row>
    <row r="198" spans="1:10" ht="88.95" customHeight="1" x14ac:dyDescent="0.25">
      <c r="A198" s="2" t="s">
        <v>649</v>
      </c>
      <c r="B198" s="3">
        <v>951</v>
      </c>
      <c r="C198" s="6" t="s">
        <v>113</v>
      </c>
      <c r="D198" s="6" t="s">
        <v>791</v>
      </c>
      <c r="E198" s="3" t="s">
        <v>1051</v>
      </c>
      <c r="F198" s="6" t="s">
        <v>223</v>
      </c>
      <c r="G198" s="19">
        <f>G199</f>
        <v>7277.1593800000001</v>
      </c>
      <c r="H198" s="19">
        <f t="shared" ref="H198:J198" si="36">H199</f>
        <v>0</v>
      </c>
      <c r="I198" s="19">
        <f t="shared" si="36"/>
        <v>0</v>
      </c>
      <c r="J198" s="439">
        <f t="shared" si="36"/>
        <v>0</v>
      </c>
    </row>
    <row r="199" spans="1:10" ht="27.6" x14ac:dyDescent="0.25">
      <c r="A199" s="21" t="s">
        <v>709</v>
      </c>
      <c r="B199" s="28">
        <v>951</v>
      </c>
      <c r="C199" s="8" t="s">
        <v>113</v>
      </c>
      <c r="D199" s="8" t="s">
        <v>791</v>
      </c>
      <c r="E199" s="3" t="s">
        <v>1051</v>
      </c>
      <c r="F199" s="6" t="s">
        <v>1087</v>
      </c>
      <c r="G199" s="19">
        <f t="shared" ref="G199:I199" si="37">G200</f>
        <v>7277.1593800000001</v>
      </c>
      <c r="H199" s="24">
        <f t="shared" si="37"/>
        <v>0</v>
      </c>
      <c r="I199" s="24">
        <f t="shared" si="37"/>
        <v>0</v>
      </c>
    </row>
    <row r="200" spans="1:10" ht="51" customHeight="1" x14ac:dyDescent="0.25">
      <c r="A200" s="22" t="s">
        <v>711</v>
      </c>
      <c r="B200" s="28">
        <v>951</v>
      </c>
      <c r="C200" s="8" t="s">
        <v>113</v>
      </c>
      <c r="D200" s="8" t="s">
        <v>791</v>
      </c>
      <c r="E200" s="3" t="s">
        <v>1051</v>
      </c>
      <c r="F200" s="6" t="s">
        <v>1087</v>
      </c>
      <c r="G200" s="19">
        <f>'5'!D244</f>
        <v>7277.1593800000001</v>
      </c>
      <c r="H200" s="24">
        <f>'5'!E244</f>
        <v>0</v>
      </c>
      <c r="I200" s="24">
        <f>'5'!F244</f>
        <v>0</v>
      </c>
    </row>
    <row r="201" spans="1:10" ht="75" customHeight="1" x14ac:dyDescent="0.25">
      <c r="A201" s="22" t="s">
        <v>1042</v>
      </c>
      <c r="B201" s="28">
        <v>951</v>
      </c>
      <c r="C201" s="8" t="s">
        <v>113</v>
      </c>
      <c r="D201" s="8" t="s">
        <v>791</v>
      </c>
      <c r="E201" s="3" t="s">
        <v>1053</v>
      </c>
      <c r="F201" s="6" t="s">
        <v>223</v>
      </c>
      <c r="G201" s="19">
        <f t="shared" ref="G201:I202" si="38">G202</f>
        <v>1819.2898499999999</v>
      </c>
      <c r="H201" s="24">
        <f t="shared" si="38"/>
        <v>2000</v>
      </c>
      <c r="I201" s="24">
        <f t="shared" si="38"/>
        <v>2000</v>
      </c>
    </row>
    <row r="202" spans="1:10" ht="38.4" customHeight="1" x14ac:dyDescent="0.25">
      <c r="A202" s="21" t="s">
        <v>709</v>
      </c>
      <c r="B202" s="28">
        <v>951</v>
      </c>
      <c r="C202" s="8" t="s">
        <v>113</v>
      </c>
      <c r="D202" s="8" t="s">
        <v>791</v>
      </c>
      <c r="E202" s="3" t="s">
        <v>1053</v>
      </c>
      <c r="F202" s="6" t="s">
        <v>1087</v>
      </c>
      <c r="G202" s="19">
        <f t="shared" si="38"/>
        <v>1819.2898499999999</v>
      </c>
      <c r="H202" s="24">
        <f t="shared" si="38"/>
        <v>2000</v>
      </c>
      <c r="I202" s="24">
        <f t="shared" si="38"/>
        <v>2000</v>
      </c>
    </row>
    <row r="203" spans="1:10" ht="19.2" customHeight="1" x14ac:dyDescent="0.25">
      <c r="A203" s="22" t="s">
        <v>711</v>
      </c>
      <c r="B203" s="28">
        <v>951</v>
      </c>
      <c r="C203" s="8" t="s">
        <v>113</v>
      </c>
      <c r="D203" s="8" t="s">
        <v>791</v>
      </c>
      <c r="E203" s="3" t="s">
        <v>1053</v>
      </c>
      <c r="F203" s="6" t="s">
        <v>1087</v>
      </c>
      <c r="G203" s="19">
        <f>'5'!D245</f>
        <v>1819.2898499999999</v>
      </c>
      <c r="H203" s="24">
        <f>'5'!E245</f>
        <v>2000</v>
      </c>
      <c r="I203" s="24">
        <f>'5'!F245</f>
        <v>2000</v>
      </c>
    </row>
    <row r="204" spans="1:10" ht="32.4" hidden="1" customHeight="1" x14ac:dyDescent="0.25">
      <c r="A204" s="21" t="s">
        <v>709</v>
      </c>
      <c r="B204" s="28">
        <v>951</v>
      </c>
      <c r="C204" s="8" t="s">
        <v>113</v>
      </c>
      <c r="D204" s="8" t="s">
        <v>791</v>
      </c>
      <c r="E204" s="8" t="s">
        <v>259</v>
      </c>
      <c r="F204" s="8" t="s">
        <v>710</v>
      </c>
      <c r="G204" s="24">
        <f>G205</f>
        <v>0</v>
      </c>
      <c r="H204" s="24">
        <f>H205</f>
        <v>0</v>
      </c>
      <c r="I204" s="24">
        <f>I205</f>
        <v>0</v>
      </c>
    </row>
    <row r="205" spans="1:10" ht="43.2" hidden="1" customHeight="1" x14ac:dyDescent="0.25">
      <c r="A205" s="22" t="s">
        <v>711</v>
      </c>
      <c r="B205" s="28">
        <v>951</v>
      </c>
      <c r="C205" s="8" t="s">
        <v>113</v>
      </c>
      <c r="D205" s="8" t="s">
        <v>791</v>
      </c>
      <c r="E205" s="8" t="s">
        <v>259</v>
      </c>
      <c r="F205" s="8" t="s">
        <v>712</v>
      </c>
      <c r="G205" s="24"/>
      <c r="H205" s="24"/>
      <c r="I205" s="24"/>
    </row>
    <row r="206" spans="1:10" ht="126.6" customHeight="1" x14ac:dyDescent="0.25">
      <c r="A206" s="370" t="s">
        <v>795</v>
      </c>
      <c r="B206" s="57" t="s">
        <v>117</v>
      </c>
      <c r="C206" s="29" t="s">
        <v>113</v>
      </c>
      <c r="D206" s="29" t="s">
        <v>791</v>
      </c>
      <c r="E206" s="29" t="s">
        <v>699</v>
      </c>
      <c r="F206" s="29" t="s">
        <v>223</v>
      </c>
      <c r="G206" s="26">
        <f t="shared" ref="G206:I207" si="39">G207</f>
        <v>3.3870800000000001</v>
      </c>
      <c r="H206" s="26">
        <f t="shared" si="39"/>
        <v>3.3870800000000001</v>
      </c>
      <c r="I206" s="26">
        <f t="shared" si="39"/>
        <v>3.3870800000000001</v>
      </c>
    </row>
    <row r="207" spans="1:10" ht="33" customHeight="1" x14ac:dyDescent="0.25">
      <c r="A207" s="21" t="s">
        <v>709</v>
      </c>
      <c r="B207" s="28" t="s">
        <v>117</v>
      </c>
      <c r="C207" s="8" t="s">
        <v>113</v>
      </c>
      <c r="D207" s="8" t="s">
        <v>791</v>
      </c>
      <c r="E207" s="3" t="s">
        <v>1055</v>
      </c>
      <c r="F207" s="8" t="s">
        <v>710</v>
      </c>
      <c r="G207" s="24">
        <f t="shared" si="39"/>
        <v>3.3870800000000001</v>
      </c>
      <c r="H207" s="24">
        <f t="shared" si="39"/>
        <v>3.3870800000000001</v>
      </c>
      <c r="I207" s="24">
        <f t="shared" si="39"/>
        <v>3.3870800000000001</v>
      </c>
    </row>
    <row r="208" spans="1:10" ht="33" customHeight="1" x14ac:dyDescent="0.25">
      <c r="A208" s="22" t="s">
        <v>711</v>
      </c>
      <c r="B208" s="28" t="s">
        <v>117</v>
      </c>
      <c r="C208" s="8" t="s">
        <v>113</v>
      </c>
      <c r="D208" s="8" t="s">
        <v>791</v>
      </c>
      <c r="E208" s="3" t="s">
        <v>1055</v>
      </c>
      <c r="F208" s="8" t="s">
        <v>712</v>
      </c>
      <c r="G208" s="24">
        <f>'5'!D246</f>
        <v>3.3870800000000001</v>
      </c>
      <c r="H208" s="24">
        <f>'5'!E246</f>
        <v>3.3870800000000001</v>
      </c>
      <c r="I208" s="24">
        <f>'5'!F246</f>
        <v>3.3870800000000001</v>
      </c>
    </row>
    <row r="209" spans="1:11" ht="17.25" customHeight="1" x14ac:dyDescent="0.25">
      <c r="A209" s="362" t="s">
        <v>798</v>
      </c>
      <c r="B209" s="363">
        <v>951</v>
      </c>
      <c r="C209" s="364" t="s">
        <v>113</v>
      </c>
      <c r="D209" s="364" t="s">
        <v>780</v>
      </c>
      <c r="E209" s="364" t="s">
        <v>699</v>
      </c>
      <c r="F209" s="364" t="s">
        <v>223</v>
      </c>
      <c r="G209" s="365">
        <f>G210+G226</f>
        <v>46797.87919</v>
      </c>
      <c r="H209" s="365">
        <f>H210+H226</f>
        <v>22588.32</v>
      </c>
      <c r="I209" s="365">
        <f>I210+I226</f>
        <v>23508.32</v>
      </c>
    </row>
    <row r="210" spans="1:11" ht="87.6" customHeight="1" x14ac:dyDescent="0.25">
      <c r="A210" s="15" t="s">
        <v>589</v>
      </c>
      <c r="B210" s="57" t="s">
        <v>117</v>
      </c>
      <c r="C210" s="29" t="s">
        <v>113</v>
      </c>
      <c r="D210" s="29" t="s">
        <v>780</v>
      </c>
      <c r="E210" s="29" t="s">
        <v>699</v>
      </c>
      <c r="F210" s="29" t="s">
        <v>223</v>
      </c>
      <c r="G210" s="26">
        <f>G211+G217+G221</f>
        <v>46653.259189999997</v>
      </c>
      <c r="H210" s="26">
        <f t="shared" ref="H210:I210" si="40">H211+H217+H221</f>
        <v>22508</v>
      </c>
      <c r="I210" s="26">
        <f t="shared" si="40"/>
        <v>23428</v>
      </c>
    </row>
    <row r="211" spans="1:11" ht="33.6" customHeight="1" x14ac:dyDescent="0.25">
      <c r="A211" s="21" t="s">
        <v>211</v>
      </c>
      <c r="B211" s="28">
        <v>951</v>
      </c>
      <c r="C211" s="8" t="s">
        <v>113</v>
      </c>
      <c r="D211" s="8" t="s">
        <v>780</v>
      </c>
      <c r="E211" s="8" t="s">
        <v>261</v>
      </c>
      <c r="F211" s="8" t="s">
        <v>223</v>
      </c>
      <c r="G211" s="24">
        <f>G212+G214</f>
        <v>16761.744040000001</v>
      </c>
      <c r="H211" s="24">
        <f>H212+H214</f>
        <v>6720</v>
      </c>
      <c r="I211" s="24">
        <f>I212+I214</f>
        <v>6995</v>
      </c>
    </row>
    <row r="212" spans="1:11" ht="33" customHeight="1" x14ac:dyDescent="0.25">
      <c r="A212" s="21" t="s">
        <v>709</v>
      </c>
      <c r="B212" s="28">
        <v>951</v>
      </c>
      <c r="C212" s="8" t="s">
        <v>113</v>
      </c>
      <c r="D212" s="8" t="s">
        <v>780</v>
      </c>
      <c r="E212" s="8" t="s">
        <v>261</v>
      </c>
      <c r="F212" s="8" t="s">
        <v>710</v>
      </c>
      <c r="G212" s="24">
        <f>G213</f>
        <v>16761.744040000001</v>
      </c>
      <c r="H212" s="24">
        <f>H213</f>
        <v>6720</v>
      </c>
      <c r="I212" s="24">
        <f>I213</f>
        <v>6995</v>
      </c>
    </row>
    <row r="213" spans="1:11" ht="41.7" customHeight="1" x14ac:dyDescent="0.25">
      <c r="A213" s="22" t="s">
        <v>711</v>
      </c>
      <c r="B213" s="28">
        <v>951</v>
      </c>
      <c r="C213" s="8" t="s">
        <v>113</v>
      </c>
      <c r="D213" s="8" t="s">
        <v>780</v>
      </c>
      <c r="E213" s="8" t="s">
        <v>261</v>
      </c>
      <c r="F213" s="8" t="s">
        <v>712</v>
      </c>
      <c r="G213" s="19">
        <f>'5'!D203</f>
        <v>16761.744040000001</v>
      </c>
      <c r="H213" s="19">
        <f>'5'!E203</f>
        <v>6720</v>
      </c>
      <c r="I213" s="19">
        <f>'5'!F203</f>
        <v>6995</v>
      </c>
    </row>
    <row r="214" spans="1:11" ht="41.7" hidden="1" customHeight="1" x14ac:dyDescent="0.25">
      <c r="A214" s="22" t="s">
        <v>762</v>
      </c>
      <c r="B214" s="28">
        <v>951</v>
      </c>
      <c r="C214" s="8" t="s">
        <v>113</v>
      </c>
      <c r="D214" s="8" t="s">
        <v>780</v>
      </c>
      <c r="E214" s="8" t="s">
        <v>261</v>
      </c>
      <c r="F214" s="8" t="s">
        <v>763</v>
      </c>
      <c r="G214" s="19"/>
      <c r="H214" s="19"/>
      <c r="I214" s="19"/>
      <c r="K214" s="45" t="s">
        <v>975</v>
      </c>
    </row>
    <row r="215" spans="1:11" ht="16.5" hidden="1" customHeight="1" x14ac:dyDescent="0.25">
      <c r="A215" s="9" t="s">
        <v>764</v>
      </c>
      <c r="B215" s="3">
        <v>951</v>
      </c>
      <c r="C215" s="6" t="s">
        <v>113</v>
      </c>
      <c r="D215" s="6" t="s">
        <v>780</v>
      </c>
      <c r="E215" s="6" t="s">
        <v>261</v>
      </c>
      <c r="F215" s="6" t="s">
        <v>765</v>
      </c>
      <c r="G215" s="19"/>
      <c r="H215" s="19"/>
      <c r="I215" s="19"/>
    </row>
    <row r="216" spans="1:11" ht="41.7" hidden="1" customHeight="1" x14ac:dyDescent="0.25">
      <c r="A216" s="22"/>
      <c r="B216" s="28"/>
      <c r="C216" s="8"/>
      <c r="D216" s="8"/>
      <c r="E216" s="8"/>
      <c r="F216" s="8"/>
      <c r="G216" s="19"/>
      <c r="H216" s="24"/>
      <c r="I216" s="24"/>
    </row>
    <row r="217" spans="1:11" x14ac:dyDescent="0.25">
      <c r="A217" s="22" t="s">
        <v>776</v>
      </c>
      <c r="B217" s="28">
        <v>951</v>
      </c>
      <c r="C217" s="8" t="s">
        <v>113</v>
      </c>
      <c r="D217" s="8" t="s">
        <v>780</v>
      </c>
      <c r="E217" s="8" t="s">
        <v>260</v>
      </c>
      <c r="F217" s="8" t="s">
        <v>777</v>
      </c>
      <c r="G217" s="24">
        <f>G218+G219+G220</f>
        <v>14740</v>
      </c>
      <c r="H217" s="24">
        <f>H218+H219+H220</f>
        <v>15788</v>
      </c>
      <c r="I217" s="24">
        <f>I218+I219+I220</f>
        <v>16433</v>
      </c>
    </row>
    <row r="218" spans="1:11" ht="16.5" customHeight="1" x14ac:dyDescent="0.25">
      <c r="A218" s="22" t="s">
        <v>175</v>
      </c>
      <c r="B218" s="28">
        <v>951</v>
      </c>
      <c r="C218" s="8" t="s">
        <v>113</v>
      </c>
      <c r="D218" s="8" t="s">
        <v>780</v>
      </c>
      <c r="E218" s="8" t="s">
        <v>260</v>
      </c>
      <c r="F218" s="8" t="s">
        <v>794</v>
      </c>
      <c r="G218" s="19">
        <f>'5'!D204</f>
        <v>14740</v>
      </c>
      <c r="H218" s="19">
        <f>'5'!E204</f>
        <v>15788</v>
      </c>
      <c r="I218" s="19">
        <f>'5'!F204</f>
        <v>16433</v>
      </c>
    </row>
    <row r="219" spans="1:11" ht="82.8" hidden="1" x14ac:dyDescent="0.25">
      <c r="A219" s="22" t="s">
        <v>273</v>
      </c>
      <c r="B219" s="28" t="s">
        <v>117</v>
      </c>
      <c r="C219" s="8" t="s">
        <v>113</v>
      </c>
      <c r="D219" s="8" t="s">
        <v>780</v>
      </c>
      <c r="E219" s="8" t="s">
        <v>274</v>
      </c>
      <c r="F219" s="8" t="s">
        <v>794</v>
      </c>
      <c r="G219" s="24"/>
      <c r="H219" s="24"/>
      <c r="I219" s="24"/>
    </row>
    <row r="220" spans="1:11" ht="82.8" hidden="1" x14ac:dyDescent="0.25">
      <c r="A220" s="22" t="s">
        <v>277</v>
      </c>
      <c r="B220" s="28">
        <v>953</v>
      </c>
      <c r="C220" s="8" t="s">
        <v>113</v>
      </c>
      <c r="D220" s="8" t="s">
        <v>780</v>
      </c>
      <c r="E220" s="8" t="s">
        <v>274</v>
      </c>
      <c r="F220" s="8" t="s">
        <v>794</v>
      </c>
      <c r="G220" s="24"/>
      <c r="H220" s="24"/>
      <c r="I220" s="24"/>
    </row>
    <row r="221" spans="1:11" ht="29.7" customHeight="1" x14ac:dyDescent="0.25">
      <c r="A221" s="370" t="s">
        <v>799</v>
      </c>
      <c r="B221" s="57">
        <v>951</v>
      </c>
      <c r="C221" s="29" t="s">
        <v>113</v>
      </c>
      <c r="D221" s="29" t="s">
        <v>780</v>
      </c>
      <c r="E221" s="29" t="s">
        <v>254</v>
      </c>
      <c r="F221" s="29" t="s">
        <v>223</v>
      </c>
      <c r="G221" s="26">
        <f>G223+G225</f>
        <v>15151.515149999999</v>
      </c>
      <c r="H221" s="26">
        <f>H223+H225</f>
        <v>0</v>
      </c>
      <c r="I221" s="26">
        <f>I223+I225</f>
        <v>0</v>
      </c>
    </row>
    <row r="222" spans="1:11" ht="29.7" customHeight="1" x14ac:dyDescent="0.25">
      <c r="A222" s="21" t="s">
        <v>709</v>
      </c>
      <c r="B222" s="28">
        <v>951</v>
      </c>
      <c r="C222" s="8" t="s">
        <v>113</v>
      </c>
      <c r="D222" s="8" t="s">
        <v>780</v>
      </c>
      <c r="E222" s="8" t="s">
        <v>388</v>
      </c>
      <c r="F222" s="8" t="s">
        <v>710</v>
      </c>
      <c r="G222" s="19">
        <f>G223</f>
        <v>15000</v>
      </c>
      <c r="H222" s="24">
        <f>H223</f>
        <v>0</v>
      </c>
      <c r="I222" s="24">
        <f>I223</f>
        <v>0</v>
      </c>
    </row>
    <row r="223" spans="1:11" ht="41.4" x14ac:dyDescent="0.25">
      <c r="A223" s="22" t="s">
        <v>711</v>
      </c>
      <c r="B223" s="28">
        <v>951</v>
      </c>
      <c r="C223" s="8" t="s">
        <v>113</v>
      </c>
      <c r="D223" s="8" t="s">
        <v>780</v>
      </c>
      <c r="E223" s="8" t="s">
        <v>388</v>
      </c>
      <c r="F223" s="8" t="s">
        <v>712</v>
      </c>
      <c r="G223" s="19">
        <f>'5'!D207</f>
        <v>15000</v>
      </c>
      <c r="H223" s="24">
        <f>'5'!E207</f>
        <v>0</v>
      </c>
      <c r="I223" s="24">
        <f>'5'!F207</f>
        <v>0</v>
      </c>
    </row>
    <row r="224" spans="1:11" ht="27.6" x14ac:dyDescent="0.25">
      <c r="A224" s="21" t="s">
        <v>709</v>
      </c>
      <c r="B224" s="28">
        <v>951</v>
      </c>
      <c r="C224" s="8" t="s">
        <v>113</v>
      </c>
      <c r="D224" s="8" t="s">
        <v>780</v>
      </c>
      <c r="E224" s="8" t="s">
        <v>397</v>
      </c>
      <c r="F224" s="8" t="s">
        <v>710</v>
      </c>
      <c r="G224" s="19">
        <f>G225</f>
        <v>151.51515000000001</v>
      </c>
      <c r="H224" s="24">
        <f>H225</f>
        <v>0</v>
      </c>
      <c r="I224" s="24">
        <f>I225</f>
        <v>0</v>
      </c>
    </row>
    <row r="225" spans="1:9" ht="41.4" x14ac:dyDescent="0.25">
      <c r="A225" s="22" t="s">
        <v>711</v>
      </c>
      <c r="B225" s="28">
        <v>951</v>
      </c>
      <c r="C225" s="8" t="s">
        <v>113</v>
      </c>
      <c r="D225" s="8" t="s">
        <v>780</v>
      </c>
      <c r="E225" s="8" t="s">
        <v>397</v>
      </c>
      <c r="F225" s="8" t="s">
        <v>712</v>
      </c>
      <c r="G225" s="19">
        <f>'5'!D208</f>
        <v>151.51515000000001</v>
      </c>
      <c r="H225" s="24">
        <f>'5'!E208</f>
        <v>0</v>
      </c>
      <c r="I225" s="24">
        <f>'5'!F208</f>
        <v>0</v>
      </c>
    </row>
    <row r="226" spans="1:9" ht="31.2" customHeight="1" x14ac:dyDescent="0.25">
      <c r="A226" s="370" t="s">
        <v>702</v>
      </c>
      <c r="B226" s="57" t="s">
        <v>117</v>
      </c>
      <c r="C226" s="29" t="s">
        <v>113</v>
      </c>
      <c r="D226" s="29" t="s">
        <v>780</v>
      </c>
      <c r="E226" s="29" t="s">
        <v>5</v>
      </c>
      <c r="F226" s="29" t="s">
        <v>223</v>
      </c>
      <c r="G226" s="128">
        <f t="shared" ref="G226:I227" si="41">G227</f>
        <v>144.62</v>
      </c>
      <c r="H226" s="26">
        <f t="shared" si="41"/>
        <v>80.319999999999993</v>
      </c>
      <c r="I226" s="26">
        <f t="shared" si="41"/>
        <v>80.319999999999993</v>
      </c>
    </row>
    <row r="227" spans="1:9" ht="31.5" customHeight="1" x14ac:dyDescent="0.25">
      <c r="A227" s="22" t="s">
        <v>110</v>
      </c>
      <c r="B227" s="28" t="s">
        <v>117</v>
      </c>
      <c r="C227" s="8" t="s">
        <v>113</v>
      </c>
      <c r="D227" s="8" t="s">
        <v>780</v>
      </c>
      <c r="E227" s="8" t="s">
        <v>6</v>
      </c>
      <c r="F227" s="8" t="s">
        <v>223</v>
      </c>
      <c r="G227" s="19">
        <f t="shared" si="41"/>
        <v>144.62</v>
      </c>
      <c r="H227" s="24">
        <f t="shared" si="41"/>
        <v>80.319999999999993</v>
      </c>
      <c r="I227" s="24">
        <f t="shared" si="41"/>
        <v>80.319999999999993</v>
      </c>
    </row>
    <row r="228" spans="1:9" ht="19.5" customHeight="1" x14ac:dyDescent="0.25">
      <c r="A228" s="21" t="s">
        <v>314</v>
      </c>
      <c r="B228" s="28" t="s">
        <v>117</v>
      </c>
      <c r="C228" s="8" t="s">
        <v>113</v>
      </c>
      <c r="D228" s="8" t="s">
        <v>780</v>
      </c>
      <c r="E228" s="28" t="s">
        <v>315</v>
      </c>
      <c r="F228" s="8" t="s">
        <v>223</v>
      </c>
      <c r="G228" s="24">
        <f>G229+G231</f>
        <v>144.62</v>
      </c>
      <c r="H228" s="24">
        <f>H229+H231</f>
        <v>80.319999999999993</v>
      </c>
      <c r="I228" s="24">
        <f>I229+I231</f>
        <v>80.319999999999993</v>
      </c>
    </row>
    <row r="229" spans="1:9" ht="31.2" hidden="1" customHeight="1" x14ac:dyDescent="0.25">
      <c r="A229" s="21" t="s">
        <v>709</v>
      </c>
      <c r="B229" s="28" t="s">
        <v>117</v>
      </c>
      <c r="C229" s="8" t="s">
        <v>113</v>
      </c>
      <c r="D229" s="8" t="s">
        <v>780</v>
      </c>
      <c r="E229" s="28" t="s">
        <v>315</v>
      </c>
      <c r="F229" s="8" t="s">
        <v>710</v>
      </c>
      <c r="G229" s="24">
        <f>G230</f>
        <v>0</v>
      </c>
      <c r="H229" s="24">
        <f>H230</f>
        <v>0</v>
      </c>
      <c r="I229" s="24">
        <f>I230</f>
        <v>0</v>
      </c>
    </row>
    <row r="230" spans="1:9" ht="45" hidden="1" customHeight="1" x14ac:dyDescent="0.25">
      <c r="A230" s="22" t="s">
        <v>711</v>
      </c>
      <c r="B230" s="28" t="s">
        <v>117</v>
      </c>
      <c r="C230" s="8" t="s">
        <v>113</v>
      </c>
      <c r="D230" s="8" t="s">
        <v>780</v>
      </c>
      <c r="E230" s="28" t="s">
        <v>315</v>
      </c>
      <c r="F230" s="8" t="s">
        <v>712</v>
      </c>
      <c r="G230" s="24"/>
      <c r="H230" s="24"/>
      <c r="I230" s="24"/>
    </row>
    <row r="231" spans="1:9" ht="18" customHeight="1" x14ac:dyDescent="0.25">
      <c r="A231" s="21" t="s">
        <v>713</v>
      </c>
      <c r="B231" s="28" t="s">
        <v>117</v>
      </c>
      <c r="C231" s="8" t="s">
        <v>113</v>
      </c>
      <c r="D231" s="8" t="s">
        <v>780</v>
      </c>
      <c r="E231" s="28" t="s">
        <v>315</v>
      </c>
      <c r="F231" s="8" t="s">
        <v>714</v>
      </c>
      <c r="G231" s="24">
        <f>G232</f>
        <v>144.62</v>
      </c>
      <c r="H231" s="24">
        <f>H232</f>
        <v>80.319999999999993</v>
      </c>
      <c r="I231" s="24">
        <f>I232</f>
        <v>80.319999999999993</v>
      </c>
    </row>
    <row r="232" spans="1:9" ht="15" customHeight="1" x14ac:dyDescent="0.25">
      <c r="A232" s="23" t="s">
        <v>715</v>
      </c>
      <c r="B232" s="28" t="s">
        <v>117</v>
      </c>
      <c r="C232" s="8" t="s">
        <v>113</v>
      </c>
      <c r="D232" s="8" t="s">
        <v>780</v>
      </c>
      <c r="E232" s="28" t="s">
        <v>315</v>
      </c>
      <c r="F232" s="8" t="s">
        <v>716</v>
      </c>
      <c r="G232" s="24">
        <f>'5'!D292</f>
        <v>144.62</v>
      </c>
      <c r="H232" s="24">
        <f>'5'!E292</f>
        <v>80.319999999999993</v>
      </c>
      <c r="I232" s="24">
        <f>'5'!F292</f>
        <v>80.319999999999993</v>
      </c>
    </row>
    <row r="233" spans="1:9" ht="27.6" x14ac:dyDescent="0.25">
      <c r="A233" s="362" t="s">
        <v>800</v>
      </c>
      <c r="B233" s="363">
        <v>951</v>
      </c>
      <c r="C233" s="364" t="s">
        <v>113</v>
      </c>
      <c r="D233" s="364" t="s">
        <v>801</v>
      </c>
      <c r="E233" s="364" t="s">
        <v>699</v>
      </c>
      <c r="F233" s="364" t="s">
        <v>223</v>
      </c>
      <c r="G233" s="365">
        <f>G234+G243</f>
        <v>65830.029899999994</v>
      </c>
      <c r="H233" s="365">
        <f t="shared" ref="H233:I233" si="42">H234+H243</f>
        <v>200</v>
      </c>
      <c r="I233" s="365">
        <f t="shared" si="42"/>
        <v>200</v>
      </c>
    </row>
    <row r="234" spans="1:9" ht="44.4" customHeight="1" x14ac:dyDescent="0.25">
      <c r="A234" s="2" t="s">
        <v>802</v>
      </c>
      <c r="B234" s="3">
        <v>951</v>
      </c>
      <c r="C234" s="6" t="s">
        <v>113</v>
      </c>
      <c r="D234" s="6" t="s">
        <v>801</v>
      </c>
      <c r="E234" s="6" t="s">
        <v>252</v>
      </c>
      <c r="F234" s="6" t="s">
        <v>223</v>
      </c>
      <c r="G234" s="19">
        <f>G235</f>
        <v>200</v>
      </c>
      <c r="H234" s="19">
        <f t="shared" ref="H234:I236" si="43">H235</f>
        <v>200</v>
      </c>
      <c r="I234" s="19">
        <f t="shared" si="43"/>
        <v>200</v>
      </c>
    </row>
    <row r="235" spans="1:9" ht="33" customHeight="1" x14ac:dyDescent="0.25">
      <c r="A235" s="2" t="s">
        <v>803</v>
      </c>
      <c r="B235" s="3">
        <v>951</v>
      </c>
      <c r="C235" s="6" t="s">
        <v>113</v>
      </c>
      <c r="D235" s="6" t="s">
        <v>801</v>
      </c>
      <c r="E235" s="6" t="s">
        <v>253</v>
      </c>
      <c r="F235" s="6" t="s">
        <v>223</v>
      </c>
      <c r="G235" s="19">
        <f>G236+G241</f>
        <v>200</v>
      </c>
      <c r="H235" s="19">
        <f>H236+H241</f>
        <v>200</v>
      </c>
      <c r="I235" s="19">
        <f>I236+I241</f>
        <v>200</v>
      </c>
    </row>
    <row r="236" spans="1:9" ht="17.100000000000001" customHeight="1" x14ac:dyDescent="0.25">
      <c r="A236" s="2" t="s">
        <v>713</v>
      </c>
      <c r="B236" s="3">
        <v>951</v>
      </c>
      <c r="C236" s="6" t="s">
        <v>113</v>
      </c>
      <c r="D236" s="6" t="s">
        <v>801</v>
      </c>
      <c r="E236" s="6" t="s">
        <v>253</v>
      </c>
      <c r="F236" s="6" t="s">
        <v>714</v>
      </c>
      <c r="G236" s="19">
        <f>G237</f>
        <v>197</v>
      </c>
      <c r="H236" s="19">
        <f t="shared" si="43"/>
        <v>197</v>
      </c>
      <c r="I236" s="19">
        <f t="shared" si="43"/>
        <v>197</v>
      </c>
    </row>
    <row r="237" spans="1:9" ht="47.4" customHeight="1" x14ac:dyDescent="0.25">
      <c r="A237" s="2" t="s">
        <v>387</v>
      </c>
      <c r="B237" s="3">
        <v>951</v>
      </c>
      <c r="C237" s="6" t="s">
        <v>113</v>
      </c>
      <c r="D237" s="6" t="s">
        <v>801</v>
      </c>
      <c r="E237" s="6" t="s">
        <v>253</v>
      </c>
      <c r="F237" s="6" t="s">
        <v>793</v>
      </c>
      <c r="G237" s="19">
        <f>'5'!D199</f>
        <v>197</v>
      </c>
      <c r="H237" s="19">
        <f>'5'!E199</f>
        <v>197</v>
      </c>
      <c r="I237" s="19">
        <f>'5'!F199</f>
        <v>197</v>
      </c>
    </row>
    <row r="238" spans="1:9" hidden="1" x14ac:dyDescent="0.25">
      <c r="A238" s="12"/>
      <c r="B238" s="3">
        <v>952</v>
      </c>
      <c r="C238" s="6" t="s">
        <v>113</v>
      </c>
      <c r="D238" s="6" t="s">
        <v>801</v>
      </c>
      <c r="E238" s="6" t="s">
        <v>253</v>
      </c>
      <c r="F238" s="317"/>
      <c r="G238" s="128"/>
      <c r="H238" s="128"/>
      <c r="I238" s="128"/>
    </row>
    <row r="239" spans="1:9" hidden="1" x14ac:dyDescent="0.25">
      <c r="A239" s="9"/>
      <c r="B239" s="3">
        <v>953</v>
      </c>
      <c r="C239" s="6" t="s">
        <v>113</v>
      </c>
      <c r="D239" s="6" t="s">
        <v>801</v>
      </c>
      <c r="E239" s="6" t="s">
        <v>253</v>
      </c>
      <c r="F239" s="6"/>
      <c r="G239" s="19"/>
      <c r="H239" s="19"/>
      <c r="I239" s="19"/>
    </row>
    <row r="240" spans="1:9" hidden="1" x14ac:dyDescent="0.25">
      <c r="A240" s="9"/>
      <c r="B240" s="3">
        <v>954</v>
      </c>
      <c r="C240" s="6" t="s">
        <v>113</v>
      </c>
      <c r="D240" s="6" t="s">
        <v>801</v>
      </c>
      <c r="E240" s="6" t="s">
        <v>253</v>
      </c>
      <c r="F240" s="6"/>
      <c r="G240" s="19"/>
      <c r="H240" s="19"/>
      <c r="I240" s="19"/>
    </row>
    <row r="241" spans="1:9" ht="27.6" x14ac:dyDescent="0.25">
      <c r="A241" s="2" t="s">
        <v>709</v>
      </c>
      <c r="B241" s="3" t="s">
        <v>117</v>
      </c>
      <c r="C241" s="6" t="s">
        <v>113</v>
      </c>
      <c r="D241" s="6" t="s">
        <v>801</v>
      </c>
      <c r="E241" s="6" t="s">
        <v>253</v>
      </c>
      <c r="F241" s="6" t="s">
        <v>710</v>
      </c>
      <c r="G241" s="19">
        <f>G242</f>
        <v>3</v>
      </c>
      <c r="H241" s="19">
        <f>H242</f>
        <v>3</v>
      </c>
      <c r="I241" s="19">
        <f>I242</f>
        <v>3</v>
      </c>
    </row>
    <row r="242" spans="1:9" ht="41.4" x14ac:dyDescent="0.25">
      <c r="A242" s="9" t="s">
        <v>711</v>
      </c>
      <c r="B242" s="3" t="s">
        <v>117</v>
      </c>
      <c r="C242" s="6" t="s">
        <v>113</v>
      </c>
      <c r="D242" s="6" t="s">
        <v>801</v>
      </c>
      <c r="E242" s="6" t="s">
        <v>253</v>
      </c>
      <c r="F242" s="6" t="s">
        <v>712</v>
      </c>
      <c r="G242" s="19">
        <f>'5'!D200</f>
        <v>3</v>
      </c>
      <c r="H242" s="19">
        <f>'5'!E200</f>
        <v>3</v>
      </c>
      <c r="I242" s="19">
        <f>'5'!F200</f>
        <v>3</v>
      </c>
    </row>
    <row r="243" spans="1:9" ht="62.4" x14ac:dyDescent="0.25">
      <c r="A243" s="297" t="s">
        <v>1058</v>
      </c>
      <c r="B243" s="3" t="s">
        <v>117</v>
      </c>
      <c r="C243" s="6" t="s">
        <v>113</v>
      </c>
      <c r="D243" s="6" t="s">
        <v>801</v>
      </c>
      <c r="E243" s="317" t="s">
        <v>1062</v>
      </c>
      <c r="F243" s="6" t="s">
        <v>223</v>
      </c>
      <c r="G243" s="19">
        <f>G244+G251+G258</f>
        <v>65630.029899999994</v>
      </c>
      <c r="H243" s="19">
        <f t="shared" ref="H243:I243" si="44">H244+H251</f>
        <v>0</v>
      </c>
      <c r="I243" s="19">
        <f t="shared" si="44"/>
        <v>0</v>
      </c>
    </row>
    <row r="244" spans="1:9" ht="56.4" customHeight="1" x14ac:dyDescent="0.25">
      <c r="A244" s="9" t="s">
        <v>1043</v>
      </c>
      <c r="B244" s="3" t="s">
        <v>117</v>
      </c>
      <c r="C244" s="6" t="s">
        <v>113</v>
      </c>
      <c r="D244" s="6" t="s">
        <v>801</v>
      </c>
      <c r="E244" s="6" t="s">
        <v>1057</v>
      </c>
      <c r="F244" s="6" t="s">
        <v>223</v>
      </c>
      <c r="G244" s="19">
        <f>G245+G248</f>
        <v>5050.5050499999998</v>
      </c>
      <c r="H244" s="19">
        <f>H245+H248</f>
        <v>0</v>
      </c>
      <c r="I244" s="19">
        <f>I245+I248</f>
        <v>0</v>
      </c>
    </row>
    <row r="245" spans="1:9" ht="69" x14ac:dyDescent="0.25">
      <c r="A245" s="9" t="s">
        <v>1138</v>
      </c>
      <c r="B245" s="3" t="s">
        <v>117</v>
      </c>
      <c r="C245" s="6" t="s">
        <v>113</v>
      </c>
      <c r="D245" s="6" t="s">
        <v>801</v>
      </c>
      <c r="E245" s="6" t="s">
        <v>1057</v>
      </c>
      <c r="F245" s="6" t="s">
        <v>223</v>
      </c>
      <c r="G245" s="19">
        <f t="shared" ref="G245:I246" si="45">G246</f>
        <v>5000</v>
      </c>
      <c r="H245" s="19">
        <f t="shared" si="45"/>
        <v>0</v>
      </c>
      <c r="I245" s="19">
        <f t="shared" si="45"/>
        <v>0</v>
      </c>
    </row>
    <row r="246" spans="1:9" ht="27.6" x14ac:dyDescent="0.25">
      <c r="A246" s="2" t="s">
        <v>709</v>
      </c>
      <c r="B246" s="3" t="s">
        <v>117</v>
      </c>
      <c r="C246" s="6" t="s">
        <v>113</v>
      </c>
      <c r="D246" s="6" t="s">
        <v>801</v>
      </c>
      <c r="E246" s="6" t="s">
        <v>1057</v>
      </c>
      <c r="F246" s="6" t="s">
        <v>710</v>
      </c>
      <c r="G246" s="19">
        <f t="shared" si="45"/>
        <v>5000</v>
      </c>
      <c r="H246" s="19">
        <f t="shared" si="45"/>
        <v>0</v>
      </c>
      <c r="I246" s="19">
        <f t="shared" si="45"/>
        <v>0</v>
      </c>
    </row>
    <row r="247" spans="1:9" ht="41.4" x14ac:dyDescent="0.25">
      <c r="A247" s="9" t="s">
        <v>711</v>
      </c>
      <c r="B247" s="3" t="s">
        <v>117</v>
      </c>
      <c r="C247" s="6" t="s">
        <v>113</v>
      </c>
      <c r="D247" s="6" t="s">
        <v>801</v>
      </c>
      <c r="E247" s="6" t="s">
        <v>1057</v>
      </c>
      <c r="F247" s="6" t="s">
        <v>712</v>
      </c>
      <c r="G247" s="19">
        <f>'5'!D250</f>
        <v>5000</v>
      </c>
      <c r="H247" s="19">
        <f>'5'!E250</f>
        <v>0</v>
      </c>
      <c r="I247" s="19">
        <f>'5'!F250</f>
        <v>0</v>
      </c>
    </row>
    <row r="248" spans="1:9" ht="82.8" x14ac:dyDescent="0.25">
      <c r="A248" s="9" t="s">
        <v>1137</v>
      </c>
      <c r="B248" s="3" t="s">
        <v>117</v>
      </c>
      <c r="C248" s="6" t="s">
        <v>113</v>
      </c>
      <c r="D248" s="6" t="s">
        <v>801</v>
      </c>
      <c r="E248" s="6" t="s">
        <v>1063</v>
      </c>
      <c r="F248" s="6" t="s">
        <v>223</v>
      </c>
      <c r="G248" s="19">
        <f t="shared" ref="G248:I249" si="46">G249</f>
        <v>50.505049999999997</v>
      </c>
      <c r="H248" s="19">
        <f t="shared" si="46"/>
        <v>0</v>
      </c>
      <c r="I248" s="19">
        <f t="shared" si="46"/>
        <v>0</v>
      </c>
    </row>
    <row r="249" spans="1:9" ht="27.6" x14ac:dyDescent="0.25">
      <c r="A249" s="2" t="s">
        <v>709</v>
      </c>
      <c r="B249" s="3" t="s">
        <v>117</v>
      </c>
      <c r="C249" s="6" t="s">
        <v>113</v>
      </c>
      <c r="D249" s="6" t="s">
        <v>801</v>
      </c>
      <c r="E249" s="6" t="s">
        <v>1063</v>
      </c>
      <c r="F249" s="6" t="s">
        <v>710</v>
      </c>
      <c r="G249" s="19">
        <f t="shared" si="46"/>
        <v>50.505049999999997</v>
      </c>
      <c r="H249" s="19">
        <f t="shared" si="46"/>
        <v>0</v>
      </c>
      <c r="I249" s="19">
        <f t="shared" si="46"/>
        <v>0</v>
      </c>
    </row>
    <row r="250" spans="1:9" ht="41.4" x14ac:dyDescent="0.25">
      <c r="A250" s="9" t="s">
        <v>711</v>
      </c>
      <c r="B250" s="3" t="s">
        <v>117</v>
      </c>
      <c r="C250" s="6" t="s">
        <v>113</v>
      </c>
      <c r="D250" s="6" t="s">
        <v>801</v>
      </c>
      <c r="E250" s="6" t="s">
        <v>1063</v>
      </c>
      <c r="F250" s="6" t="s">
        <v>712</v>
      </c>
      <c r="G250" s="19">
        <f>'5'!D251</f>
        <v>50.505049999999997</v>
      </c>
      <c r="H250" s="19">
        <f>'5'!E251</f>
        <v>0</v>
      </c>
      <c r="I250" s="19">
        <f>'5'!F251</f>
        <v>0</v>
      </c>
    </row>
    <row r="251" spans="1:9" ht="124.2" x14ac:dyDescent="0.25">
      <c r="A251" s="376" t="s">
        <v>1143</v>
      </c>
      <c r="B251" s="3" t="s">
        <v>117</v>
      </c>
      <c r="C251" s="6" t="s">
        <v>113</v>
      </c>
      <c r="D251" s="6" t="s">
        <v>801</v>
      </c>
      <c r="E251" s="317" t="s">
        <v>1083</v>
      </c>
      <c r="F251" s="317" t="s">
        <v>223</v>
      </c>
      <c r="G251" s="19">
        <f>G252+G255</f>
        <v>60554.524850000002</v>
      </c>
      <c r="H251" s="19">
        <f t="shared" ref="H251:I251" si="47">H252+H255</f>
        <v>0</v>
      </c>
      <c r="I251" s="19">
        <f t="shared" si="47"/>
        <v>0</v>
      </c>
    </row>
    <row r="252" spans="1:9" ht="124.2" x14ac:dyDescent="0.25">
      <c r="A252" s="2" t="s">
        <v>1141</v>
      </c>
      <c r="B252" s="3" t="s">
        <v>117</v>
      </c>
      <c r="C252" s="6" t="s">
        <v>113</v>
      </c>
      <c r="D252" s="6" t="s">
        <v>801</v>
      </c>
      <c r="E252" s="6" t="s">
        <v>1080</v>
      </c>
      <c r="F252" s="6" t="s">
        <v>223</v>
      </c>
      <c r="G252" s="485">
        <f>G253</f>
        <v>59948.979599999999</v>
      </c>
      <c r="H252" s="485">
        <f t="shared" ref="H252:I253" si="48">H253</f>
        <v>0</v>
      </c>
      <c r="I252" s="485">
        <f t="shared" si="48"/>
        <v>0</v>
      </c>
    </row>
    <row r="253" spans="1:9" ht="27.6" x14ac:dyDescent="0.25">
      <c r="A253" s="2" t="s">
        <v>709</v>
      </c>
      <c r="B253" s="3" t="s">
        <v>117</v>
      </c>
      <c r="C253" s="6" t="s">
        <v>113</v>
      </c>
      <c r="D253" s="6" t="s">
        <v>801</v>
      </c>
      <c r="E253" s="6" t="s">
        <v>1080</v>
      </c>
      <c r="F253" s="6" t="s">
        <v>710</v>
      </c>
      <c r="G253" s="485">
        <f>G254</f>
        <v>59948.979599999999</v>
      </c>
      <c r="H253" s="485">
        <f t="shared" si="48"/>
        <v>0</v>
      </c>
      <c r="I253" s="485">
        <f t="shared" si="48"/>
        <v>0</v>
      </c>
    </row>
    <row r="254" spans="1:9" ht="41.4" x14ac:dyDescent="0.25">
      <c r="A254" s="9" t="s">
        <v>711</v>
      </c>
      <c r="B254" s="3" t="s">
        <v>117</v>
      </c>
      <c r="C254" s="6" t="s">
        <v>113</v>
      </c>
      <c r="D254" s="6" t="s">
        <v>801</v>
      </c>
      <c r="E254" s="6" t="s">
        <v>1080</v>
      </c>
      <c r="F254" s="6" t="s">
        <v>712</v>
      </c>
      <c r="G254" s="541">
        <f>'3'!F309</f>
        <v>59948.979599999999</v>
      </c>
      <c r="H254" s="485">
        <f>'3'!G309</f>
        <v>0</v>
      </c>
      <c r="I254" s="485">
        <f>'3'!H309</f>
        <v>0</v>
      </c>
    </row>
    <row r="255" spans="1:9" ht="124.2" x14ac:dyDescent="0.25">
      <c r="A255" s="2" t="s">
        <v>1142</v>
      </c>
      <c r="B255" s="3" t="s">
        <v>117</v>
      </c>
      <c r="C255" s="6" t="s">
        <v>113</v>
      </c>
      <c r="D255" s="6" t="s">
        <v>801</v>
      </c>
      <c r="E255" s="6" t="s">
        <v>1081</v>
      </c>
      <c r="F255" s="6" t="s">
        <v>223</v>
      </c>
      <c r="G255" s="485">
        <f>G256</f>
        <v>605.54525000000001</v>
      </c>
      <c r="H255" s="485">
        <f t="shared" ref="H255:I256" si="49">H256</f>
        <v>0</v>
      </c>
      <c r="I255" s="485">
        <f t="shared" si="49"/>
        <v>0</v>
      </c>
    </row>
    <row r="256" spans="1:9" ht="27.6" x14ac:dyDescent="0.25">
      <c r="A256" s="2" t="s">
        <v>709</v>
      </c>
      <c r="B256" s="3" t="s">
        <v>117</v>
      </c>
      <c r="C256" s="6" t="s">
        <v>113</v>
      </c>
      <c r="D256" s="6" t="s">
        <v>801</v>
      </c>
      <c r="E256" s="6" t="s">
        <v>1081</v>
      </c>
      <c r="F256" s="6" t="s">
        <v>710</v>
      </c>
      <c r="G256" s="485">
        <f>G257</f>
        <v>605.54525000000001</v>
      </c>
      <c r="H256" s="485">
        <f t="shared" si="49"/>
        <v>0</v>
      </c>
      <c r="I256" s="485">
        <f t="shared" si="49"/>
        <v>0</v>
      </c>
    </row>
    <row r="257" spans="1:11" ht="41.4" x14ac:dyDescent="0.25">
      <c r="A257" s="9" t="s">
        <v>711</v>
      </c>
      <c r="B257" s="3" t="s">
        <v>117</v>
      </c>
      <c r="C257" s="6" t="s">
        <v>113</v>
      </c>
      <c r="D257" s="6" t="s">
        <v>801</v>
      </c>
      <c r="E257" s="6" t="s">
        <v>1081</v>
      </c>
      <c r="F257" s="6" t="s">
        <v>712</v>
      </c>
      <c r="G257" s="542">
        <f>'5'!D249</f>
        <v>605.54525000000001</v>
      </c>
      <c r="H257" s="485">
        <f>'5'!E249</f>
        <v>0</v>
      </c>
      <c r="I257" s="485">
        <f>'5'!F249</f>
        <v>0</v>
      </c>
    </row>
    <row r="258" spans="1:11" ht="55.2" x14ac:dyDescent="0.25">
      <c r="A258" s="376" t="s">
        <v>1148</v>
      </c>
      <c r="B258" s="3" t="s">
        <v>117</v>
      </c>
      <c r="C258" s="6" t="s">
        <v>113</v>
      </c>
      <c r="D258" s="6" t="s">
        <v>801</v>
      </c>
      <c r="E258" s="317" t="s">
        <v>1147</v>
      </c>
      <c r="F258" s="6" t="s">
        <v>223</v>
      </c>
      <c r="G258" s="542">
        <f>G259</f>
        <v>25</v>
      </c>
      <c r="H258" s="541">
        <f t="shared" ref="H258:I259" si="50">H259</f>
        <v>0</v>
      </c>
      <c r="I258" s="541">
        <f t="shared" si="50"/>
        <v>0</v>
      </c>
    </row>
    <row r="259" spans="1:11" ht="27.6" x14ac:dyDescent="0.25">
      <c r="A259" s="2" t="s">
        <v>709</v>
      </c>
      <c r="B259" s="3" t="s">
        <v>117</v>
      </c>
      <c r="C259" s="6" t="s">
        <v>113</v>
      </c>
      <c r="D259" s="6" t="s">
        <v>801</v>
      </c>
      <c r="E259" s="6" t="s">
        <v>1147</v>
      </c>
      <c r="F259" s="6" t="s">
        <v>710</v>
      </c>
      <c r="G259" s="542">
        <f>G260</f>
        <v>25</v>
      </c>
      <c r="H259" s="541">
        <f t="shared" si="50"/>
        <v>0</v>
      </c>
      <c r="I259" s="541">
        <f t="shared" si="50"/>
        <v>0</v>
      </c>
    </row>
    <row r="260" spans="1:11" ht="41.4" x14ac:dyDescent="0.25">
      <c r="A260" s="9" t="s">
        <v>711</v>
      </c>
      <c r="B260" s="3" t="s">
        <v>117</v>
      </c>
      <c r="C260" s="6" t="s">
        <v>113</v>
      </c>
      <c r="D260" s="6" t="s">
        <v>801</v>
      </c>
      <c r="E260" s="6" t="s">
        <v>1147</v>
      </c>
      <c r="F260" s="6" t="s">
        <v>712</v>
      </c>
      <c r="G260" s="19">
        <v>25</v>
      </c>
      <c r="H260" s="19">
        <v>0</v>
      </c>
      <c r="I260" s="19">
        <v>0</v>
      </c>
    </row>
    <row r="261" spans="1:11" ht="29.7" customHeight="1" x14ac:dyDescent="0.25">
      <c r="A261" s="381" t="s">
        <v>805</v>
      </c>
      <c r="B261" s="359">
        <v>951</v>
      </c>
      <c r="C261" s="379" t="s">
        <v>718</v>
      </c>
      <c r="D261" s="379" t="s">
        <v>109</v>
      </c>
      <c r="E261" s="379" t="s">
        <v>699</v>
      </c>
      <c r="F261" s="379" t="s">
        <v>223</v>
      </c>
      <c r="G261" s="360">
        <f>G262+G304+G289</f>
        <v>2944.3730700000001</v>
      </c>
      <c r="H261" s="360">
        <f>H262+H304+H289</f>
        <v>1706.9133800000002</v>
      </c>
      <c r="I261" s="360">
        <f>I262+I304+I289</f>
        <v>1707.0096800000001</v>
      </c>
      <c r="J261" s="45">
        <v>6638.2233699999997</v>
      </c>
      <c r="K261" s="50"/>
    </row>
    <row r="262" spans="1:11" x14ac:dyDescent="0.25">
      <c r="A262" s="362" t="s">
        <v>806</v>
      </c>
      <c r="B262" s="363">
        <v>951</v>
      </c>
      <c r="C262" s="364" t="s">
        <v>718</v>
      </c>
      <c r="D262" s="364" t="s">
        <v>701</v>
      </c>
      <c r="E262" s="364" t="s">
        <v>699</v>
      </c>
      <c r="F262" s="364" t="s">
        <v>223</v>
      </c>
      <c r="G262" s="365">
        <f>G263+G270+G273+G276+G281+G286+G267</f>
        <v>1710.2483300000001</v>
      </c>
      <c r="H262" s="365">
        <f t="shared" ref="H262:I262" si="51">H263+H270+H273+H276+H281+H286+H267</f>
        <v>1264.5060600000002</v>
      </c>
      <c r="I262" s="365">
        <f t="shared" si="51"/>
        <v>1264.5060600000002</v>
      </c>
    </row>
    <row r="263" spans="1:11" ht="17.7" hidden="1" customHeight="1" x14ac:dyDescent="0.25">
      <c r="A263" s="21" t="s">
        <v>807</v>
      </c>
      <c r="B263" s="28">
        <v>951</v>
      </c>
      <c r="C263" s="8" t="s">
        <v>718</v>
      </c>
      <c r="D263" s="8" t="s">
        <v>701</v>
      </c>
      <c r="E263" s="8" t="s">
        <v>17</v>
      </c>
      <c r="F263" s="8" t="s">
        <v>223</v>
      </c>
      <c r="G263" s="24">
        <f>G264</f>
        <v>0</v>
      </c>
      <c r="H263" s="24">
        <f t="shared" ref="H263:I265" si="52">H264</f>
        <v>0</v>
      </c>
      <c r="I263" s="24">
        <f t="shared" si="52"/>
        <v>0</v>
      </c>
    </row>
    <row r="264" spans="1:11" ht="27.6" hidden="1" x14ac:dyDescent="0.25">
      <c r="A264" s="21" t="s">
        <v>316</v>
      </c>
      <c r="B264" s="28">
        <v>951</v>
      </c>
      <c r="C264" s="8" t="s">
        <v>718</v>
      </c>
      <c r="D264" s="8" t="s">
        <v>701</v>
      </c>
      <c r="E264" s="8" t="s">
        <v>17</v>
      </c>
      <c r="F264" s="8" t="s">
        <v>223</v>
      </c>
      <c r="G264" s="24">
        <f>G265</f>
        <v>0</v>
      </c>
      <c r="H264" s="24">
        <f t="shared" si="52"/>
        <v>0</v>
      </c>
      <c r="I264" s="24">
        <f t="shared" si="52"/>
        <v>0</v>
      </c>
    </row>
    <row r="265" spans="1:11" ht="30.6" hidden="1" customHeight="1" x14ac:dyDescent="0.25">
      <c r="A265" s="21" t="s">
        <v>709</v>
      </c>
      <c r="B265" s="28">
        <v>951</v>
      </c>
      <c r="C265" s="8" t="s">
        <v>718</v>
      </c>
      <c r="D265" s="8" t="s">
        <v>701</v>
      </c>
      <c r="E265" s="8" t="s">
        <v>17</v>
      </c>
      <c r="F265" s="8" t="s">
        <v>710</v>
      </c>
      <c r="G265" s="24">
        <f>G266</f>
        <v>0</v>
      </c>
      <c r="H265" s="24">
        <f t="shared" si="52"/>
        <v>0</v>
      </c>
      <c r="I265" s="24">
        <f t="shared" si="52"/>
        <v>0</v>
      </c>
    </row>
    <row r="266" spans="1:11" ht="44.1" hidden="1" customHeight="1" x14ac:dyDescent="0.25">
      <c r="A266" s="22" t="s">
        <v>711</v>
      </c>
      <c r="B266" s="28">
        <v>951</v>
      </c>
      <c r="C266" s="8" t="s">
        <v>718</v>
      </c>
      <c r="D266" s="8" t="s">
        <v>701</v>
      </c>
      <c r="E266" s="8" t="s">
        <v>17</v>
      </c>
      <c r="F266" s="8" t="s">
        <v>712</v>
      </c>
      <c r="G266" s="19">
        <v>0</v>
      </c>
      <c r="H266" s="19">
        <v>0</v>
      </c>
      <c r="I266" s="19">
        <v>0</v>
      </c>
    </row>
    <row r="267" spans="1:11" ht="21" hidden="1" customHeight="1" x14ac:dyDescent="0.25">
      <c r="A267" s="382" t="s">
        <v>214</v>
      </c>
      <c r="B267" s="131" t="s">
        <v>117</v>
      </c>
      <c r="C267" s="14" t="s">
        <v>718</v>
      </c>
      <c r="D267" s="14" t="s">
        <v>701</v>
      </c>
      <c r="E267" s="14" t="s">
        <v>19</v>
      </c>
      <c r="F267" s="14" t="s">
        <v>223</v>
      </c>
      <c r="G267" s="27">
        <f t="shared" ref="G267:I268" si="53">G268</f>
        <v>0</v>
      </c>
      <c r="H267" s="27">
        <f t="shared" si="53"/>
        <v>0</v>
      </c>
      <c r="I267" s="27">
        <f t="shared" si="53"/>
        <v>0</v>
      </c>
      <c r="K267" s="45" t="s">
        <v>974</v>
      </c>
    </row>
    <row r="268" spans="1:11" ht="44.1" hidden="1" customHeight="1" x14ac:dyDescent="0.25">
      <c r="A268" s="21" t="s">
        <v>709</v>
      </c>
      <c r="B268" s="28" t="s">
        <v>117</v>
      </c>
      <c r="C268" s="8" t="s">
        <v>718</v>
      </c>
      <c r="D268" s="8" t="s">
        <v>701</v>
      </c>
      <c r="E268" s="8" t="s">
        <v>19</v>
      </c>
      <c r="F268" s="8" t="s">
        <v>710</v>
      </c>
      <c r="G268" s="19">
        <f t="shared" si="53"/>
        <v>0</v>
      </c>
      <c r="H268" s="19">
        <f t="shared" si="53"/>
        <v>0</v>
      </c>
      <c r="I268" s="19">
        <f t="shared" si="53"/>
        <v>0</v>
      </c>
    </row>
    <row r="269" spans="1:11" ht="44.1" hidden="1" customHeight="1" x14ac:dyDescent="0.25">
      <c r="A269" s="22" t="s">
        <v>711</v>
      </c>
      <c r="B269" s="28" t="s">
        <v>117</v>
      </c>
      <c r="C269" s="8" t="s">
        <v>718</v>
      </c>
      <c r="D269" s="8" t="s">
        <v>701</v>
      </c>
      <c r="E269" s="8" t="s">
        <v>19</v>
      </c>
      <c r="F269" s="8" t="s">
        <v>712</v>
      </c>
      <c r="G269" s="19"/>
      <c r="H269" s="19">
        <v>0</v>
      </c>
      <c r="I269" s="19">
        <v>0</v>
      </c>
    </row>
    <row r="270" spans="1:11" ht="27.6" x14ac:dyDescent="0.25">
      <c r="A270" s="21" t="s">
        <v>258</v>
      </c>
      <c r="B270" s="28">
        <v>951</v>
      </c>
      <c r="C270" s="8" t="s">
        <v>718</v>
      </c>
      <c r="D270" s="8" t="s">
        <v>701</v>
      </c>
      <c r="E270" s="8" t="s">
        <v>74</v>
      </c>
      <c r="F270" s="8" t="s">
        <v>223</v>
      </c>
      <c r="G270" s="24">
        <f t="shared" ref="G270:I271" si="54">G271</f>
        <v>1063.9000000000001</v>
      </c>
      <c r="H270" s="24">
        <f t="shared" si="54"/>
        <v>1063.9000000000001</v>
      </c>
      <c r="I270" s="24">
        <f t="shared" si="54"/>
        <v>1063.9000000000001</v>
      </c>
    </row>
    <row r="271" spans="1:11" ht="31.2" customHeight="1" x14ac:dyDescent="0.25">
      <c r="A271" s="21" t="s">
        <v>709</v>
      </c>
      <c r="B271" s="28">
        <v>951</v>
      </c>
      <c r="C271" s="8" t="s">
        <v>718</v>
      </c>
      <c r="D271" s="8" t="s">
        <v>701</v>
      </c>
      <c r="E271" s="8" t="s">
        <v>74</v>
      </c>
      <c r="F271" s="8" t="s">
        <v>710</v>
      </c>
      <c r="G271" s="24">
        <f t="shared" si="54"/>
        <v>1063.9000000000001</v>
      </c>
      <c r="H271" s="24">
        <f t="shared" si="54"/>
        <v>1063.9000000000001</v>
      </c>
      <c r="I271" s="24">
        <f t="shared" si="54"/>
        <v>1063.9000000000001</v>
      </c>
    </row>
    <row r="272" spans="1:11" ht="45" customHeight="1" x14ac:dyDescent="0.25">
      <c r="A272" s="22" t="s">
        <v>711</v>
      </c>
      <c r="B272" s="28">
        <v>951</v>
      </c>
      <c r="C272" s="8" t="s">
        <v>718</v>
      </c>
      <c r="D272" s="8" t="s">
        <v>701</v>
      </c>
      <c r="E272" s="8" t="s">
        <v>74</v>
      </c>
      <c r="F272" s="8" t="s">
        <v>712</v>
      </c>
      <c r="G272" s="24">
        <f>'5'!D277</f>
        <v>1063.9000000000001</v>
      </c>
      <c r="H272" s="24">
        <f>'5'!E277</f>
        <v>1063.9000000000001</v>
      </c>
      <c r="I272" s="24">
        <f>'5'!F277</f>
        <v>1063.9000000000001</v>
      </c>
    </row>
    <row r="273" spans="1:10" ht="41.4" hidden="1" x14ac:dyDescent="0.25">
      <c r="A273" s="370" t="s">
        <v>402</v>
      </c>
      <c r="B273" s="57">
        <v>951</v>
      </c>
      <c r="C273" s="29" t="s">
        <v>718</v>
      </c>
      <c r="D273" s="29" t="s">
        <v>701</v>
      </c>
      <c r="E273" s="29" t="s">
        <v>403</v>
      </c>
      <c r="F273" s="29" t="s">
        <v>223</v>
      </c>
      <c r="G273" s="26">
        <f t="shared" ref="G273:I274" si="55">G274</f>
        <v>0</v>
      </c>
      <c r="H273" s="26">
        <f t="shared" si="55"/>
        <v>0</v>
      </c>
      <c r="I273" s="26">
        <f t="shared" si="55"/>
        <v>0</v>
      </c>
    </row>
    <row r="274" spans="1:10" ht="27.6" hidden="1" x14ac:dyDescent="0.25">
      <c r="A274" s="21" t="s">
        <v>709</v>
      </c>
      <c r="B274" s="28">
        <v>951</v>
      </c>
      <c r="C274" s="8" t="s">
        <v>718</v>
      </c>
      <c r="D274" s="8" t="s">
        <v>701</v>
      </c>
      <c r="E274" s="8" t="s">
        <v>403</v>
      </c>
      <c r="F274" s="8" t="s">
        <v>710</v>
      </c>
      <c r="G274" s="24">
        <f t="shared" si="55"/>
        <v>0</v>
      </c>
      <c r="H274" s="24">
        <f t="shared" si="55"/>
        <v>0</v>
      </c>
      <c r="I274" s="24">
        <f t="shared" si="55"/>
        <v>0</v>
      </c>
    </row>
    <row r="275" spans="1:10" ht="41.4" hidden="1" x14ac:dyDescent="0.25">
      <c r="A275" s="22" t="s">
        <v>711</v>
      </c>
      <c r="B275" s="28">
        <v>951</v>
      </c>
      <c r="C275" s="8" t="s">
        <v>718</v>
      </c>
      <c r="D275" s="8" t="s">
        <v>701</v>
      </c>
      <c r="E275" s="8" t="s">
        <v>403</v>
      </c>
      <c r="F275" s="8" t="s">
        <v>712</v>
      </c>
      <c r="G275" s="24"/>
      <c r="H275" s="24"/>
      <c r="I275" s="24"/>
    </row>
    <row r="276" spans="1:10" ht="74.25" customHeight="1" x14ac:dyDescent="0.25">
      <c r="A276" s="15" t="s">
        <v>808</v>
      </c>
      <c r="B276" s="57" t="s">
        <v>117</v>
      </c>
      <c r="C276" s="29" t="s">
        <v>718</v>
      </c>
      <c r="D276" s="29" t="s">
        <v>701</v>
      </c>
      <c r="E276" s="29" t="s">
        <v>317</v>
      </c>
      <c r="F276" s="29" t="s">
        <v>223</v>
      </c>
      <c r="G276" s="26">
        <f t="shared" ref="G276:I277" si="56">G277</f>
        <v>516.34833000000003</v>
      </c>
      <c r="H276" s="26">
        <f t="shared" si="56"/>
        <v>60.606059999999999</v>
      </c>
      <c r="I276" s="26">
        <f t="shared" si="56"/>
        <v>60.606059999999999</v>
      </c>
    </row>
    <row r="277" spans="1:10" ht="55.2" x14ac:dyDescent="0.25">
      <c r="A277" s="22" t="s">
        <v>809</v>
      </c>
      <c r="B277" s="28" t="s">
        <v>117</v>
      </c>
      <c r="C277" s="8" t="s">
        <v>718</v>
      </c>
      <c r="D277" s="8" t="s">
        <v>701</v>
      </c>
      <c r="E277" s="8" t="s">
        <v>317</v>
      </c>
      <c r="F277" s="8" t="s">
        <v>223</v>
      </c>
      <c r="G277" s="24">
        <f t="shared" si="56"/>
        <v>516.34833000000003</v>
      </c>
      <c r="H277" s="24">
        <f t="shared" si="56"/>
        <v>60.606059999999999</v>
      </c>
      <c r="I277" s="24">
        <f t="shared" si="56"/>
        <v>60.606059999999999</v>
      </c>
    </row>
    <row r="278" spans="1:10" x14ac:dyDescent="0.25">
      <c r="A278" s="21" t="s">
        <v>713</v>
      </c>
      <c r="B278" s="28" t="s">
        <v>117</v>
      </c>
      <c r="C278" s="8" t="s">
        <v>718</v>
      </c>
      <c r="D278" s="8" t="s">
        <v>701</v>
      </c>
      <c r="E278" s="8" t="s">
        <v>317</v>
      </c>
      <c r="F278" s="8" t="s">
        <v>714</v>
      </c>
      <c r="G278" s="24">
        <f>G280+G279</f>
        <v>516.34833000000003</v>
      </c>
      <c r="H278" s="24">
        <f>H280+H279</f>
        <v>60.606059999999999</v>
      </c>
      <c r="I278" s="24">
        <f>I280+I279</f>
        <v>60.606059999999999</v>
      </c>
    </row>
    <row r="279" spans="1:10" ht="48.6" customHeight="1" x14ac:dyDescent="0.25">
      <c r="A279" s="21" t="s">
        <v>976</v>
      </c>
      <c r="B279" s="28" t="s">
        <v>117</v>
      </c>
      <c r="C279" s="8" t="s">
        <v>718</v>
      </c>
      <c r="D279" s="8" t="s">
        <v>701</v>
      </c>
      <c r="E279" s="8" t="s">
        <v>318</v>
      </c>
      <c r="F279" s="8" t="s">
        <v>793</v>
      </c>
      <c r="G279" s="24">
        <f>'5'!D227</f>
        <v>511.18484999999998</v>
      </c>
      <c r="H279" s="24">
        <f>'5'!E227</f>
        <v>0</v>
      </c>
      <c r="I279" s="24">
        <f>'5'!F227</f>
        <v>0</v>
      </c>
    </row>
    <row r="280" spans="1:10" ht="43.95" customHeight="1" x14ac:dyDescent="0.25">
      <c r="A280" s="21" t="s">
        <v>977</v>
      </c>
      <c r="B280" s="28" t="s">
        <v>117</v>
      </c>
      <c r="C280" s="8" t="s">
        <v>718</v>
      </c>
      <c r="D280" s="8" t="s">
        <v>701</v>
      </c>
      <c r="E280" s="269" t="s">
        <v>567</v>
      </c>
      <c r="F280" s="8" t="s">
        <v>793</v>
      </c>
      <c r="G280" s="24">
        <f>'5'!D228</f>
        <v>5.1634799999999998</v>
      </c>
      <c r="H280" s="24">
        <f>'5'!E228</f>
        <v>60.606059999999999</v>
      </c>
      <c r="I280" s="24">
        <f>'5'!F228</f>
        <v>60.606059999999999</v>
      </c>
      <c r="J280" s="24">
        <f>'5'!G228</f>
        <v>5.1634833333333328</v>
      </c>
    </row>
    <row r="281" spans="1:10" ht="31.2" customHeight="1" x14ac:dyDescent="0.25">
      <c r="A281" s="370" t="s">
        <v>702</v>
      </c>
      <c r="B281" s="28" t="s">
        <v>117</v>
      </c>
      <c r="C281" s="8" t="s">
        <v>718</v>
      </c>
      <c r="D281" s="8" t="s">
        <v>701</v>
      </c>
      <c r="E281" s="29" t="s">
        <v>5</v>
      </c>
      <c r="F281" s="29" t="s">
        <v>223</v>
      </c>
      <c r="G281" s="26">
        <f>G282</f>
        <v>120</v>
      </c>
      <c r="H281" s="26">
        <f t="shared" ref="H281:I284" si="57">H282</f>
        <v>120</v>
      </c>
      <c r="I281" s="26">
        <f t="shared" si="57"/>
        <v>120</v>
      </c>
    </row>
    <row r="282" spans="1:10" ht="31.2" customHeight="1" x14ac:dyDescent="0.25">
      <c r="A282" s="22" t="s">
        <v>110</v>
      </c>
      <c r="B282" s="28" t="s">
        <v>117</v>
      </c>
      <c r="C282" s="8" t="s">
        <v>718</v>
      </c>
      <c r="D282" s="8" t="s">
        <v>701</v>
      </c>
      <c r="E282" s="8" t="s">
        <v>6</v>
      </c>
      <c r="F282" s="8" t="s">
        <v>223</v>
      </c>
      <c r="G282" s="24">
        <f>G283</f>
        <v>120</v>
      </c>
      <c r="H282" s="24">
        <f t="shared" si="57"/>
        <v>120</v>
      </c>
      <c r="I282" s="24">
        <f t="shared" si="57"/>
        <v>120</v>
      </c>
    </row>
    <row r="283" spans="1:10" ht="105.6" customHeight="1" x14ac:dyDescent="0.25">
      <c r="A283" s="34" t="s">
        <v>319</v>
      </c>
      <c r="B283" s="31" t="s">
        <v>117</v>
      </c>
      <c r="C283" s="32" t="s">
        <v>718</v>
      </c>
      <c r="D283" s="32" t="s">
        <v>701</v>
      </c>
      <c r="E283" s="32" t="s">
        <v>320</v>
      </c>
      <c r="F283" s="32" t="s">
        <v>223</v>
      </c>
      <c r="G283" s="33">
        <f>G284</f>
        <v>120</v>
      </c>
      <c r="H283" s="33">
        <f t="shared" si="57"/>
        <v>120</v>
      </c>
      <c r="I283" s="33">
        <f t="shared" si="57"/>
        <v>120</v>
      </c>
    </row>
    <row r="284" spans="1:10" ht="31.2" customHeight="1" x14ac:dyDescent="0.25">
      <c r="A284" s="21" t="s">
        <v>709</v>
      </c>
      <c r="B284" s="28" t="s">
        <v>117</v>
      </c>
      <c r="C284" s="8" t="s">
        <v>718</v>
      </c>
      <c r="D284" s="8" t="s">
        <v>701</v>
      </c>
      <c r="E284" s="8" t="s">
        <v>320</v>
      </c>
      <c r="F284" s="8" t="s">
        <v>710</v>
      </c>
      <c r="G284" s="24">
        <f>G285</f>
        <v>120</v>
      </c>
      <c r="H284" s="24">
        <f t="shared" si="57"/>
        <v>120</v>
      </c>
      <c r="I284" s="24">
        <f t="shared" si="57"/>
        <v>120</v>
      </c>
    </row>
    <row r="285" spans="1:10" ht="45" customHeight="1" x14ac:dyDescent="0.25">
      <c r="A285" s="22" t="s">
        <v>711</v>
      </c>
      <c r="B285" s="28" t="s">
        <v>117</v>
      </c>
      <c r="C285" s="8" t="s">
        <v>718</v>
      </c>
      <c r="D285" s="8" t="s">
        <v>701</v>
      </c>
      <c r="E285" s="8" t="s">
        <v>320</v>
      </c>
      <c r="F285" s="8" t="s">
        <v>712</v>
      </c>
      <c r="G285" s="24">
        <f>'5'!D293</f>
        <v>120</v>
      </c>
      <c r="H285" s="24">
        <f>'5'!E293</f>
        <v>120</v>
      </c>
      <c r="I285" s="24">
        <f>'5'!F293</f>
        <v>120</v>
      </c>
    </row>
    <row r="286" spans="1:10" ht="73.2" customHeight="1" x14ac:dyDescent="0.25">
      <c r="A286" s="370" t="s">
        <v>812</v>
      </c>
      <c r="B286" s="57" t="s">
        <v>117</v>
      </c>
      <c r="C286" s="29" t="s">
        <v>718</v>
      </c>
      <c r="D286" s="29" t="s">
        <v>701</v>
      </c>
      <c r="E286" s="29" t="s">
        <v>699</v>
      </c>
      <c r="F286" s="29" t="s">
        <v>223</v>
      </c>
      <c r="G286" s="26">
        <f t="shared" ref="G286:I287" si="58">G287</f>
        <v>10</v>
      </c>
      <c r="H286" s="26">
        <f t="shared" si="58"/>
        <v>20</v>
      </c>
      <c r="I286" s="26">
        <f t="shared" si="58"/>
        <v>20</v>
      </c>
    </row>
    <row r="287" spans="1:10" ht="28.2" customHeight="1" x14ac:dyDescent="0.25">
      <c r="A287" s="383" t="s">
        <v>709</v>
      </c>
      <c r="B287" s="380" t="s">
        <v>117</v>
      </c>
      <c r="C287" s="384" t="s">
        <v>718</v>
      </c>
      <c r="D287" s="384" t="s">
        <v>701</v>
      </c>
      <c r="E287" s="8" t="s">
        <v>366</v>
      </c>
      <c r="F287" s="8" t="s">
        <v>710</v>
      </c>
      <c r="G287" s="330">
        <f t="shared" si="58"/>
        <v>10</v>
      </c>
      <c r="H287" s="330">
        <f t="shared" si="58"/>
        <v>20</v>
      </c>
      <c r="I287" s="330">
        <f t="shared" si="58"/>
        <v>20</v>
      </c>
    </row>
    <row r="288" spans="1:10" ht="42.6" customHeight="1" x14ac:dyDescent="0.25">
      <c r="A288" s="385" t="s">
        <v>711</v>
      </c>
      <c r="B288" s="380" t="s">
        <v>117</v>
      </c>
      <c r="C288" s="384" t="s">
        <v>718</v>
      </c>
      <c r="D288" s="384" t="s">
        <v>701</v>
      </c>
      <c r="E288" s="8" t="s">
        <v>366</v>
      </c>
      <c r="F288" s="8" t="s">
        <v>712</v>
      </c>
      <c r="G288" s="330">
        <f>'5'!D211</f>
        <v>10</v>
      </c>
      <c r="H288" s="330">
        <f>'5'!E211</f>
        <v>20</v>
      </c>
      <c r="I288" s="330">
        <f>'5'!F211</f>
        <v>20</v>
      </c>
    </row>
    <row r="289" spans="1:10" x14ac:dyDescent="0.25">
      <c r="A289" s="367" t="s">
        <v>813</v>
      </c>
      <c r="B289" s="363">
        <v>951</v>
      </c>
      <c r="C289" s="364" t="s">
        <v>718</v>
      </c>
      <c r="D289" s="364" t="s">
        <v>111</v>
      </c>
      <c r="E289" s="364" t="s">
        <v>699</v>
      </c>
      <c r="F289" s="364" t="s">
        <v>223</v>
      </c>
      <c r="G289" s="365">
        <f>G290+G299+G293+G296</f>
        <v>1231.81</v>
      </c>
      <c r="H289" s="365">
        <f t="shared" ref="H289:I289" si="59">H290+H299+H293+H296</f>
        <v>440</v>
      </c>
      <c r="I289" s="365">
        <f t="shared" si="59"/>
        <v>440</v>
      </c>
    </row>
    <row r="290" spans="1:10" x14ac:dyDescent="0.25">
      <c r="A290" s="22" t="s">
        <v>213</v>
      </c>
      <c r="B290" s="28">
        <v>951</v>
      </c>
      <c r="C290" s="8" t="s">
        <v>718</v>
      </c>
      <c r="D290" s="8" t="s">
        <v>111</v>
      </c>
      <c r="E290" s="8" t="s">
        <v>18</v>
      </c>
      <c r="F290" s="8" t="s">
        <v>223</v>
      </c>
      <c r="G290" s="24">
        <f t="shared" ref="G290:I291" si="60">G291</f>
        <v>90</v>
      </c>
      <c r="H290" s="24">
        <f t="shared" si="60"/>
        <v>90</v>
      </c>
      <c r="I290" s="24">
        <f t="shared" si="60"/>
        <v>90</v>
      </c>
    </row>
    <row r="291" spans="1:10" ht="30" customHeight="1" x14ac:dyDescent="0.25">
      <c r="A291" s="21" t="s">
        <v>709</v>
      </c>
      <c r="B291" s="28">
        <v>951</v>
      </c>
      <c r="C291" s="8" t="s">
        <v>718</v>
      </c>
      <c r="D291" s="8" t="s">
        <v>111</v>
      </c>
      <c r="E291" s="8" t="s">
        <v>18</v>
      </c>
      <c r="F291" s="8" t="s">
        <v>710</v>
      </c>
      <c r="G291" s="24">
        <f t="shared" si="60"/>
        <v>90</v>
      </c>
      <c r="H291" s="24">
        <f t="shared" si="60"/>
        <v>90</v>
      </c>
      <c r="I291" s="24">
        <f t="shared" si="60"/>
        <v>90</v>
      </c>
    </row>
    <row r="292" spans="1:10" ht="43.95" customHeight="1" x14ac:dyDescent="0.25">
      <c r="A292" s="22" t="s">
        <v>711</v>
      </c>
      <c r="B292" s="28">
        <v>951</v>
      </c>
      <c r="C292" s="8" t="s">
        <v>718</v>
      </c>
      <c r="D292" s="8" t="s">
        <v>111</v>
      </c>
      <c r="E292" s="8" t="s">
        <v>18</v>
      </c>
      <c r="F292" s="8" t="s">
        <v>712</v>
      </c>
      <c r="G292" s="19">
        <f>'5'!D271</f>
        <v>90</v>
      </c>
      <c r="H292" s="19">
        <f>'5'!E271</f>
        <v>90</v>
      </c>
      <c r="I292" s="19">
        <f>'5'!F271</f>
        <v>90</v>
      </c>
    </row>
    <row r="293" spans="1:10" ht="100.2" customHeight="1" x14ac:dyDescent="0.25">
      <c r="A293" s="440" t="s">
        <v>650</v>
      </c>
      <c r="B293" s="437">
        <v>951</v>
      </c>
      <c r="C293" s="438" t="s">
        <v>718</v>
      </c>
      <c r="D293" s="438" t="s">
        <v>111</v>
      </c>
      <c r="E293" s="438" t="s">
        <v>690</v>
      </c>
      <c r="F293" s="438" t="s">
        <v>223</v>
      </c>
      <c r="G293" s="439">
        <f>G294</f>
        <v>395.90499999999997</v>
      </c>
      <c r="H293" s="439">
        <f t="shared" ref="H293:J294" si="61">H294</f>
        <v>0</v>
      </c>
      <c r="I293" s="439">
        <f t="shared" si="61"/>
        <v>0</v>
      </c>
      <c r="J293" s="439" t="str">
        <f t="shared" si="61"/>
        <v>новая цс</v>
      </c>
    </row>
    <row r="294" spans="1:10" ht="43.95" customHeight="1" x14ac:dyDescent="0.25">
      <c r="A294" s="21" t="s">
        <v>709</v>
      </c>
      <c r="B294" s="28">
        <v>951</v>
      </c>
      <c r="C294" s="8" t="s">
        <v>718</v>
      </c>
      <c r="D294" s="8" t="s">
        <v>111</v>
      </c>
      <c r="E294" s="8" t="s">
        <v>690</v>
      </c>
      <c r="F294" s="8" t="s">
        <v>710</v>
      </c>
      <c r="G294" s="19">
        <f>G295</f>
        <v>395.90499999999997</v>
      </c>
      <c r="H294" s="19">
        <f t="shared" si="61"/>
        <v>0</v>
      </c>
      <c r="I294" s="19">
        <f t="shared" si="61"/>
        <v>0</v>
      </c>
      <c r="J294" s="19" t="str">
        <f t="shared" si="61"/>
        <v>новая цс</v>
      </c>
    </row>
    <row r="295" spans="1:10" ht="41.4" x14ac:dyDescent="0.25">
      <c r="A295" s="22" t="s">
        <v>711</v>
      </c>
      <c r="B295" s="28">
        <v>951</v>
      </c>
      <c r="C295" s="8" t="s">
        <v>718</v>
      </c>
      <c r="D295" s="8" t="s">
        <v>111</v>
      </c>
      <c r="E295" s="8" t="s">
        <v>690</v>
      </c>
      <c r="F295" s="8" t="s">
        <v>712</v>
      </c>
      <c r="G295" s="19">
        <f>'5'!D272</f>
        <v>395.90499999999997</v>
      </c>
      <c r="H295" s="24">
        <f>'5'!E272</f>
        <v>0</v>
      </c>
      <c r="I295" s="24">
        <f>'5'!F272</f>
        <v>0</v>
      </c>
      <c r="J295" s="24" t="str">
        <f>'5'!G272</f>
        <v>новая цс</v>
      </c>
    </row>
    <row r="296" spans="1:10" ht="82.8" x14ac:dyDescent="0.25">
      <c r="A296" s="9" t="s">
        <v>1045</v>
      </c>
      <c r="B296" s="3">
        <v>951</v>
      </c>
      <c r="C296" s="6" t="s">
        <v>718</v>
      </c>
      <c r="D296" s="6" t="s">
        <v>111</v>
      </c>
      <c r="E296" s="3" t="s">
        <v>691</v>
      </c>
      <c r="F296" s="6" t="s">
        <v>223</v>
      </c>
      <c r="G296" s="19">
        <f t="shared" ref="G296:I297" si="62">G297</f>
        <v>395.90499999999997</v>
      </c>
      <c r="H296" s="19">
        <f t="shared" si="62"/>
        <v>0</v>
      </c>
      <c r="I296" s="19">
        <f t="shared" si="62"/>
        <v>0</v>
      </c>
    </row>
    <row r="297" spans="1:10" ht="27.6" x14ac:dyDescent="0.25">
      <c r="A297" s="21" t="s">
        <v>709</v>
      </c>
      <c r="B297" s="28">
        <v>951</v>
      </c>
      <c r="C297" s="8" t="s">
        <v>718</v>
      </c>
      <c r="D297" s="8" t="s">
        <v>111</v>
      </c>
      <c r="E297" s="28" t="s">
        <v>691</v>
      </c>
      <c r="F297" s="8" t="s">
        <v>710</v>
      </c>
      <c r="G297" s="19">
        <f t="shared" si="62"/>
        <v>395.90499999999997</v>
      </c>
      <c r="H297" s="24">
        <f t="shared" si="62"/>
        <v>0</v>
      </c>
      <c r="I297" s="24">
        <f t="shared" si="62"/>
        <v>0</v>
      </c>
    </row>
    <row r="298" spans="1:10" ht="41.4" x14ac:dyDescent="0.25">
      <c r="A298" s="22" t="s">
        <v>711</v>
      </c>
      <c r="B298" s="28">
        <v>951</v>
      </c>
      <c r="C298" s="8" t="s">
        <v>718</v>
      </c>
      <c r="D298" s="8" t="s">
        <v>111</v>
      </c>
      <c r="E298" s="28" t="s">
        <v>691</v>
      </c>
      <c r="F298" s="8" t="s">
        <v>712</v>
      </c>
      <c r="G298" s="19">
        <f>'5'!D273</f>
        <v>395.90499999999997</v>
      </c>
      <c r="H298" s="24">
        <f>'5'!E273</f>
        <v>0</v>
      </c>
      <c r="I298" s="24">
        <f>'5'!F273</f>
        <v>0</v>
      </c>
    </row>
    <row r="299" spans="1:10" ht="16.2" customHeight="1" x14ac:dyDescent="0.25">
      <c r="A299" s="22" t="s">
        <v>214</v>
      </c>
      <c r="B299" s="28">
        <v>951</v>
      </c>
      <c r="C299" s="8" t="s">
        <v>718</v>
      </c>
      <c r="D299" s="8" t="s">
        <v>111</v>
      </c>
      <c r="E299" s="8" t="s">
        <v>19</v>
      </c>
      <c r="F299" s="8" t="s">
        <v>223</v>
      </c>
      <c r="G299" s="19">
        <f>G300+G302</f>
        <v>350</v>
      </c>
      <c r="H299" s="24">
        <f>H300+H302</f>
        <v>350</v>
      </c>
      <c r="I299" s="24">
        <f>I300+I302</f>
        <v>350</v>
      </c>
    </row>
    <row r="300" spans="1:10" ht="27.6" x14ac:dyDescent="0.25">
      <c r="A300" s="21" t="s">
        <v>709</v>
      </c>
      <c r="B300" s="28">
        <v>951</v>
      </c>
      <c r="C300" s="8" t="s">
        <v>718</v>
      </c>
      <c r="D300" s="8" t="s">
        <v>111</v>
      </c>
      <c r="E300" s="8" t="s">
        <v>19</v>
      </c>
      <c r="F300" s="8" t="s">
        <v>710</v>
      </c>
      <c r="G300" s="19">
        <f>G301</f>
        <v>350</v>
      </c>
      <c r="H300" s="24">
        <f>H301</f>
        <v>350</v>
      </c>
      <c r="I300" s="24">
        <f>I301</f>
        <v>350</v>
      </c>
    </row>
    <row r="301" spans="1:10" ht="43.95" customHeight="1" x14ac:dyDescent="0.25">
      <c r="A301" s="22" t="s">
        <v>711</v>
      </c>
      <c r="B301" s="28">
        <v>951</v>
      </c>
      <c r="C301" s="8" t="s">
        <v>718</v>
      </c>
      <c r="D301" s="8" t="s">
        <v>111</v>
      </c>
      <c r="E301" s="8" t="s">
        <v>19</v>
      </c>
      <c r="F301" s="8" t="s">
        <v>712</v>
      </c>
      <c r="G301" s="19">
        <f>'5'!D274</f>
        <v>350</v>
      </c>
      <c r="H301" s="19">
        <f>'5'!E274</f>
        <v>350</v>
      </c>
      <c r="I301" s="19">
        <f>'5'!F274</f>
        <v>350</v>
      </c>
    </row>
    <row r="302" spans="1:10" ht="41.4" hidden="1" x14ac:dyDescent="0.25">
      <c r="A302" s="22" t="s">
        <v>762</v>
      </c>
      <c r="B302" s="28" t="s">
        <v>117</v>
      </c>
      <c r="C302" s="8" t="s">
        <v>718</v>
      </c>
      <c r="D302" s="8" t="s">
        <v>111</v>
      </c>
      <c r="E302" s="8" t="s">
        <v>19</v>
      </c>
      <c r="F302" s="8" t="s">
        <v>763</v>
      </c>
      <c r="G302" s="24">
        <f>G303</f>
        <v>0</v>
      </c>
      <c r="H302" s="24">
        <f>H303</f>
        <v>0</v>
      </c>
      <c r="I302" s="24">
        <f>I303</f>
        <v>0</v>
      </c>
    </row>
    <row r="303" spans="1:10" hidden="1" x14ac:dyDescent="0.25">
      <c r="A303" s="22" t="s">
        <v>764</v>
      </c>
      <c r="B303" s="28" t="s">
        <v>117</v>
      </c>
      <c r="C303" s="8" t="s">
        <v>718</v>
      </c>
      <c r="D303" s="8" t="s">
        <v>111</v>
      </c>
      <c r="E303" s="8" t="s">
        <v>19</v>
      </c>
      <c r="F303" s="8" t="s">
        <v>765</v>
      </c>
      <c r="G303" s="24"/>
      <c r="H303" s="24"/>
      <c r="I303" s="24"/>
    </row>
    <row r="304" spans="1:10" ht="27.6" x14ac:dyDescent="0.25">
      <c r="A304" s="362" t="s">
        <v>814</v>
      </c>
      <c r="B304" s="363">
        <v>951</v>
      </c>
      <c r="C304" s="364" t="s">
        <v>718</v>
      </c>
      <c r="D304" s="364" t="s">
        <v>718</v>
      </c>
      <c r="E304" s="364" t="s">
        <v>699</v>
      </c>
      <c r="F304" s="364" t="s">
        <v>223</v>
      </c>
      <c r="G304" s="365">
        <f t="shared" ref="G304:I305" si="63">G305</f>
        <v>2.31474</v>
      </c>
      <c r="H304" s="365">
        <f t="shared" si="63"/>
        <v>2.4073199999999999</v>
      </c>
      <c r="I304" s="365">
        <f t="shared" si="63"/>
        <v>2.5036200000000002</v>
      </c>
    </row>
    <row r="305" spans="1:9" ht="27.6" x14ac:dyDescent="0.25">
      <c r="A305" s="21" t="s">
        <v>702</v>
      </c>
      <c r="B305" s="28">
        <v>951</v>
      </c>
      <c r="C305" s="8" t="s">
        <v>718</v>
      </c>
      <c r="D305" s="8" t="s">
        <v>718</v>
      </c>
      <c r="E305" s="8" t="s">
        <v>5</v>
      </c>
      <c r="F305" s="8" t="s">
        <v>223</v>
      </c>
      <c r="G305" s="24">
        <f t="shared" si="63"/>
        <v>2.31474</v>
      </c>
      <c r="H305" s="24">
        <f t="shared" si="63"/>
        <v>2.4073199999999999</v>
      </c>
      <c r="I305" s="24">
        <f t="shared" si="63"/>
        <v>2.5036200000000002</v>
      </c>
    </row>
    <row r="306" spans="1:9" ht="41.4" x14ac:dyDescent="0.25">
      <c r="A306" s="21" t="s">
        <v>110</v>
      </c>
      <c r="B306" s="28">
        <v>951</v>
      </c>
      <c r="C306" s="8" t="s">
        <v>718</v>
      </c>
      <c r="D306" s="8" t="s">
        <v>718</v>
      </c>
      <c r="E306" s="8" t="s">
        <v>6</v>
      </c>
      <c r="F306" s="8" t="s">
        <v>223</v>
      </c>
      <c r="G306" s="24">
        <f>G307+G312</f>
        <v>2.31474</v>
      </c>
      <c r="H306" s="24">
        <f>H307+H312</f>
        <v>2.4073199999999999</v>
      </c>
      <c r="I306" s="24">
        <f>I307+I312</f>
        <v>2.5036200000000002</v>
      </c>
    </row>
    <row r="307" spans="1:9" ht="41.4" hidden="1" x14ac:dyDescent="0.25">
      <c r="A307" s="21" t="s">
        <v>815</v>
      </c>
      <c r="B307" s="28">
        <v>951</v>
      </c>
      <c r="C307" s="8" t="s">
        <v>718</v>
      </c>
      <c r="D307" s="8" t="s">
        <v>718</v>
      </c>
      <c r="E307" s="8" t="s">
        <v>9</v>
      </c>
      <c r="F307" s="8" t="s">
        <v>223</v>
      </c>
      <c r="G307" s="24">
        <f>G308+G310</f>
        <v>0</v>
      </c>
      <c r="H307" s="24">
        <f>H308+H310</f>
        <v>0</v>
      </c>
      <c r="I307" s="24">
        <f>I308+I310</f>
        <v>0</v>
      </c>
    </row>
    <row r="308" spans="1:9" ht="72" hidden="1" customHeight="1" x14ac:dyDescent="0.25">
      <c r="A308" s="21" t="s">
        <v>703</v>
      </c>
      <c r="B308" s="28">
        <v>951</v>
      </c>
      <c r="C308" s="8" t="s">
        <v>718</v>
      </c>
      <c r="D308" s="8" t="s">
        <v>718</v>
      </c>
      <c r="E308" s="8" t="s">
        <v>9</v>
      </c>
      <c r="F308" s="8" t="s">
        <v>704</v>
      </c>
      <c r="G308" s="24">
        <f>G309</f>
        <v>0</v>
      </c>
      <c r="H308" s="24">
        <f>H309</f>
        <v>0</v>
      </c>
      <c r="I308" s="24">
        <f>I309</f>
        <v>0</v>
      </c>
    </row>
    <row r="309" spans="1:9" ht="27.6" hidden="1" x14ac:dyDescent="0.25">
      <c r="A309" s="22" t="s">
        <v>705</v>
      </c>
      <c r="B309" s="28">
        <v>951</v>
      </c>
      <c r="C309" s="8" t="s">
        <v>718</v>
      </c>
      <c r="D309" s="8" t="s">
        <v>718</v>
      </c>
      <c r="E309" s="8" t="s">
        <v>9</v>
      </c>
      <c r="F309" s="8" t="s">
        <v>706</v>
      </c>
      <c r="G309" s="27">
        <v>0</v>
      </c>
      <c r="H309" s="27">
        <v>0</v>
      </c>
      <c r="I309" s="27">
        <v>0</v>
      </c>
    </row>
    <row r="310" spans="1:9" ht="27.6" hidden="1" x14ac:dyDescent="0.25">
      <c r="A310" s="21" t="s">
        <v>709</v>
      </c>
      <c r="B310" s="28">
        <v>951</v>
      </c>
      <c r="C310" s="8" t="s">
        <v>718</v>
      </c>
      <c r="D310" s="8" t="s">
        <v>718</v>
      </c>
      <c r="E310" s="8" t="s">
        <v>9</v>
      </c>
      <c r="F310" s="8" t="s">
        <v>710</v>
      </c>
      <c r="G310" s="24">
        <f>G311</f>
        <v>0</v>
      </c>
      <c r="H310" s="24">
        <f>H311</f>
        <v>0</v>
      </c>
      <c r="I310" s="24">
        <f>I311</f>
        <v>0</v>
      </c>
    </row>
    <row r="311" spans="1:9" ht="41.4" hidden="1" x14ac:dyDescent="0.25">
      <c r="A311" s="22" t="s">
        <v>711</v>
      </c>
      <c r="B311" s="28">
        <v>951</v>
      </c>
      <c r="C311" s="8" t="s">
        <v>718</v>
      </c>
      <c r="D311" s="8" t="s">
        <v>718</v>
      </c>
      <c r="E311" s="8" t="s">
        <v>9</v>
      </c>
      <c r="F311" s="8" t="s">
        <v>712</v>
      </c>
      <c r="G311" s="27">
        <v>0</v>
      </c>
      <c r="H311" s="27">
        <v>0</v>
      </c>
      <c r="I311" s="27">
        <v>0</v>
      </c>
    </row>
    <row r="312" spans="1:9" ht="69" x14ac:dyDescent="0.25">
      <c r="A312" s="22" t="s">
        <v>816</v>
      </c>
      <c r="B312" s="28" t="s">
        <v>117</v>
      </c>
      <c r="C312" s="8" t="s">
        <v>718</v>
      </c>
      <c r="D312" s="8" t="s">
        <v>718</v>
      </c>
      <c r="E312" s="8" t="s">
        <v>20</v>
      </c>
      <c r="F312" s="8" t="s">
        <v>223</v>
      </c>
      <c r="G312" s="24">
        <f t="shared" ref="G312:I313" si="64">G313</f>
        <v>2.31474</v>
      </c>
      <c r="H312" s="24">
        <f t="shared" si="64"/>
        <v>2.4073199999999999</v>
      </c>
      <c r="I312" s="24">
        <f t="shared" si="64"/>
        <v>2.5036200000000002</v>
      </c>
    </row>
    <row r="313" spans="1:9" ht="83.7" customHeight="1" x14ac:dyDescent="0.25">
      <c r="A313" s="22" t="s">
        <v>817</v>
      </c>
      <c r="B313" s="28" t="s">
        <v>117</v>
      </c>
      <c r="C313" s="8" t="s">
        <v>718</v>
      </c>
      <c r="D313" s="8" t="s">
        <v>718</v>
      </c>
      <c r="E313" s="8" t="s">
        <v>20</v>
      </c>
      <c r="F313" s="8" t="s">
        <v>704</v>
      </c>
      <c r="G313" s="24">
        <f t="shared" si="64"/>
        <v>2.31474</v>
      </c>
      <c r="H313" s="24">
        <f t="shared" si="64"/>
        <v>2.4073199999999999</v>
      </c>
      <c r="I313" s="24">
        <f t="shared" si="64"/>
        <v>2.5036200000000002</v>
      </c>
    </row>
    <row r="314" spans="1:9" ht="27.6" x14ac:dyDescent="0.25">
      <c r="A314" s="22" t="s">
        <v>705</v>
      </c>
      <c r="B314" s="28" t="s">
        <v>117</v>
      </c>
      <c r="C314" s="8" t="s">
        <v>718</v>
      </c>
      <c r="D314" s="8" t="s">
        <v>718</v>
      </c>
      <c r="E314" s="8" t="s">
        <v>20</v>
      </c>
      <c r="F314" s="8" t="s">
        <v>706</v>
      </c>
      <c r="G314" s="24">
        <f>'5'!D310</f>
        <v>2.31474</v>
      </c>
      <c r="H314" s="24">
        <f>'5'!E310</f>
        <v>2.4073199999999999</v>
      </c>
      <c r="I314" s="24">
        <f>'5'!F310</f>
        <v>2.5036200000000002</v>
      </c>
    </row>
    <row r="315" spans="1:9" ht="27.6" hidden="1" x14ac:dyDescent="0.25">
      <c r="A315" s="22" t="s">
        <v>709</v>
      </c>
      <c r="B315" s="28" t="s">
        <v>342</v>
      </c>
      <c r="C315" s="8" t="s">
        <v>718</v>
      </c>
      <c r="D315" s="8" t="s">
        <v>718</v>
      </c>
      <c r="E315" s="8" t="s">
        <v>20</v>
      </c>
      <c r="F315" s="8" t="s">
        <v>710</v>
      </c>
      <c r="G315" s="24">
        <f>G316</f>
        <v>0</v>
      </c>
      <c r="H315" s="24">
        <f>H316</f>
        <v>0</v>
      </c>
      <c r="I315" s="24">
        <f>I316</f>
        <v>0</v>
      </c>
    </row>
    <row r="316" spans="1:9" ht="41.4" hidden="1" x14ac:dyDescent="0.25">
      <c r="A316" s="22" t="s">
        <v>711</v>
      </c>
      <c r="B316" s="28" t="s">
        <v>978</v>
      </c>
      <c r="C316" s="8" t="s">
        <v>718</v>
      </c>
      <c r="D316" s="8" t="s">
        <v>718</v>
      </c>
      <c r="E316" s="8" t="s">
        <v>20</v>
      </c>
      <c r="F316" s="8" t="s">
        <v>712</v>
      </c>
      <c r="G316" s="24"/>
      <c r="H316" s="24"/>
      <c r="I316" s="24"/>
    </row>
    <row r="317" spans="1:9" x14ac:dyDescent="0.25">
      <c r="A317" s="378" t="s">
        <v>818</v>
      </c>
      <c r="B317" s="386" t="s">
        <v>117</v>
      </c>
      <c r="C317" s="379" t="s">
        <v>720</v>
      </c>
      <c r="D317" s="379" t="s">
        <v>109</v>
      </c>
      <c r="E317" s="379" t="s">
        <v>699</v>
      </c>
      <c r="F317" s="379" t="s">
        <v>223</v>
      </c>
      <c r="G317" s="360">
        <f t="shared" ref="G317:I322" si="65">G318</f>
        <v>940</v>
      </c>
      <c r="H317" s="360">
        <f t="shared" si="65"/>
        <v>940</v>
      </c>
      <c r="I317" s="360">
        <f t="shared" si="65"/>
        <v>940</v>
      </c>
    </row>
    <row r="318" spans="1:9" ht="27.6" x14ac:dyDescent="0.25">
      <c r="A318" s="362" t="s">
        <v>819</v>
      </c>
      <c r="B318" s="363" t="s">
        <v>117</v>
      </c>
      <c r="C318" s="364" t="s">
        <v>720</v>
      </c>
      <c r="D318" s="364" t="s">
        <v>718</v>
      </c>
      <c r="E318" s="364" t="s">
        <v>699</v>
      </c>
      <c r="F318" s="364" t="s">
        <v>223</v>
      </c>
      <c r="G318" s="365">
        <f t="shared" si="65"/>
        <v>940</v>
      </c>
      <c r="H318" s="365">
        <f t="shared" si="65"/>
        <v>940</v>
      </c>
      <c r="I318" s="365">
        <f t="shared" si="65"/>
        <v>940</v>
      </c>
    </row>
    <row r="319" spans="1:9" ht="27.6" x14ac:dyDescent="0.25">
      <c r="A319" s="9" t="s">
        <v>702</v>
      </c>
      <c r="B319" s="3" t="s">
        <v>117</v>
      </c>
      <c r="C319" s="6" t="s">
        <v>720</v>
      </c>
      <c r="D319" s="6" t="s">
        <v>718</v>
      </c>
      <c r="E319" s="6" t="s">
        <v>5</v>
      </c>
      <c r="F319" s="6" t="s">
        <v>223</v>
      </c>
      <c r="G319" s="19">
        <f t="shared" si="65"/>
        <v>940</v>
      </c>
      <c r="H319" s="19">
        <f t="shared" si="65"/>
        <v>940</v>
      </c>
      <c r="I319" s="19">
        <f t="shared" si="65"/>
        <v>940</v>
      </c>
    </row>
    <row r="320" spans="1:9" ht="41.4" x14ac:dyDescent="0.25">
      <c r="A320" s="2" t="s">
        <v>110</v>
      </c>
      <c r="B320" s="3" t="s">
        <v>117</v>
      </c>
      <c r="C320" s="6" t="s">
        <v>720</v>
      </c>
      <c r="D320" s="6" t="s">
        <v>718</v>
      </c>
      <c r="E320" s="6" t="s">
        <v>6</v>
      </c>
      <c r="F320" s="6" t="s">
        <v>223</v>
      </c>
      <c r="G320" s="19">
        <f t="shared" si="65"/>
        <v>940</v>
      </c>
      <c r="H320" s="19">
        <f t="shared" si="65"/>
        <v>940</v>
      </c>
      <c r="I320" s="19">
        <f t="shared" si="65"/>
        <v>940</v>
      </c>
    </row>
    <row r="321" spans="1:13" ht="27.6" x14ac:dyDescent="0.25">
      <c r="A321" s="2" t="s">
        <v>820</v>
      </c>
      <c r="B321" s="3" t="s">
        <v>117</v>
      </c>
      <c r="C321" s="6" t="s">
        <v>720</v>
      </c>
      <c r="D321" s="6" t="s">
        <v>718</v>
      </c>
      <c r="E321" s="6" t="s">
        <v>593</v>
      </c>
      <c r="F321" s="6" t="s">
        <v>223</v>
      </c>
      <c r="G321" s="19">
        <f t="shared" si="65"/>
        <v>940</v>
      </c>
      <c r="H321" s="19">
        <f t="shared" si="65"/>
        <v>940</v>
      </c>
      <c r="I321" s="19">
        <f t="shared" si="65"/>
        <v>940</v>
      </c>
    </row>
    <row r="322" spans="1:13" ht="27.6" x14ac:dyDescent="0.25">
      <c r="A322" s="2" t="s">
        <v>709</v>
      </c>
      <c r="B322" s="3" t="s">
        <v>117</v>
      </c>
      <c r="C322" s="6" t="s">
        <v>720</v>
      </c>
      <c r="D322" s="6" t="s">
        <v>718</v>
      </c>
      <c r="E322" s="6" t="s">
        <v>593</v>
      </c>
      <c r="F322" s="6" t="s">
        <v>710</v>
      </c>
      <c r="G322" s="19">
        <f t="shared" si="65"/>
        <v>940</v>
      </c>
      <c r="H322" s="19">
        <f t="shared" si="65"/>
        <v>940</v>
      </c>
      <c r="I322" s="19">
        <f t="shared" si="65"/>
        <v>940</v>
      </c>
    </row>
    <row r="323" spans="1:13" ht="41.4" x14ac:dyDescent="0.25">
      <c r="A323" s="9" t="s">
        <v>711</v>
      </c>
      <c r="B323" s="3" t="s">
        <v>117</v>
      </c>
      <c r="C323" s="6" t="s">
        <v>720</v>
      </c>
      <c r="D323" s="6" t="s">
        <v>718</v>
      </c>
      <c r="E323" s="6" t="s">
        <v>593</v>
      </c>
      <c r="F323" s="6" t="s">
        <v>712</v>
      </c>
      <c r="G323" s="19">
        <f>'5'!D298</f>
        <v>940</v>
      </c>
      <c r="H323" s="19">
        <f>'5'!E298</f>
        <v>940</v>
      </c>
      <c r="I323" s="19">
        <f>'5'!F298</f>
        <v>940</v>
      </c>
    </row>
    <row r="324" spans="1:13" x14ac:dyDescent="0.25">
      <c r="A324" s="358" t="s">
        <v>821</v>
      </c>
      <c r="B324" s="359">
        <v>951</v>
      </c>
      <c r="C324" s="359" t="s">
        <v>212</v>
      </c>
      <c r="D324" s="359" t="s">
        <v>109</v>
      </c>
      <c r="E324" s="359" t="s">
        <v>699</v>
      </c>
      <c r="F324" s="359" t="s">
        <v>223</v>
      </c>
      <c r="G324" s="360">
        <f>G336+G367+G363</f>
        <v>17948.301009999999</v>
      </c>
      <c r="H324" s="360">
        <f t="shared" ref="H324:J324" si="66">H336+H367+H363</f>
        <v>16858.301009999999</v>
      </c>
      <c r="I324" s="360">
        <f t="shared" si="66"/>
        <v>16908.301009999999</v>
      </c>
      <c r="J324" s="360">
        <f t="shared" si="66"/>
        <v>0</v>
      </c>
      <c r="K324" s="50"/>
      <c r="L324" s="50"/>
      <c r="M324" s="50"/>
    </row>
    <row r="325" spans="1:13" hidden="1" x14ac:dyDescent="0.25">
      <c r="A325" s="387" t="s">
        <v>979</v>
      </c>
      <c r="B325" s="380">
        <v>951</v>
      </c>
      <c r="C325" s="384" t="s">
        <v>212</v>
      </c>
      <c r="D325" s="384" t="s">
        <v>701</v>
      </c>
      <c r="E325" s="380" t="s">
        <v>699</v>
      </c>
      <c r="F325" s="380" t="s">
        <v>223</v>
      </c>
      <c r="G325" s="330">
        <f>G326</f>
        <v>0</v>
      </c>
      <c r="H325" s="330">
        <f>H326</f>
        <v>0</v>
      </c>
      <c r="I325" s="330">
        <f>I326</f>
        <v>0</v>
      </c>
    </row>
    <row r="326" spans="1:13" ht="27.6" hidden="1" x14ac:dyDescent="0.25">
      <c r="A326" s="388" t="s">
        <v>838</v>
      </c>
      <c r="B326" s="380">
        <v>951</v>
      </c>
      <c r="C326" s="384" t="s">
        <v>212</v>
      </c>
      <c r="D326" s="384" t="s">
        <v>701</v>
      </c>
      <c r="E326" s="384" t="s">
        <v>42</v>
      </c>
      <c r="F326" s="384" t="s">
        <v>223</v>
      </c>
      <c r="G326" s="330">
        <f>G327+G330</f>
        <v>0</v>
      </c>
      <c r="H326" s="330">
        <f>H327+H330</f>
        <v>0</v>
      </c>
      <c r="I326" s="330">
        <f>I327+I330</f>
        <v>0</v>
      </c>
    </row>
    <row r="327" spans="1:13" ht="27.6" hidden="1" x14ac:dyDescent="0.25">
      <c r="A327" s="383" t="s">
        <v>843</v>
      </c>
      <c r="B327" s="380" t="s">
        <v>117</v>
      </c>
      <c r="C327" s="384" t="s">
        <v>212</v>
      </c>
      <c r="D327" s="384" t="s">
        <v>701</v>
      </c>
      <c r="E327" s="384" t="s">
        <v>840</v>
      </c>
      <c r="F327" s="384" t="s">
        <v>223</v>
      </c>
      <c r="G327" s="330">
        <f t="shared" ref="G327:I328" si="67">G328</f>
        <v>0</v>
      </c>
      <c r="H327" s="330">
        <f t="shared" si="67"/>
        <v>0</v>
      </c>
      <c r="I327" s="330">
        <f t="shared" si="67"/>
        <v>0</v>
      </c>
    </row>
    <row r="328" spans="1:13" ht="41.4" hidden="1" x14ac:dyDescent="0.25">
      <c r="A328" s="383" t="s">
        <v>748</v>
      </c>
      <c r="B328" s="380" t="s">
        <v>117</v>
      </c>
      <c r="C328" s="384" t="s">
        <v>212</v>
      </c>
      <c r="D328" s="384" t="s">
        <v>701</v>
      </c>
      <c r="E328" s="384" t="s">
        <v>840</v>
      </c>
      <c r="F328" s="384" t="s">
        <v>747</v>
      </c>
      <c r="G328" s="330">
        <f t="shared" si="67"/>
        <v>0</v>
      </c>
      <c r="H328" s="330">
        <f t="shared" si="67"/>
        <v>0</v>
      </c>
      <c r="I328" s="330">
        <f t="shared" si="67"/>
        <v>0</v>
      </c>
    </row>
    <row r="329" spans="1:13" hidden="1" x14ac:dyDescent="0.25">
      <c r="A329" s="383" t="s">
        <v>124</v>
      </c>
      <c r="B329" s="380" t="s">
        <v>117</v>
      </c>
      <c r="C329" s="384" t="s">
        <v>212</v>
      </c>
      <c r="D329" s="384" t="s">
        <v>701</v>
      </c>
      <c r="E329" s="384" t="s">
        <v>45</v>
      </c>
      <c r="F329" s="384" t="s">
        <v>165</v>
      </c>
      <c r="G329" s="330"/>
      <c r="H329" s="330"/>
      <c r="I329" s="330"/>
    </row>
    <row r="330" spans="1:13" ht="27.6" hidden="1" x14ac:dyDescent="0.25">
      <c r="A330" s="383" t="s">
        <v>844</v>
      </c>
      <c r="B330" s="380" t="s">
        <v>117</v>
      </c>
      <c r="C330" s="384" t="s">
        <v>212</v>
      </c>
      <c r="D330" s="384" t="s">
        <v>701</v>
      </c>
      <c r="E330" s="384" t="s">
        <v>840</v>
      </c>
      <c r="F330" s="384" t="s">
        <v>223</v>
      </c>
      <c r="G330" s="330">
        <f t="shared" ref="G330:I331" si="68">G331</f>
        <v>0</v>
      </c>
      <c r="H330" s="330">
        <f t="shared" si="68"/>
        <v>0</v>
      </c>
      <c r="I330" s="330">
        <f t="shared" si="68"/>
        <v>0</v>
      </c>
    </row>
    <row r="331" spans="1:13" ht="41.4" hidden="1" x14ac:dyDescent="0.25">
      <c r="A331" s="383" t="s">
        <v>748</v>
      </c>
      <c r="B331" s="380" t="s">
        <v>117</v>
      </c>
      <c r="C331" s="384" t="s">
        <v>212</v>
      </c>
      <c r="D331" s="384" t="s">
        <v>701</v>
      </c>
      <c r="E331" s="384" t="s">
        <v>840</v>
      </c>
      <c r="F331" s="384" t="s">
        <v>747</v>
      </c>
      <c r="G331" s="330">
        <f t="shared" si="68"/>
        <v>0</v>
      </c>
      <c r="H331" s="330">
        <f t="shared" si="68"/>
        <v>0</v>
      </c>
      <c r="I331" s="330">
        <f t="shared" si="68"/>
        <v>0</v>
      </c>
    </row>
    <row r="332" spans="1:13" hidden="1" x14ac:dyDescent="0.25">
      <c r="A332" s="383" t="s">
        <v>124</v>
      </c>
      <c r="B332" s="380">
        <v>951</v>
      </c>
      <c r="C332" s="384" t="s">
        <v>212</v>
      </c>
      <c r="D332" s="384" t="s">
        <v>701</v>
      </c>
      <c r="E332" s="384" t="s">
        <v>46</v>
      </c>
      <c r="F332" s="384" t="s">
        <v>165</v>
      </c>
      <c r="G332" s="330"/>
      <c r="H332" s="330"/>
      <c r="I332" s="330"/>
    </row>
    <row r="333" spans="1:13" ht="41.4" hidden="1" x14ac:dyDescent="0.25">
      <c r="A333" s="15" t="s">
        <v>980</v>
      </c>
      <c r="B333" s="380" t="s">
        <v>117</v>
      </c>
      <c r="C333" s="384" t="s">
        <v>212</v>
      </c>
      <c r="D333" s="384" t="s">
        <v>212</v>
      </c>
      <c r="E333" s="384" t="s">
        <v>254</v>
      </c>
      <c r="F333" s="384" t="s">
        <v>223</v>
      </c>
      <c r="G333" s="330">
        <f t="shared" ref="G333:I334" si="69">G334</f>
        <v>0</v>
      </c>
      <c r="H333" s="330">
        <f t="shared" si="69"/>
        <v>0</v>
      </c>
      <c r="I333" s="330">
        <f t="shared" si="69"/>
        <v>0</v>
      </c>
    </row>
    <row r="334" spans="1:13" ht="27.6" hidden="1" x14ac:dyDescent="0.25">
      <c r="A334" s="21" t="s">
        <v>709</v>
      </c>
      <c r="B334" s="380" t="s">
        <v>117</v>
      </c>
      <c r="C334" s="384" t="s">
        <v>212</v>
      </c>
      <c r="D334" s="384" t="s">
        <v>212</v>
      </c>
      <c r="E334" s="384" t="s">
        <v>981</v>
      </c>
      <c r="F334" s="384" t="s">
        <v>710</v>
      </c>
      <c r="G334" s="330">
        <f t="shared" si="69"/>
        <v>0</v>
      </c>
      <c r="H334" s="330">
        <f t="shared" si="69"/>
        <v>0</v>
      </c>
      <c r="I334" s="330">
        <f t="shared" si="69"/>
        <v>0</v>
      </c>
    </row>
    <row r="335" spans="1:13" ht="41.4" hidden="1" x14ac:dyDescent="0.25">
      <c r="A335" s="383" t="s">
        <v>711</v>
      </c>
      <c r="B335" s="380" t="s">
        <v>117</v>
      </c>
      <c r="C335" s="384" t="s">
        <v>212</v>
      </c>
      <c r="D335" s="384" t="s">
        <v>212</v>
      </c>
      <c r="E335" s="384" t="s">
        <v>981</v>
      </c>
      <c r="F335" s="384" t="s">
        <v>712</v>
      </c>
      <c r="G335" s="330"/>
      <c r="H335" s="330"/>
      <c r="I335" s="330"/>
    </row>
    <row r="336" spans="1:13" ht="18.75" customHeight="1" x14ac:dyDescent="0.25">
      <c r="A336" s="362" t="s">
        <v>848</v>
      </c>
      <c r="B336" s="363" t="s">
        <v>117</v>
      </c>
      <c r="C336" s="364" t="s">
        <v>212</v>
      </c>
      <c r="D336" s="364" t="s">
        <v>111</v>
      </c>
      <c r="E336" s="364" t="s">
        <v>699</v>
      </c>
      <c r="F336" s="364" t="s">
        <v>223</v>
      </c>
      <c r="G336" s="365">
        <f>G337+G348+G352+G358+G360</f>
        <v>17747.301009999999</v>
      </c>
      <c r="H336" s="365">
        <f>H337+H348+H352+H358+H360</f>
        <v>16697.301009999999</v>
      </c>
      <c r="I336" s="365">
        <f>I337+I348+I352+I358+I360</f>
        <v>16697.301009999999</v>
      </c>
      <c r="K336" s="50"/>
      <c r="L336" s="50"/>
      <c r="M336" s="50"/>
    </row>
    <row r="337" spans="1:12" ht="41.4" x14ac:dyDescent="0.25">
      <c r="A337" s="15" t="s">
        <v>560</v>
      </c>
      <c r="B337" s="57" t="s">
        <v>117</v>
      </c>
      <c r="C337" s="29" t="s">
        <v>212</v>
      </c>
      <c r="D337" s="29" t="s">
        <v>111</v>
      </c>
      <c r="E337" s="29" t="s">
        <v>699</v>
      </c>
      <c r="F337" s="29" t="s">
        <v>223</v>
      </c>
      <c r="G337" s="26">
        <f>G338</f>
        <v>16737.2</v>
      </c>
      <c r="H337" s="26">
        <f>H338</f>
        <v>15687.2</v>
      </c>
      <c r="I337" s="26">
        <f>I338</f>
        <v>15687.2</v>
      </c>
    </row>
    <row r="338" spans="1:12" ht="57" customHeight="1" x14ac:dyDescent="0.25">
      <c r="A338" s="388" t="s">
        <v>490</v>
      </c>
      <c r="B338" s="380" t="s">
        <v>117</v>
      </c>
      <c r="C338" s="384" t="s">
        <v>212</v>
      </c>
      <c r="D338" s="384" t="s">
        <v>111</v>
      </c>
      <c r="E338" s="384" t="s">
        <v>58</v>
      </c>
      <c r="F338" s="384" t="s">
        <v>223</v>
      </c>
      <c r="G338" s="330">
        <f>G339+G342+G345</f>
        <v>16737.2</v>
      </c>
      <c r="H338" s="330">
        <f>H339+H342+H345</f>
        <v>15687.2</v>
      </c>
      <c r="I338" s="330">
        <f>I339+I342+I345</f>
        <v>15687.2</v>
      </c>
    </row>
    <row r="339" spans="1:12" ht="27.6" hidden="1" x14ac:dyDescent="0.25">
      <c r="A339" s="383" t="s">
        <v>451</v>
      </c>
      <c r="B339" s="380" t="s">
        <v>117</v>
      </c>
      <c r="C339" s="384" t="s">
        <v>212</v>
      </c>
      <c r="D339" s="384" t="s">
        <v>111</v>
      </c>
      <c r="E339" s="384" t="s">
        <v>58</v>
      </c>
      <c r="F339" s="384" t="s">
        <v>223</v>
      </c>
      <c r="G339" s="330">
        <f t="shared" ref="G339:I340" si="70">G340</f>
        <v>0</v>
      </c>
      <c r="H339" s="330">
        <f t="shared" si="70"/>
        <v>0</v>
      </c>
      <c r="I339" s="330">
        <f t="shared" si="70"/>
        <v>0</v>
      </c>
    </row>
    <row r="340" spans="1:12" ht="41.4" hidden="1" x14ac:dyDescent="0.25">
      <c r="A340" s="383" t="s">
        <v>748</v>
      </c>
      <c r="B340" s="380" t="s">
        <v>117</v>
      </c>
      <c r="C340" s="384" t="s">
        <v>212</v>
      </c>
      <c r="D340" s="384" t="s">
        <v>111</v>
      </c>
      <c r="E340" s="384" t="s">
        <v>58</v>
      </c>
      <c r="F340" s="384" t="s">
        <v>747</v>
      </c>
      <c r="G340" s="330">
        <f t="shared" si="70"/>
        <v>0</v>
      </c>
      <c r="H340" s="330">
        <f t="shared" si="70"/>
        <v>0</v>
      </c>
      <c r="I340" s="330">
        <f t="shared" si="70"/>
        <v>0</v>
      </c>
    </row>
    <row r="341" spans="1:12" hidden="1" x14ac:dyDescent="0.25">
      <c r="A341" s="383" t="s">
        <v>124</v>
      </c>
      <c r="B341" s="380" t="s">
        <v>117</v>
      </c>
      <c r="C341" s="384" t="s">
        <v>212</v>
      </c>
      <c r="D341" s="384" t="s">
        <v>111</v>
      </c>
      <c r="E341" s="384" t="s">
        <v>58</v>
      </c>
      <c r="F341" s="384" t="s">
        <v>165</v>
      </c>
      <c r="G341" s="24"/>
      <c r="H341" s="24"/>
      <c r="I341" s="24"/>
    </row>
    <row r="342" spans="1:12" ht="29.4" customHeight="1" x14ac:dyDescent="0.25">
      <c r="A342" s="383" t="s">
        <v>982</v>
      </c>
      <c r="B342" s="380" t="s">
        <v>117</v>
      </c>
      <c r="C342" s="384" t="s">
        <v>212</v>
      </c>
      <c r="D342" s="384" t="s">
        <v>111</v>
      </c>
      <c r="E342" s="8" t="s">
        <v>491</v>
      </c>
      <c r="F342" s="384" t="s">
        <v>223</v>
      </c>
      <c r="G342" s="331">
        <f t="shared" ref="G342:I343" si="71">G343</f>
        <v>11874.7</v>
      </c>
      <c r="H342" s="330">
        <f t="shared" si="71"/>
        <v>11174.7</v>
      </c>
      <c r="I342" s="330">
        <f t="shared" si="71"/>
        <v>11174.7</v>
      </c>
    </row>
    <row r="343" spans="1:12" ht="41.4" x14ac:dyDescent="0.25">
      <c r="A343" s="383" t="s">
        <v>748</v>
      </c>
      <c r="B343" s="380" t="s">
        <v>117</v>
      </c>
      <c r="C343" s="384" t="s">
        <v>212</v>
      </c>
      <c r="D343" s="384" t="s">
        <v>111</v>
      </c>
      <c r="E343" s="8" t="s">
        <v>491</v>
      </c>
      <c r="F343" s="384" t="s">
        <v>747</v>
      </c>
      <c r="G343" s="331">
        <f t="shared" si="71"/>
        <v>11874.7</v>
      </c>
      <c r="H343" s="330">
        <f t="shared" si="71"/>
        <v>11174.7</v>
      </c>
      <c r="I343" s="330">
        <f t="shared" si="71"/>
        <v>11174.7</v>
      </c>
    </row>
    <row r="344" spans="1:12" x14ac:dyDescent="0.25">
      <c r="A344" s="383" t="s">
        <v>124</v>
      </c>
      <c r="B344" s="380" t="s">
        <v>117</v>
      </c>
      <c r="C344" s="384" t="s">
        <v>212</v>
      </c>
      <c r="D344" s="384" t="s">
        <v>111</v>
      </c>
      <c r="E344" s="8" t="s">
        <v>491</v>
      </c>
      <c r="F344" s="384" t="s">
        <v>165</v>
      </c>
      <c r="G344" s="19">
        <f>'5'!D184</f>
        <v>11874.7</v>
      </c>
      <c r="H344" s="19">
        <f>'5'!E184</f>
        <v>11174.7</v>
      </c>
      <c r="I344" s="19">
        <f>'5'!F184</f>
        <v>11174.7</v>
      </c>
      <c r="L344" s="50">
        <f>H367+H869</f>
        <v>61567.064180000001</v>
      </c>
    </row>
    <row r="345" spans="1:12" ht="27.6" x14ac:dyDescent="0.25">
      <c r="A345" s="383" t="s">
        <v>983</v>
      </c>
      <c r="B345" s="380" t="s">
        <v>117</v>
      </c>
      <c r="C345" s="384" t="s">
        <v>212</v>
      </c>
      <c r="D345" s="384" t="s">
        <v>111</v>
      </c>
      <c r="E345" s="8" t="s">
        <v>492</v>
      </c>
      <c r="F345" s="384" t="s">
        <v>223</v>
      </c>
      <c r="G345" s="331">
        <f t="shared" ref="G345:I346" si="72">G346</f>
        <v>4862.5</v>
      </c>
      <c r="H345" s="330">
        <f t="shared" si="72"/>
        <v>4512.5</v>
      </c>
      <c r="I345" s="330">
        <f t="shared" si="72"/>
        <v>4512.5</v>
      </c>
    </row>
    <row r="346" spans="1:12" ht="41.4" x14ac:dyDescent="0.25">
      <c r="A346" s="383" t="s">
        <v>748</v>
      </c>
      <c r="B346" s="380" t="s">
        <v>117</v>
      </c>
      <c r="C346" s="384" t="s">
        <v>212</v>
      </c>
      <c r="D346" s="384" t="s">
        <v>111</v>
      </c>
      <c r="E346" s="8" t="s">
        <v>492</v>
      </c>
      <c r="F346" s="384" t="s">
        <v>747</v>
      </c>
      <c r="G346" s="331">
        <f t="shared" si="72"/>
        <v>4862.5</v>
      </c>
      <c r="H346" s="330">
        <f t="shared" si="72"/>
        <v>4512.5</v>
      </c>
      <c r="I346" s="330">
        <f t="shared" si="72"/>
        <v>4512.5</v>
      </c>
    </row>
    <row r="347" spans="1:12" x14ac:dyDescent="0.25">
      <c r="A347" s="383" t="s">
        <v>124</v>
      </c>
      <c r="B347" s="380" t="s">
        <v>117</v>
      </c>
      <c r="C347" s="384" t="s">
        <v>212</v>
      </c>
      <c r="D347" s="384" t="s">
        <v>111</v>
      </c>
      <c r="E347" s="8" t="s">
        <v>492</v>
      </c>
      <c r="F347" s="384" t="s">
        <v>165</v>
      </c>
      <c r="G347" s="19">
        <f>'5'!D186</f>
        <v>4862.5</v>
      </c>
      <c r="H347" s="19">
        <f>'5'!E186</f>
        <v>4512.5</v>
      </c>
      <c r="I347" s="19">
        <f>'5'!F186</f>
        <v>4512.5</v>
      </c>
    </row>
    <row r="348" spans="1:12" ht="14.4" hidden="1" x14ac:dyDescent="0.25">
      <c r="A348" s="389" t="s">
        <v>827</v>
      </c>
      <c r="B348" s="380" t="s">
        <v>117</v>
      </c>
      <c r="C348" s="384" t="s">
        <v>212</v>
      </c>
      <c r="D348" s="384" t="s">
        <v>111</v>
      </c>
      <c r="E348" s="32" t="s">
        <v>699</v>
      </c>
      <c r="F348" s="32" t="s">
        <v>223</v>
      </c>
      <c r="G348" s="134">
        <f>G349</f>
        <v>0</v>
      </c>
      <c r="H348" s="33">
        <f t="shared" ref="H348:I350" si="73">H349</f>
        <v>0</v>
      </c>
      <c r="I348" s="33">
        <f t="shared" si="73"/>
        <v>0</v>
      </c>
    </row>
    <row r="349" spans="1:12" ht="27.6" hidden="1" x14ac:dyDescent="0.25">
      <c r="A349" s="383" t="s">
        <v>857</v>
      </c>
      <c r="B349" s="380" t="s">
        <v>117</v>
      </c>
      <c r="C349" s="384" t="s">
        <v>212</v>
      </c>
      <c r="D349" s="384" t="s">
        <v>111</v>
      </c>
      <c r="E349" s="8" t="s">
        <v>699</v>
      </c>
      <c r="F349" s="8" t="s">
        <v>223</v>
      </c>
      <c r="G349" s="19">
        <f>G350</f>
        <v>0</v>
      </c>
      <c r="H349" s="24">
        <f t="shared" si="73"/>
        <v>0</v>
      </c>
      <c r="I349" s="24">
        <f t="shared" si="73"/>
        <v>0</v>
      </c>
    </row>
    <row r="350" spans="1:12" ht="41.4" hidden="1" x14ac:dyDescent="0.25">
      <c r="A350" s="383" t="s">
        <v>748</v>
      </c>
      <c r="B350" s="380" t="s">
        <v>117</v>
      </c>
      <c r="C350" s="384" t="s">
        <v>212</v>
      </c>
      <c r="D350" s="384" t="s">
        <v>111</v>
      </c>
      <c r="E350" s="8" t="s">
        <v>321</v>
      </c>
      <c r="F350" s="8" t="s">
        <v>747</v>
      </c>
      <c r="G350" s="19">
        <f>G351</f>
        <v>0</v>
      </c>
      <c r="H350" s="24">
        <f t="shared" si="73"/>
        <v>0</v>
      </c>
      <c r="I350" s="24">
        <f t="shared" si="73"/>
        <v>0</v>
      </c>
    </row>
    <row r="351" spans="1:12" hidden="1" x14ac:dyDescent="0.25">
      <c r="A351" s="383" t="s">
        <v>124</v>
      </c>
      <c r="B351" s="380" t="s">
        <v>117</v>
      </c>
      <c r="C351" s="384" t="s">
        <v>212</v>
      </c>
      <c r="D351" s="384" t="s">
        <v>111</v>
      </c>
      <c r="E351" s="8" t="s">
        <v>321</v>
      </c>
      <c r="F351" s="8" t="s">
        <v>165</v>
      </c>
      <c r="G351" s="19"/>
      <c r="H351" s="24"/>
      <c r="I351" s="24"/>
    </row>
    <row r="352" spans="1:12" ht="46.2" customHeight="1" x14ac:dyDescent="0.25">
      <c r="A352" s="15" t="s">
        <v>984</v>
      </c>
      <c r="B352" s="380" t="s">
        <v>117</v>
      </c>
      <c r="C352" s="384" t="s">
        <v>212</v>
      </c>
      <c r="D352" s="384" t="s">
        <v>111</v>
      </c>
      <c r="E352" s="29" t="s">
        <v>699</v>
      </c>
      <c r="F352" s="29" t="s">
        <v>223</v>
      </c>
      <c r="G352" s="128">
        <f>G353</f>
        <v>1010.10101</v>
      </c>
      <c r="H352" s="26">
        <f>H353</f>
        <v>1010.10101</v>
      </c>
      <c r="I352" s="26">
        <f>I353</f>
        <v>1010.10101</v>
      </c>
    </row>
    <row r="353" spans="1:13" ht="75" customHeight="1" x14ac:dyDescent="0.25">
      <c r="A353" s="389" t="s">
        <v>338</v>
      </c>
      <c r="B353" s="31" t="s">
        <v>117</v>
      </c>
      <c r="C353" s="32" t="s">
        <v>212</v>
      </c>
      <c r="D353" s="32" t="s">
        <v>111</v>
      </c>
      <c r="E353" s="32" t="s">
        <v>699</v>
      </c>
      <c r="F353" s="32" t="s">
        <v>223</v>
      </c>
      <c r="G353" s="134">
        <f>G354+G356</f>
        <v>1010.10101</v>
      </c>
      <c r="H353" s="33">
        <f>H354+H356</f>
        <v>1010.10101</v>
      </c>
      <c r="I353" s="33">
        <f>I354+I356</f>
        <v>1010.10101</v>
      </c>
    </row>
    <row r="354" spans="1:13" ht="69" x14ac:dyDescent="0.25">
      <c r="A354" s="21" t="s">
        <v>985</v>
      </c>
      <c r="B354" s="28" t="s">
        <v>117</v>
      </c>
      <c r="C354" s="8" t="s">
        <v>212</v>
      </c>
      <c r="D354" s="8" t="s">
        <v>111</v>
      </c>
      <c r="E354" s="8" t="s">
        <v>393</v>
      </c>
      <c r="F354" s="8" t="s">
        <v>747</v>
      </c>
      <c r="G354" s="24">
        <f>G355</f>
        <v>1000</v>
      </c>
      <c r="H354" s="24">
        <f>H355</f>
        <v>1000</v>
      </c>
      <c r="I354" s="24">
        <f>I355</f>
        <v>1000</v>
      </c>
    </row>
    <row r="355" spans="1:13" x14ac:dyDescent="0.25">
      <c r="A355" s="21" t="s">
        <v>124</v>
      </c>
      <c r="B355" s="28" t="s">
        <v>117</v>
      </c>
      <c r="C355" s="8" t="s">
        <v>212</v>
      </c>
      <c r="D355" s="8" t="s">
        <v>111</v>
      </c>
      <c r="E355" s="8" t="s">
        <v>393</v>
      </c>
      <c r="F355" s="8" t="s">
        <v>165</v>
      </c>
      <c r="G355" s="24">
        <v>1000</v>
      </c>
      <c r="H355" s="24">
        <v>1000</v>
      </c>
      <c r="I355" s="24">
        <v>1000</v>
      </c>
    </row>
    <row r="356" spans="1:13" ht="97.2" x14ac:dyDescent="0.25">
      <c r="A356" s="21" t="s">
        <v>986</v>
      </c>
      <c r="B356" s="28" t="s">
        <v>117</v>
      </c>
      <c r="C356" s="8" t="s">
        <v>212</v>
      </c>
      <c r="D356" s="8" t="s">
        <v>111</v>
      </c>
      <c r="E356" s="6" t="s">
        <v>612</v>
      </c>
      <c r="F356" s="8" t="s">
        <v>747</v>
      </c>
      <c r="G356" s="24">
        <f>G357</f>
        <v>10.10101</v>
      </c>
      <c r="H356" s="24">
        <f>H357</f>
        <v>10.10101</v>
      </c>
      <c r="I356" s="24">
        <f>I357</f>
        <v>10.10101</v>
      </c>
    </row>
    <row r="357" spans="1:13" x14ac:dyDescent="0.25">
      <c r="A357" s="21" t="s">
        <v>124</v>
      </c>
      <c r="B357" s="28" t="s">
        <v>117</v>
      </c>
      <c r="C357" s="8" t="s">
        <v>212</v>
      </c>
      <c r="D357" s="8" t="s">
        <v>111</v>
      </c>
      <c r="E357" s="6" t="s">
        <v>612</v>
      </c>
      <c r="F357" s="8" t="s">
        <v>165</v>
      </c>
      <c r="G357" s="24">
        <f>'5'!D178</f>
        <v>10.10101</v>
      </c>
      <c r="H357" s="24">
        <f>'5'!E178</f>
        <v>10.10101</v>
      </c>
      <c r="I357" s="24">
        <f>'5'!F178</f>
        <v>10.10101</v>
      </c>
    </row>
    <row r="358" spans="1:13" s="59" customFormat="1" ht="27.6" hidden="1" x14ac:dyDescent="0.3">
      <c r="A358" s="15" t="s">
        <v>451</v>
      </c>
      <c r="B358" s="57" t="s">
        <v>117</v>
      </c>
      <c r="C358" s="29" t="s">
        <v>212</v>
      </c>
      <c r="D358" s="29" t="s">
        <v>111</v>
      </c>
      <c r="E358" s="29" t="s">
        <v>639</v>
      </c>
      <c r="F358" s="29" t="s">
        <v>747</v>
      </c>
      <c r="G358" s="26">
        <f>G359</f>
        <v>0</v>
      </c>
      <c r="H358" s="26">
        <f>H359</f>
        <v>0</v>
      </c>
      <c r="I358" s="26">
        <f>I359</f>
        <v>0</v>
      </c>
    </row>
    <row r="359" spans="1:13" ht="41.4" hidden="1" x14ac:dyDescent="0.25">
      <c r="A359" s="21" t="s">
        <v>638</v>
      </c>
      <c r="B359" s="28" t="s">
        <v>117</v>
      </c>
      <c r="C359" s="8" t="s">
        <v>212</v>
      </c>
      <c r="D359" s="8" t="s">
        <v>111</v>
      </c>
      <c r="E359" s="6" t="s">
        <v>639</v>
      </c>
      <c r="F359" s="6" t="s">
        <v>165</v>
      </c>
      <c r="G359" s="19"/>
      <c r="H359" s="19">
        <v>0</v>
      </c>
      <c r="I359" s="19">
        <v>0</v>
      </c>
    </row>
    <row r="360" spans="1:13" s="59" customFormat="1" ht="44.25" hidden="1" customHeight="1" x14ac:dyDescent="0.3">
      <c r="A360" s="15" t="s">
        <v>487</v>
      </c>
      <c r="B360" s="28" t="s">
        <v>117</v>
      </c>
      <c r="C360" s="8" t="s">
        <v>212</v>
      </c>
      <c r="D360" s="8" t="s">
        <v>111</v>
      </c>
      <c r="E360" s="6" t="s">
        <v>632</v>
      </c>
      <c r="F360" s="317" t="s">
        <v>223</v>
      </c>
      <c r="G360" s="128">
        <f t="shared" ref="G360:I361" si="74">G361</f>
        <v>0</v>
      </c>
      <c r="H360" s="128">
        <f t="shared" si="74"/>
        <v>0</v>
      </c>
      <c r="I360" s="128">
        <f t="shared" si="74"/>
        <v>0</v>
      </c>
    </row>
    <row r="361" spans="1:13" ht="54.75" hidden="1" customHeight="1" x14ac:dyDescent="0.25">
      <c r="A361" s="21" t="s">
        <v>854</v>
      </c>
      <c r="B361" s="28" t="s">
        <v>117</v>
      </c>
      <c r="C361" s="8" t="s">
        <v>212</v>
      </c>
      <c r="D361" s="8" t="s">
        <v>111</v>
      </c>
      <c r="E361" s="6" t="s">
        <v>632</v>
      </c>
      <c r="F361" s="6" t="s">
        <v>747</v>
      </c>
      <c r="G361" s="19">
        <f t="shared" si="74"/>
        <v>0</v>
      </c>
      <c r="H361" s="24">
        <f t="shared" si="74"/>
        <v>0</v>
      </c>
      <c r="I361" s="24">
        <f t="shared" si="74"/>
        <v>0</v>
      </c>
    </row>
    <row r="362" spans="1:13" ht="27.6" hidden="1" x14ac:dyDescent="0.25">
      <c r="A362" s="21" t="s">
        <v>855</v>
      </c>
      <c r="B362" s="28" t="s">
        <v>117</v>
      </c>
      <c r="C362" s="8" t="s">
        <v>212</v>
      </c>
      <c r="D362" s="8" t="s">
        <v>111</v>
      </c>
      <c r="E362" s="6" t="s">
        <v>632</v>
      </c>
      <c r="F362" s="6" t="s">
        <v>165</v>
      </c>
      <c r="G362" s="19">
        <v>0</v>
      </c>
      <c r="H362" s="24">
        <v>0</v>
      </c>
      <c r="I362" s="24">
        <v>0</v>
      </c>
    </row>
    <row r="363" spans="1:13" s="76" customFormat="1" ht="28.8" x14ac:dyDescent="0.25">
      <c r="A363" s="407" t="s">
        <v>1069</v>
      </c>
      <c r="B363" s="408" t="s">
        <v>117</v>
      </c>
      <c r="C363" s="409" t="s">
        <v>212</v>
      </c>
      <c r="D363" s="409" t="s">
        <v>718</v>
      </c>
      <c r="E363" s="409" t="s">
        <v>6</v>
      </c>
      <c r="F363" s="409" t="s">
        <v>223</v>
      </c>
      <c r="G363" s="410">
        <f>G364</f>
        <v>50</v>
      </c>
      <c r="H363" s="410">
        <f>H364</f>
        <v>0</v>
      </c>
      <c r="I363" s="410">
        <f t="shared" ref="I363" si="75">I364</f>
        <v>0</v>
      </c>
    </row>
    <row r="364" spans="1:13" ht="62.4" x14ac:dyDescent="0.25">
      <c r="A364" s="264" t="s">
        <v>1064</v>
      </c>
      <c r="B364" s="57" t="s">
        <v>117</v>
      </c>
      <c r="C364" s="29" t="s">
        <v>212</v>
      </c>
      <c r="D364" s="29" t="s">
        <v>718</v>
      </c>
      <c r="E364" s="13" t="s">
        <v>1061</v>
      </c>
      <c r="F364" s="13" t="s">
        <v>223</v>
      </c>
      <c r="G364" s="128">
        <f>G365</f>
        <v>50</v>
      </c>
      <c r="H364" s="128">
        <f t="shared" ref="H364:I365" si="76">H365</f>
        <v>0</v>
      </c>
      <c r="I364" s="128">
        <f t="shared" si="76"/>
        <v>0</v>
      </c>
    </row>
    <row r="365" spans="1:13" ht="27.6" x14ac:dyDescent="0.25">
      <c r="A365" s="21" t="s">
        <v>709</v>
      </c>
      <c r="B365" s="380" t="s">
        <v>117</v>
      </c>
      <c r="C365" s="8" t="s">
        <v>212</v>
      </c>
      <c r="D365" s="8" t="s">
        <v>718</v>
      </c>
      <c r="E365" s="262" t="s">
        <v>1061</v>
      </c>
      <c r="F365" s="262" t="s">
        <v>710</v>
      </c>
      <c r="G365" s="19">
        <f>G366</f>
        <v>50</v>
      </c>
      <c r="H365" s="19">
        <f t="shared" si="76"/>
        <v>0</v>
      </c>
      <c r="I365" s="19">
        <f t="shared" si="76"/>
        <v>0</v>
      </c>
    </row>
    <row r="366" spans="1:13" ht="41.4" x14ac:dyDescent="0.25">
      <c r="A366" s="22" t="s">
        <v>711</v>
      </c>
      <c r="B366" s="380" t="s">
        <v>117</v>
      </c>
      <c r="C366" s="8" t="s">
        <v>212</v>
      </c>
      <c r="D366" s="8" t="s">
        <v>718</v>
      </c>
      <c r="E366" s="262" t="s">
        <v>1061</v>
      </c>
      <c r="F366" s="262" t="s">
        <v>712</v>
      </c>
      <c r="G366" s="19">
        <v>50</v>
      </c>
      <c r="H366" s="24">
        <v>0</v>
      </c>
      <c r="I366" s="24">
        <v>0</v>
      </c>
    </row>
    <row r="367" spans="1:13" ht="22.5" customHeight="1" x14ac:dyDescent="0.25">
      <c r="A367" s="407" t="s">
        <v>871</v>
      </c>
      <c r="B367" s="408" t="s">
        <v>117</v>
      </c>
      <c r="C367" s="409" t="s">
        <v>212</v>
      </c>
      <c r="D367" s="409" t="s">
        <v>780</v>
      </c>
      <c r="E367" s="409" t="s">
        <v>699</v>
      </c>
      <c r="F367" s="409" t="s">
        <v>223</v>
      </c>
      <c r="G367" s="410">
        <f>G368+G375+G379</f>
        <v>151</v>
      </c>
      <c r="H367" s="410">
        <f>H368+H375+H379</f>
        <v>161</v>
      </c>
      <c r="I367" s="410">
        <f>I368+I375+I379</f>
        <v>211</v>
      </c>
      <c r="K367" s="50"/>
      <c r="L367" s="50"/>
      <c r="M367" s="50"/>
    </row>
    <row r="368" spans="1:13" ht="41.4" x14ac:dyDescent="0.25">
      <c r="A368" s="390" t="s">
        <v>757</v>
      </c>
      <c r="B368" s="129">
        <v>951</v>
      </c>
      <c r="C368" s="317" t="s">
        <v>212</v>
      </c>
      <c r="D368" s="317" t="s">
        <v>780</v>
      </c>
      <c r="E368" s="317" t="s">
        <v>22</v>
      </c>
      <c r="F368" s="317" t="s">
        <v>223</v>
      </c>
      <c r="G368" s="128">
        <f>G369</f>
        <v>111</v>
      </c>
      <c r="H368" s="128">
        <f t="shared" ref="H368:I370" si="77">H369</f>
        <v>161</v>
      </c>
      <c r="I368" s="128">
        <f t="shared" si="77"/>
        <v>211</v>
      </c>
    </row>
    <row r="369" spans="1:9" ht="34.950000000000003" customHeight="1" x14ac:dyDescent="0.25">
      <c r="A369" s="391" t="s">
        <v>987</v>
      </c>
      <c r="B369" s="57">
        <v>951</v>
      </c>
      <c r="C369" s="29" t="s">
        <v>212</v>
      </c>
      <c r="D369" s="29" t="s">
        <v>780</v>
      </c>
      <c r="E369" s="29" t="s">
        <v>23</v>
      </c>
      <c r="F369" s="29" t="s">
        <v>223</v>
      </c>
      <c r="G369" s="26">
        <f>G370</f>
        <v>111</v>
      </c>
      <c r="H369" s="26">
        <f t="shared" si="77"/>
        <v>161</v>
      </c>
      <c r="I369" s="26">
        <f t="shared" si="77"/>
        <v>211</v>
      </c>
    </row>
    <row r="370" spans="1:9" ht="27.6" x14ac:dyDescent="0.25">
      <c r="A370" s="383" t="s">
        <v>709</v>
      </c>
      <c r="B370" s="380">
        <v>951</v>
      </c>
      <c r="C370" s="384" t="s">
        <v>212</v>
      </c>
      <c r="D370" s="384" t="s">
        <v>780</v>
      </c>
      <c r="E370" s="384" t="s">
        <v>24</v>
      </c>
      <c r="F370" s="384" t="s">
        <v>710</v>
      </c>
      <c r="G370" s="330">
        <f>G371</f>
        <v>111</v>
      </c>
      <c r="H370" s="330">
        <f t="shared" si="77"/>
        <v>161</v>
      </c>
      <c r="I370" s="330">
        <f t="shared" si="77"/>
        <v>211</v>
      </c>
    </row>
    <row r="371" spans="1:9" ht="41.4" x14ac:dyDescent="0.25">
      <c r="A371" s="385" t="s">
        <v>711</v>
      </c>
      <c r="B371" s="380">
        <v>951</v>
      </c>
      <c r="C371" s="384" t="s">
        <v>212</v>
      </c>
      <c r="D371" s="384" t="s">
        <v>780</v>
      </c>
      <c r="E371" s="384" t="s">
        <v>24</v>
      </c>
      <c r="F371" s="384" t="s">
        <v>712</v>
      </c>
      <c r="G371" s="330">
        <f>'5'!D96</f>
        <v>111</v>
      </c>
      <c r="H371" s="330">
        <f>'5'!E96</f>
        <v>161</v>
      </c>
      <c r="I371" s="330">
        <f>'5'!F96</f>
        <v>211</v>
      </c>
    </row>
    <row r="372" spans="1:9" ht="41.4" hidden="1" x14ac:dyDescent="0.25">
      <c r="A372" s="15" t="s">
        <v>988</v>
      </c>
      <c r="B372" s="380">
        <v>951</v>
      </c>
      <c r="C372" s="384" t="s">
        <v>212</v>
      </c>
      <c r="D372" s="384" t="s">
        <v>780</v>
      </c>
      <c r="E372" s="29" t="s">
        <v>28</v>
      </c>
      <c r="F372" s="384" t="s">
        <v>223</v>
      </c>
      <c r="G372" s="330">
        <f t="shared" ref="G372:I373" si="78">G373</f>
        <v>0</v>
      </c>
      <c r="H372" s="330">
        <f t="shared" si="78"/>
        <v>0</v>
      </c>
      <c r="I372" s="330">
        <f t="shared" si="78"/>
        <v>0</v>
      </c>
    </row>
    <row r="373" spans="1:9" ht="27.6" hidden="1" x14ac:dyDescent="0.25">
      <c r="A373" s="383" t="s">
        <v>709</v>
      </c>
      <c r="B373" s="380">
        <v>951</v>
      </c>
      <c r="C373" s="384" t="s">
        <v>212</v>
      </c>
      <c r="D373" s="384" t="s">
        <v>780</v>
      </c>
      <c r="E373" s="8" t="s">
        <v>288</v>
      </c>
      <c r="F373" s="384" t="s">
        <v>710</v>
      </c>
      <c r="G373" s="330">
        <f t="shared" si="78"/>
        <v>0</v>
      </c>
      <c r="H373" s="330">
        <f t="shared" si="78"/>
        <v>0</v>
      </c>
      <c r="I373" s="330">
        <f t="shared" si="78"/>
        <v>0</v>
      </c>
    </row>
    <row r="374" spans="1:9" ht="41.4" hidden="1" x14ac:dyDescent="0.25">
      <c r="A374" s="385" t="s">
        <v>711</v>
      </c>
      <c r="B374" s="380">
        <v>951</v>
      </c>
      <c r="C374" s="384" t="s">
        <v>212</v>
      </c>
      <c r="D374" s="384" t="s">
        <v>780</v>
      </c>
      <c r="E374" s="8" t="s">
        <v>288</v>
      </c>
      <c r="F374" s="384" t="s">
        <v>712</v>
      </c>
      <c r="G374" s="330"/>
      <c r="H374" s="330"/>
      <c r="I374" s="330"/>
    </row>
    <row r="375" spans="1:9" s="59" customFormat="1" ht="27.6" x14ac:dyDescent="0.3">
      <c r="A375" s="15" t="s">
        <v>528</v>
      </c>
      <c r="B375" s="57">
        <v>951</v>
      </c>
      <c r="C375" s="29" t="s">
        <v>212</v>
      </c>
      <c r="D375" s="29" t="s">
        <v>780</v>
      </c>
      <c r="E375" s="29" t="s">
        <v>880</v>
      </c>
      <c r="F375" s="29" t="s">
        <v>223</v>
      </c>
      <c r="G375" s="26">
        <f t="shared" ref="G375:I376" si="79">G376</f>
        <v>40</v>
      </c>
      <c r="H375" s="26">
        <f t="shared" si="79"/>
        <v>0</v>
      </c>
      <c r="I375" s="26">
        <f t="shared" si="79"/>
        <v>0</v>
      </c>
    </row>
    <row r="376" spans="1:9" ht="27.6" x14ac:dyDescent="0.25">
      <c r="A376" s="21" t="s">
        <v>709</v>
      </c>
      <c r="B376" s="57">
        <v>951</v>
      </c>
      <c r="C376" s="384" t="s">
        <v>212</v>
      </c>
      <c r="D376" s="384" t="s">
        <v>780</v>
      </c>
      <c r="E376" s="8" t="s">
        <v>494</v>
      </c>
      <c r="F376" s="8" t="s">
        <v>710</v>
      </c>
      <c r="G376" s="24">
        <f t="shared" si="79"/>
        <v>40</v>
      </c>
      <c r="H376" s="24">
        <f t="shared" si="79"/>
        <v>0</v>
      </c>
      <c r="I376" s="24">
        <f t="shared" si="79"/>
        <v>0</v>
      </c>
    </row>
    <row r="377" spans="1:9" ht="41.4" x14ac:dyDescent="0.25">
      <c r="A377" s="22" t="s">
        <v>711</v>
      </c>
      <c r="B377" s="57">
        <v>951</v>
      </c>
      <c r="C377" s="384" t="s">
        <v>212</v>
      </c>
      <c r="D377" s="384" t="s">
        <v>780</v>
      </c>
      <c r="E377" s="8" t="s">
        <v>494</v>
      </c>
      <c r="F377" s="8" t="s">
        <v>712</v>
      </c>
      <c r="G377" s="24">
        <f>'5'!D236</f>
        <v>40</v>
      </c>
      <c r="H377" s="24">
        <f>'5'!E236</f>
        <v>0</v>
      </c>
      <c r="I377" s="24">
        <f>'5'!F236</f>
        <v>0</v>
      </c>
    </row>
    <row r="378" spans="1:9" hidden="1" x14ac:dyDescent="0.25">
      <c r="A378" s="385"/>
      <c r="B378" s="380"/>
      <c r="C378" s="384"/>
      <c r="D378" s="384"/>
      <c r="E378" s="8"/>
      <c r="F378" s="384"/>
      <c r="G378" s="330"/>
      <c r="H378" s="330"/>
      <c r="I378" s="330"/>
    </row>
    <row r="379" spans="1:9" ht="27.6" x14ac:dyDescent="0.25">
      <c r="A379" s="387" t="s">
        <v>702</v>
      </c>
      <c r="B379" s="380">
        <v>951</v>
      </c>
      <c r="C379" s="384" t="s">
        <v>212</v>
      </c>
      <c r="D379" s="384" t="s">
        <v>780</v>
      </c>
      <c r="E379" s="384" t="s">
        <v>5</v>
      </c>
      <c r="F379" s="384" t="s">
        <v>223</v>
      </c>
      <c r="G379" s="330">
        <f>G380</f>
        <v>0</v>
      </c>
      <c r="H379" s="330">
        <f>H380</f>
        <v>0</v>
      </c>
      <c r="I379" s="330">
        <f>I380</f>
        <v>0</v>
      </c>
    </row>
    <row r="380" spans="1:9" ht="42.75" customHeight="1" x14ac:dyDescent="0.25">
      <c r="A380" s="383" t="s">
        <v>110</v>
      </c>
      <c r="B380" s="380">
        <v>951</v>
      </c>
      <c r="C380" s="384" t="s">
        <v>212</v>
      </c>
      <c r="D380" s="384" t="s">
        <v>780</v>
      </c>
      <c r="E380" s="384" t="s">
        <v>6</v>
      </c>
      <c r="F380" s="384" t="s">
        <v>223</v>
      </c>
      <c r="G380" s="330">
        <f>G381+G386</f>
        <v>0</v>
      </c>
      <c r="H380" s="330">
        <f>H381+H386</f>
        <v>0</v>
      </c>
      <c r="I380" s="330">
        <f>I381+I386</f>
        <v>0</v>
      </c>
    </row>
    <row r="381" spans="1:9" ht="41.4" hidden="1" x14ac:dyDescent="0.25">
      <c r="A381" s="383" t="s">
        <v>112</v>
      </c>
      <c r="B381" s="380">
        <v>951</v>
      </c>
      <c r="C381" s="384" t="s">
        <v>212</v>
      </c>
      <c r="D381" s="384" t="s">
        <v>780</v>
      </c>
      <c r="E381" s="384" t="s">
        <v>9</v>
      </c>
      <c r="F381" s="384" t="s">
        <v>223</v>
      </c>
      <c r="G381" s="330">
        <f>G382+G384</f>
        <v>0</v>
      </c>
      <c r="H381" s="330">
        <f>H382+H384</f>
        <v>0</v>
      </c>
      <c r="I381" s="330">
        <f>I382+I384</f>
        <v>0</v>
      </c>
    </row>
    <row r="382" spans="1:9" ht="78" hidden="1" customHeight="1" x14ac:dyDescent="0.25">
      <c r="A382" s="383" t="s">
        <v>703</v>
      </c>
      <c r="B382" s="380">
        <v>951</v>
      </c>
      <c r="C382" s="384" t="s">
        <v>212</v>
      </c>
      <c r="D382" s="384" t="s">
        <v>780</v>
      </c>
      <c r="E382" s="384" t="s">
        <v>9</v>
      </c>
      <c r="F382" s="384" t="s">
        <v>704</v>
      </c>
      <c r="G382" s="330">
        <f>G383</f>
        <v>0</v>
      </c>
      <c r="H382" s="330">
        <f>H383</f>
        <v>0</v>
      </c>
      <c r="I382" s="330">
        <f>I383</f>
        <v>0</v>
      </c>
    </row>
    <row r="383" spans="1:9" ht="27.6" hidden="1" x14ac:dyDescent="0.25">
      <c r="A383" s="383" t="s">
        <v>705</v>
      </c>
      <c r="B383" s="380">
        <v>951</v>
      </c>
      <c r="C383" s="384" t="s">
        <v>212</v>
      </c>
      <c r="D383" s="384" t="s">
        <v>780</v>
      </c>
      <c r="E383" s="384" t="s">
        <v>9</v>
      </c>
      <c r="F383" s="384" t="s">
        <v>706</v>
      </c>
      <c r="G383" s="392">
        <v>0</v>
      </c>
      <c r="H383" s="392">
        <v>0</v>
      </c>
      <c r="I383" s="392">
        <v>0</v>
      </c>
    </row>
    <row r="384" spans="1:9" ht="27.6" hidden="1" x14ac:dyDescent="0.25">
      <c r="A384" s="383" t="s">
        <v>709</v>
      </c>
      <c r="B384" s="380">
        <v>951</v>
      </c>
      <c r="C384" s="384" t="s">
        <v>212</v>
      </c>
      <c r="D384" s="384" t="s">
        <v>780</v>
      </c>
      <c r="E384" s="384" t="s">
        <v>9</v>
      </c>
      <c r="F384" s="384" t="s">
        <v>710</v>
      </c>
      <c r="G384" s="330">
        <f>G385</f>
        <v>0</v>
      </c>
      <c r="H384" s="330">
        <f>H385</f>
        <v>0</v>
      </c>
      <c r="I384" s="330">
        <f>I385</f>
        <v>0</v>
      </c>
    </row>
    <row r="385" spans="1:10" ht="41.4" hidden="1" x14ac:dyDescent="0.25">
      <c r="A385" s="385" t="s">
        <v>711</v>
      </c>
      <c r="B385" s="380">
        <v>951</v>
      </c>
      <c r="C385" s="384" t="s">
        <v>212</v>
      </c>
      <c r="D385" s="384" t="s">
        <v>780</v>
      </c>
      <c r="E385" s="384" t="s">
        <v>9</v>
      </c>
      <c r="F385" s="384" t="s">
        <v>712</v>
      </c>
      <c r="G385" s="392">
        <v>0</v>
      </c>
      <c r="H385" s="392">
        <v>0</v>
      </c>
      <c r="I385" s="392">
        <v>0</v>
      </c>
    </row>
    <row r="386" spans="1:10" ht="70.95" customHeight="1" x14ac:dyDescent="0.25">
      <c r="A386" s="15" t="s">
        <v>881</v>
      </c>
      <c r="B386" s="57">
        <v>951</v>
      </c>
      <c r="C386" s="29" t="s">
        <v>212</v>
      </c>
      <c r="D386" s="29" t="s">
        <v>780</v>
      </c>
      <c r="E386" s="29" t="s">
        <v>382</v>
      </c>
      <c r="F386" s="29" t="s">
        <v>223</v>
      </c>
      <c r="G386" s="26">
        <f>G387+G389</f>
        <v>0</v>
      </c>
      <c r="H386" s="26">
        <f>H387+H389</f>
        <v>0</v>
      </c>
      <c r="I386" s="26">
        <f>I387+I389</f>
        <v>0</v>
      </c>
    </row>
    <row r="387" spans="1:10" ht="78.599999999999994" customHeight="1" x14ac:dyDescent="0.25">
      <c r="A387" s="21" t="s">
        <v>703</v>
      </c>
      <c r="B387" s="28">
        <v>951</v>
      </c>
      <c r="C387" s="8" t="s">
        <v>212</v>
      </c>
      <c r="D387" s="8" t="s">
        <v>780</v>
      </c>
      <c r="E387" s="8" t="s">
        <v>382</v>
      </c>
      <c r="F387" s="8" t="s">
        <v>704</v>
      </c>
      <c r="G387" s="24">
        <f>G388</f>
        <v>0</v>
      </c>
      <c r="H387" s="24">
        <f>H388</f>
        <v>0</v>
      </c>
      <c r="I387" s="24">
        <f>I388</f>
        <v>0</v>
      </c>
    </row>
    <row r="388" spans="1:10" ht="27.6" x14ac:dyDescent="0.25">
      <c r="A388" s="22" t="s">
        <v>705</v>
      </c>
      <c r="B388" s="28">
        <v>951</v>
      </c>
      <c r="C388" s="8" t="s">
        <v>212</v>
      </c>
      <c r="D388" s="8" t="s">
        <v>780</v>
      </c>
      <c r="E388" s="8" t="s">
        <v>382</v>
      </c>
      <c r="F388" s="8" t="s">
        <v>706</v>
      </c>
      <c r="G388" s="24">
        <f>'3'!F645</f>
        <v>0</v>
      </c>
      <c r="H388" s="24">
        <f>'3'!G645</f>
        <v>0</v>
      </c>
      <c r="I388" s="24">
        <f>'3'!H645</f>
        <v>0</v>
      </c>
    </row>
    <row r="389" spans="1:10" ht="27.6" x14ac:dyDescent="0.25">
      <c r="A389" s="21" t="s">
        <v>709</v>
      </c>
      <c r="B389" s="28">
        <v>951</v>
      </c>
      <c r="C389" s="8" t="s">
        <v>212</v>
      </c>
      <c r="D389" s="8" t="s">
        <v>780</v>
      </c>
      <c r="E389" s="8" t="s">
        <v>382</v>
      </c>
      <c r="F389" s="8" t="s">
        <v>710</v>
      </c>
      <c r="G389" s="24">
        <f>G390</f>
        <v>0</v>
      </c>
      <c r="H389" s="24">
        <f>H390</f>
        <v>0</v>
      </c>
      <c r="I389" s="24">
        <f>I390</f>
        <v>0</v>
      </c>
    </row>
    <row r="390" spans="1:10" ht="41.4" x14ac:dyDescent="0.25">
      <c r="A390" s="22" t="s">
        <v>711</v>
      </c>
      <c r="B390" s="28">
        <v>951</v>
      </c>
      <c r="C390" s="8" t="s">
        <v>212</v>
      </c>
      <c r="D390" s="8" t="s">
        <v>780</v>
      </c>
      <c r="E390" s="8" t="s">
        <v>382</v>
      </c>
      <c r="F390" s="8" t="s">
        <v>712</v>
      </c>
      <c r="G390" s="24">
        <f>'3'!F647</f>
        <v>0</v>
      </c>
      <c r="H390" s="24">
        <f>'3'!G647</f>
        <v>0</v>
      </c>
      <c r="I390" s="24">
        <f>'3'!H647</f>
        <v>0</v>
      </c>
    </row>
    <row r="391" spans="1:10" x14ac:dyDescent="0.25">
      <c r="A391" s="381" t="s">
        <v>882</v>
      </c>
      <c r="B391" s="359">
        <v>951</v>
      </c>
      <c r="C391" s="379" t="s">
        <v>791</v>
      </c>
      <c r="D391" s="379" t="s">
        <v>109</v>
      </c>
      <c r="E391" s="379" t="s">
        <v>699</v>
      </c>
      <c r="F391" s="379" t="s">
        <v>223</v>
      </c>
      <c r="G391" s="393">
        <f>G392+G455</f>
        <v>29691.992650000004</v>
      </c>
      <c r="H391" s="393">
        <f>H392+H455</f>
        <v>16013.952020000002</v>
      </c>
      <c r="I391" s="393">
        <f>I392+I455</f>
        <v>16013.952020000002</v>
      </c>
      <c r="J391" s="45">
        <v>13627.01902</v>
      </c>
    </row>
    <row r="392" spans="1:10" ht="17.7" customHeight="1" x14ac:dyDescent="0.25">
      <c r="A392" s="394" t="s">
        <v>883</v>
      </c>
      <c r="B392" s="363">
        <v>951</v>
      </c>
      <c r="C392" s="364" t="s">
        <v>791</v>
      </c>
      <c r="D392" s="364" t="s">
        <v>108</v>
      </c>
      <c r="E392" s="364" t="s">
        <v>699</v>
      </c>
      <c r="F392" s="364" t="s">
        <v>223</v>
      </c>
      <c r="G392" s="365">
        <f>G393+G452+G399</f>
        <v>26920.696750000003</v>
      </c>
      <c r="H392" s="365">
        <f>H393+H452</f>
        <v>14542.752020000002</v>
      </c>
      <c r="I392" s="365">
        <f>I393+I452</f>
        <v>14542.752020000002</v>
      </c>
      <c r="J392" s="50">
        <f>J391-G391</f>
        <v>-16064.973630000004</v>
      </c>
    </row>
    <row r="393" spans="1:10" ht="41.7" customHeight="1" x14ac:dyDescent="0.25">
      <c r="A393" s="15" t="s">
        <v>560</v>
      </c>
      <c r="B393" s="57">
        <v>951</v>
      </c>
      <c r="C393" s="29" t="s">
        <v>791</v>
      </c>
      <c r="D393" s="29" t="s">
        <v>108</v>
      </c>
      <c r="E393" s="29" t="s">
        <v>989</v>
      </c>
      <c r="F393" s="29" t="s">
        <v>223</v>
      </c>
      <c r="G393" s="26">
        <f>G394+G399+G435+G442+G449+G427+G406+G413+G439+G420</f>
        <v>26920.696750000003</v>
      </c>
      <c r="H393" s="26">
        <f>H394+H399+H435+H442+H449+H427+H406+H413+H439</f>
        <v>14542.752020000002</v>
      </c>
      <c r="I393" s="26">
        <f>I394+I399+I435+I442+I449+I427+I406+I413+I439</f>
        <v>14542.752020000002</v>
      </c>
    </row>
    <row r="394" spans="1:10" ht="62.7" customHeight="1" x14ac:dyDescent="0.25">
      <c r="A394" s="329" t="s">
        <v>293</v>
      </c>
      <c r="B394" s="28">
        <v>951</v>
      </c>
      <c r="C394" s="8" t="s">
        <v>791</v>
      </c>
      <c r="D394" s="8" t="s">
        <v>108</v>
      </c>
      <c r="E394" s="8" t="s">
        <v>59</v>
      </c>
      <c r="F394" s="8" t="s">
        <v>223</v>
      </c>
      <c r="G394" s="19">
        <f>G395+G397</f>
        <v>9747.1630000000005</v>
      </c>
      <c r="H394" s="24">
        <f>H395+H397</f>
        <v>8899.4500000000007</v>
      </c>
      <c r="I394" s="24">
        <f>I395+I397</f>
        <v>8899.4500000000007</v>
      </c>
    </row>
    <row r="395" spans="1:10" ht="41.4" x14ac:dyDescent="0.25">
      <c r="A395" s="21" t="s">
        <v>748</v>
      </c>
      <c r="B395" s="28">
        <v>951</v>
      </c>
      <c r="C395" s="8" t="s">
        <v>791</v>
      </c>
      <c r="D395" s="8" t="s">
        <v>108</v>
      </c>
      <c r="E395" s="8" t="s">
        <v>60</v>
      </c>
      <c r="F395" s="8" t="s">
        <v>747</v>
      </c>
      <c r="G395" s="19">
        <f>G396</f>
        <v>9299.4500000000007</v>
      </c>
      <c r="H395" s="24">
        <f>H396</f>
        <v>8899.4500000000007</v>
      </c>
      <c r="I395" s="24">
        <f>I396</f>
        <v>8899.4500000000007</v>
      </c>
    </row>
    <row r="396" spans="1:10" x14ac:dyDescent="0.25">
      <c r="A396" s="21" t="s">
        <v>124</v>
      </c>
      <c r="B396" s="28">
        <v>951</v>
      </c>
      <c r="C396" s="8" t="s">
        <v>791</v>
      </c>
      <c r="D396" s="8" t="s">
        <v>108</v>
      </c>
      <c r="E396" s="8" t="s">
        <v>61</v>
      </c>
      <c r="F396" s="8" t="s">
        <v>165</v>
      </c>
      <c r="G396" s="19">
        <f>'5'!D148</f>
        <v>9299.4500000000007</v>
      </c>
      <c r="H396" s="19">
        <f>'5'!E148</f>
        <v>8899.4500000000007</v>
      </c>
      <c r="I396" s="19">
        <f>'5'!F148</f>
        <v>8899.4500000000007</v>
      </c>
    </row>
    <row r="397" spans="1:10" ht="99" customHeight="1" x14ac:dyDescent="0.25">
      <c r="A397" s="21" t="s">
        <v>885</v>
      </c>
      <c r="B397" s="28">
        <v>951</v>
      </c>
      <c r="C397" s="8" t="s">
        <v>791</v>
      </c>
      <c r="D397" s="8" t="s">
        <v>108</v>
      </c>
      <c r="E397" s="8" t="s">
        <v>77</v>
      </c>
      <c r="F397" s="8" t="s">
        <v>747</v>
      </c>
      <c r="G397" s="19">
        <f>G398</f>
        <v>447.71300000000002</v>
      </c>
      <c r="H397" s="19">
        <f>H398</f>
        <v>0</v>
      </c>
      <c r="I397" s="19">
        <f>I398</f>
        <v>0</v>
      </c>
    </row>
    <row r="398" spans="1:10" ht="16.5" customHeight="1" x14ac:dyDescent="0.25">
      <c r="A398" s="21" t="s">
        <v>124</v>
      </c>
      <c r="B398" s="28">
        <v>951</v>
      </c>
      <c r="C398" s="8" t="s">
        <v>791</v>
      </c>
      <c r="D398" s="8" t="s">
        <v>108</v>
      </c>
      <c r="E398" s="8" t="s">
        <v>77</v>
      </c>
      <c r="F398" s="8" t="s">
        <v>165</v>
      </c>
      <c r="G398" s="19">
        <f>'5'!D149</f>
        <v>447.71300000000002</v>
      </c>
      <c r="H398" s="19">
        <f>'5'!E149</f>
        <v>0</v>
      </c>
      <c r="I398" s="19">
        <f>'5'!F149</f>
        <v>0</v>
      </c>
    </row>
    <row r="399" spans="1:10" ht="62.7" hidden="1" customHeight="1" x14ac:dyDescent="0.25">
      <c r="A399" s="55" t="s">
        <v>326</v>
      </c>
      <c r="B399" s="28">
        <v>952</v>
      </c>
      <c r="C399" s="8" t="s">
        <v>791</v>
      </c>
      <c r="D399" s="8" t="s">
        <v>108</v>
      </c>
      <c r="E399" s="36" t="s">
        <v>59</v>
      </c>
      <c r="F399" s="36" t="s">
        <v>223</v>
      </c>
      <c r="G399" s="20">
        <f>G400+G403+G433</f>
        <v>0</v>
      </c>
      <c r="H399" s="35">
        <f>H400+H403+H433</f>
        <v>0</v>
      </c>
      <c r="I399" s="35">
        <f>I400+I403+I433</f>
        <v>0</v>
      </c>
    </row>
    <row r="400" spans="1:10" ht="69" hidden="1" customHeight="1" x14ac:dyDescent="0.25">
      <c r="A400" s="15" t="s">
        <v>327</v>
      </c>
      <c r="B400" s="28">
        <v>953</v>
      </c>
      <c r="C400" s="8" t="s">
        <v>791</v>
      </c>
      <c r="D400" s="8" t="s">
        <v>108</v>
      </c>
      <c r="E400" s="29" t="s">
        <v>328</v>
      </c>
      <c r="F400" s="29" t="s">
        <v>223</v>
      </c>
      <c r="G400" s="128">
        <f t="shared" ref="G400:I401" si="80">G401</f>
        <v>0</v>
      </c>
      <c r="H400" s="26">
        <f t="shared" si="80"/>
        <v>0</v>
      </c>
      <c r="I400" s="26">
        <f t="shared" si="80"/>
        <v>0</v>
      </c>
    </row>
    <row r="401" spans="1:9" ht="48" hidden="1" customHeight="1" x14ac:dyDescent="0.25">
      <c r="A401" s="21" t="s">
        <v>748</v>
      </c>
      <c r="B401" s="28">
        <v>954</v>
      </c>
      <c r="C401" s="8" t="s">
        <v>791</v>
      </c>
      <c r="D401" s="8" t="s">
        <v>108</v>
      </c>
      <c r="E401" s="8" t="s">
        <v>328</v>
      </c>
      <c r="F401" s="8" t="s">
        <v>747</v>
      </c>
      <c r="G401" s="19">
        <f t="shared" si="80"/>
        <v>0</v>
      </c>
      <c r="H401" s="24">
        <f t="shared" si="80"/>
        <v>0</v>
      </c>
      <c r="I401" s="24">
        <f t="shared" si="80"/>
        <v>0</v>
      </c>
    </row>
    <row r="402" spans="1:9" ht="20.25" hidden="1" customHeight="1" x14ac:dyDescent="0.25">
      <c r="A402" s="21" t="s">
        <v>124</v>
      </c>
      <c r="B402" s="28">
        <v>955</v>
      </c>
      <c r="C402" s="8" t="s">
        <v>791</v>
      </c>
      <c r="D402" s="8" t="s">
        <v>108</v>
      </c>
      <c r="E402" s="8" t="s">
        <v>328</v>
      </c>
      <c r="F402" s="8" t="s">
        <v>165</v>
      </c>
      <c r="G402" s="19"/>
      <c r="H402" s="24"/>
      <c r="I402" s="24"/>
    </row>
    <row r="403" spans="1:9" ht="119.4" hidden="1" customHeight="1" x14ac:dyDescent="0.25">
      <c r="A403" s="15" t="s">
        <v>990</v>
      </c>
      <c r="B403" s="28">
        <v>956</v>
      </c>
      <c r="C403" s="8" t="s">
        <v>791</v>
      </c>
      <c r="D403" s="8" t="s">
        <v>108</v>
      </c>
      <c r="E403" s="29" t="s">
        <v>329</v>
      </c>
      <c r="F403" s="29" t="s">
        <v>223</v>
      </c>
      <c r="G403" s="128">
        <f t="shared" ref="G403:I404" si="81">G404</f>
        <v>0</v>
      </c>
      <c r="H403" s="26">
        <f t="shared" si="81"/>
        <v>0</v>
      </c>
      <c r="I403" s="26">
        <f t="shared" si="81"/>
        <v>0</v>
      </c>
    </row>
    <row r="404" spans="1:9" ht="48" hidden="1" customHeight="1" x14ac:dyDescent="0.25">
      <c r="A404" s="21" t="s">
        <v>748</v>
      </c>
      <c r="B404" s="28">
        <v>957</v>
      </c>
      <c r="C404" s="8" t="s">
        <v>791</v>
      </c>
      <c r="D404" s="8" t="s">
        <v>108</v>
      </c>
      <c r="E404" s="8" t="s">
        <v>329</v>
      </c>
      <c r="F404" s="8" t="s">
        <v>747</v>
      </c>
      <c r="G404" s="19">
        <f t="shared" si="81"/>
        <v>0</v>
      </c>
      <c r="H404" s="24">
        <f t="shared" si="81"/>
        <v>0</v>
      </c>
      <c r="I404" s="24">
        <f t="shared" si="81"/>
        <v>0</v>
      </c>
    </row>
    <row r="405" spans="1:9" ht="15.75" hidden="1" customHeight="1" x14ac:dyDescent="0.25">
      <c r="A405" s="21" t="s">
        <v>124</v>
      </c>
      <c r="B405" s="28">
        <v>958</v>
      </c>
      <c r="C405" s="8" t="s">
        <v>791</v>
      </c>
      <c r="D405" s="8" t="s">
        <v>108</v>
      </c>
      <c r="E405" s="8" t="s">
        <v>329</v>
      </c>
      <c r="F405" s="8" t="s">
        <v>165</v>
      </c>
      <c r="G405" s="19"/>
      <c r="H405" s="24"/>
      <c r="I405" s="24"/>
    </row>
    <row r="406" spans="1:9" ht="46.2" hidden="1" customHeight="1" x14ac:dyDescent="0.25">
      <c r="A406" s="55" t="s">
        <v>537</v>
      </c>
      <c r="B406" s="56">
        <v>951</v>
      </c>
      <c r="C406" s="36" t="s">
        <v>791</v>
      </c>
      <c r="D406" s="36" t="s">
        <v>108</v>
      </c>
      <c r="E406" s="36" t="s">
        <v>59</v>
      </c>
      <c r="F406" s="36" t="s">
        <v>223</v>
      </c>
      <c r="G406" s="20">
        <f>G410+G407</f>
        <v>0</v>
      </c>
      <c r="H406" s="35">
        <f>H410+H407</f>
        <v>0</v>
      </c>
      <c r="I406" s="35">
        <f>I410+I407</f>
        <v>0</v>
      </c>
    </row>
    <row r="407" spans="1:9" ht="60" hidden="1" customHeight="1" x14ac:dyDescent="0.25">
      <c r="A407" s="21" t="s">
        <v>538</v>
      </c>
      <c r="B407" s="28">
        <v>951</v>
      </c>
      <c r="C407" s="8" t="s">
        <v>791</v>
      </c>
      <c r="D407" s="8" t="s">
        <v>108</v>
      </c>
      <c r="E407" s="8" t="s">
        <v>539</v>
      </c>
      <c r="F407" s="8" t="s">
        <v>223</v>
      </c>
      <c r="G407" s="19">
        <f t="shared" ref="G407:I408" si="82">G408</f>
        <v>0</v>
      </c>
      <c r="H407" s="24">
        <f t="shared" si="82"/>
        <v>0</v>
      </c>
      <c r="I407" s="24">
        <f t="shared" si="82"/>
        <v>0</v>
      </c>
    </row>
    <row r="408" spans="1:9" ht="46.95" hidden="1" customHeight="1" x14ac:dyDescent="0.25">
      <c r="A408" s="21" t="s">
        <v>748</v>
      </c>
      <c r="B408" s="28">
        <v>951</v>
      </c>
      <c r="C408" s="8" t="s">
        <v>791</v>
      </c>
      <c r="D408" s="8" t="s">
        <v>108</v>
      </c>
      <c r="E408" s="8" t="s">
        <v>539</v>
      </c>
      <c r="F408" s="8" t="s">
        <v>747</v>
      </c>
      <c r="G408" s="19">
        <f t="shared" si="82"/>
        <v>0</v>
      </c>
      <c r="H408" s="24">
        <f t="shared" si="82"/>
        <v>0</v>
      </c>
      <c r="I408" s="24">
        <f t="shared" si="82"/>
        <v>0</v>
      </c>
    </row>
    <row r="409" spans="1:9" ht="18" hidden="1" customHeight="1" x14ac:dyDescent="0.25">
      <c r="A409" s="21" t="s">
        <v>124</v>
      </c>
      <c r="B409" s="28">
        <v>951</v>
      </c>
      <c r="C409" s="8" t="s">
        <v>791</v>
      </c>
      <c r="D409" s="8" t="s">
        <v>108</v>
      </c>
      <c r="E409" s="8" t="s">
        <v>539</v>
      </c>
      <c r="F409" s="8" t="s">
        <v>165</v>
      </c>
      <c r="G409" s="19">
        <v>0</v>
      </c>
      <c r="H409" s="24">
        <v>0</v>
      </c>
      <c r="I409" s="24">
        <v>0</v>
      </c>
    </row>
    <row r="410" spans="1:9" ht="72.599999999999994" hidden="1" customHeight="1" x14ac:dyDescent="0.25">
      <c r="A410" s="21" t="s">
        <v>540</v>
      </c>
      <c r="B410" s="28">
        <v>951</v>
      </c>
      <c r="C410" s="8" t="s">
        <v>791</v>
      </c>
      <c r="D410" s="8" t="s">
        <v>108</v>
      </c>
      <c r="E410" s="8" t="s">
        <v>541</v>
      </c>
      <c r="F410" s="8" t="s">
        <v>223</v>
      </c>
      <c r="G410" s="19">
        <f t="shared" ref="G410:I411" si="83">G411</f>
        <v>0</v>
      </c>
      <c r="H410" s="24">
        <f t="shared" si="83"/>
        <v>0</v>
      </c>
      <c r="I410" s="24">
        <f t="shared" si="83"/>
        <v>0</v>
      </c>
    </row>
    <row r="411" spans="1:9" ht="48" hidden="1" customHeight="1" x14ac:dyDescent="0.25">
      <c r="A411" s="21" t="s">
        <v>748</v>
      </c>
      <c r="B411" s="28">
        <v>951</v>
      </c>
      <c r="C411" s="8" t="s">
        <v>791</v>
      </c>
      <c r="D411" s="8" t="s">
        <v>108</v>
      </c>
      <c r="E411" s="8" t="s">
        <v>541</v>
      </c>
      <c r="F411" s="8" t="s">
        <v>747</v>
      </c>
      <c r="G411" s="19">
        <f t="shared" si="83"/>
        <v>0</v>
      </c>
      <c r="H411" s="24">
        <f t="shared" si="83"/>
        <v>0</v>
      </c>
      <c r="I411" s="24">
        <f t="shared" si="83"/>
        <v>0</v>
      </c>
    </row>
    <row r="412" spans="1:9" ht="15.75" hidden="1" customHeight="1" x14ac:dyDescent="0.25">
      <c r="A412" s="21" t="s">
        <v>124</v>
      </c>
      <c r="B412" s="28">
        <v>951</v>
      </c>
      <c r="C412" s="8" t="s">
        <v>791</v>
      </c>
      <c r="D412" s="8" t="s">
        <v>108</v>
      </c>
      <c r="E412" s="8" t="s">
        <v>541</v>
      </c>
      <c r="F412" s="8" t="s">
        <v>165</v>
      </c>
      <c r="G412" s="19"/>
      <c r="H412" s="24"/>
      <c r="I412" s="24"/>
    </row>
    <row r="413" spans="1:9" ht="61.95" customHeight="1" x14ac:dyDescent="0.25">
      <c r="A413" s="34" t="s">
        <v>542</v>
      </c>
      <c r="B413" s="28" t="s">
        <v>117</v>
      </c>
      <c r="C413" s="32" t="s">
        <v>791</v>
      </c>
      <c r="D413" s="32" t="s">
        <v>108</v>
      </c>
      <c r="E413" s="32" t="s">
        <v>896</v>
      </c>
      <c r="F413" s="32" t="s">
        <v>223</v>
      </c>
      <c r="G413" s="134">
        <f>G417+G414</f>
        <v>102.06143</v>
      </c>
      <c r="H413" s="33">
        <f>H417+H414</f>
        <v>0</v>
      </c>
      <c r="I413" s="33">
        <f>I417+I414</f>
        <v>0</v>
      </c>
    </row>
    <row r="414" spans="1:9" ht="87" customHeight="1" x14ac:dyDescent="0.25">
      <c r="A414" s="21" t="s">
        <v>543</v>
      </c>
      <c r="B414" s="28" t="s">
        <v>117</v>
      </c>
      <c r="C414" s="8" t="s">
        <v>791</v>
      </c>
      <c r="D414" s="8" t="s">
        <v>108</v>
      </c>
      <c r="E414" s="8" t="s">
        <v>544</v>
      </c>
      <c r="F414" s="8" t="s">
        <v>223</v>
      </c>
      <c r="G414" s="19">
        <f t="shared" ref="G414:I415" si="84">G415</f>
        <v>102.04082</v>
      </c>
      <c r="H414" s="24">
        <f t="shared" si="84"/>
        <v>0</v>
      </c>
      <c r="I414" s="24">
        <f t="shared" si="84"/>
        <v>0</v>
      </c>
    </row>
    <row r="415" spans="1:9" ht="43.2" customHeight="1" x14ac:dyDescent="0.25">
      <c r="A415" s="21" t="s">
        <v>748</v>
      </c>
      <c r="B415" s="28" t="s">
        <v>117</v>
      </c>
      <c r="C415" s="8" t="s">
        <v>791</v>
      </c>
      <c r="D415" s="8" t="s">
        <v>108</v>
      </c>
      <c r="E415" s="8" t="s">
        <v>544</v>
      </c>
      <c r="F415" s="8" t="s">
        <v>747</v>
      </c>
      <c r="G415" s="19">
        <f t="shared" si="84"/>
        <v>102.04082</v>
      </c>
      <c r="H415" s="24">
        <f t="shared" si="84"/>
        <v>0</v>
      </c>
      <c r="I415" s="24">
        <f t="shared" si="84"/>
        <v>0</v>
      </c>
    </row>
    <row r="416" spans="1:9" ht="18" customHeight="1" x14ac:dyDescent="0.25">
      <c r="A416" s="2" t="s">
        <v>124</v>
      </c>
      <c r="B416" s="3" t="s">
        <v>117</v>
      </c>
      <c r="C416" s="6" t="s">
        <v>791</v>
      </c>
      <c r="D416" s="6" t="s">
        <v>108</v>
      </c>
      <c r="E416" s="6" t="s">
        <v>544</v>
      </c>
      <c r="F416" s="6" t="s">
        <v>165</v>
      </c>
      <c r="G416" s="19">
        <f>'5'!D161</f>
        <v>102.04082</v>
      </c>
      <c r="H416" s="19">
        <f>'5'!E161</f>
        <v>0</v>
      </c>
      <c r="I416" s="19">
        <f>'5'!F161</f>
        <v>0</v>
      </c>
    </row>
    <row r="417" spans="1:11" ht="100.95" customHeight="1" x14ac:dyDescent="0.25">
      <c r="A417" s="2" t="s">
        <v>545</v>
      </c>
      <c r="B417" s="3" t="s">
        <v>117</v>
      </c>
      <c r="C417" s="6" t="s">
        <v>791</v>
      </c>
      <c r="D417" s="6" t="s">
        <v>108</v>
      </c>
      <c r="E417" s="6" t="s">
        <v>544</v>
      </c>
      <c r="F417" s="6" t="s">
        <v>223</v>
      </c>
      <c r="G417" s="19">
        <f>G418</f>
        <v>2.061E-2</v>
      </c>
      <c r="H417" s="19">
        <f t="shared" ref="G417:I418" si="85">H418</f>
        <v>0</v>
      </c>
      <c r="I417" s="19">
        <f t="shared" si="85"/>
        <v>0</v>
      </c>
    </row>
    <row r="418" spans="1:11" ht="46.2" customHeight="1" x14ac:dyDescent="0.25">
      <c r="A418" s="2" t="s">
        <v>748</v>
      </c>
      <c r="B418" s="3" t="s">
        <v>117</v>
      </c>
      <c r="C418" s="6" t="s">
        <v>791</v>
      </c>
      <c r="D418" s="6" t="s">
        <v>108</v>
      </c>
      <c r="E418" s="6" t="s">
        <v>544</v>
      </c>
      <c r="F418" s="6" t="s">
        <v>747</v>
      </c>
      <c r="G418" s="19">
        <f t="shared" si="85"/>
        <v>2.061E-2</v>
      </c>
      <c r="H418" s="19">
        <f t="shared" si="85"/>
        <v>0</v>
      </c>
      <c r="I418" s="19">
        <f t="shared" si="85"/>
        <v>0</v>
      </c>
    </row>
    <row r="419" spans="1:11" ht="20.399999999999999" customHeight="1" x14ac:dyDescent="0.25">
      <c r="A419" s="2" t="s">
        <v>124</v>
      </c>
      <c r="B419" s="3" t="s">
        <v>117</v>
      </c>
      <c r="C419" s="6" t="s">
        <v>791</v>
      </c>
      <c r="D419" s="6" t="s">
        <v>108</v>
      </c>
      <c r="E419" s="6" t="s">
        <v>544</v>
      </c>
      <c r="F419" s="6" t="s">
        <v>165</v>
      </c>
      <c r="G419" s="19">
        <f>'5'!D162</f>
        <v>2.061E-2</v>
      </c>
      <c r="H419" s="19">
        <f>'5'!E162</f>
        <v>0</v>
      </c>
      <c r="I419" s="19">
        <f>'5'!F162</f>
        <v>0</v>
      </c>
    </row>
    <row r="420" spans="1:11" ht="69" customHeight="1" x14ac:dyDescent="0.25">
      <c r="A420" s="130" t="s">
        <v>618</v>
      </c>
      <c r="B420" s="3" t="s">
        <v>117</v>
      </c>
      <c r="C420" s="106" t="s">
        <v>791</v>
      </c>
      <c r="D420" s="106" t="s">
        <v>108</v>
      </c>
      <c r="E420" s="106" t="s">
        <v>896</v>
      </c>
      <c r="F420" s="106" t="s">
        <v>223</v>
      </c>
      <c r="G420" s="134">
        <f>G424+G421</f>
        <v>51.030719999999995</v>
      </c>
      <c r="H420" s="134">
        <f>H424+H421</f>
        <v>0</v>
      </c>
      <c r="I420" s="134">
        <f>I424+I421</f>
        <v>0</v>
      </c>
      <c r="K420" s="45" t="s">
        <v>991</v>
      </c>
    </row>
    <row r="421" spans="1:11" ht="58.5" customHeight="1" x14ac:dyDescent="0.25">
      <c r="A421" s="2" t="s">
        <v>897</v>
      </c>
      <c r="B421" s="3" t="s">
        <v>117</v>
      </c>
      <c r="C421" s="6" t="s">
        <v>791</v>
      </c>
      <c r="D421" s="6" t="s">
        <v>108</v>
      </c>
      <c r="E421" s="6" t="s">
        <v>620</v>
      </c>
      <c r="F421" s="6" t="s">
        <v>223</v>
      </c>
      <c r="G421" s="19">
        <f t="shared" ref="G421:I422" si="86">G422</f>
        <v>51.020409999999998</v>
      </c>
      <c r="H421" s="19">
        <f t="shared" si="86"/>
        <v>0</v>
      </c>
      <c r="I421" s="19">
        <f t="shared" si="86"/>
        <v>0</v>
      </c>
    </row>
    <row r="422" spans="1:11" ht="41.4" x14ac:dyDescent="0.25">
      <c r="A422" s="2" t="s">
        <v>748</v>
      </c>
      <c r="B422" s="3" t="s">
        <v>117</v>
      </c>
      <c r="C422" s="6" t="s">
        <v>791</v>
      </c>
      <c r="D422" s="6" t="s">
        <v>108</v>
      </c>
      <c r="E422" s="6" t="s">
        <v>620</v>
      </c>
      <c r="F422" s="6" t="s">
        <v>747</v>
      </c>
      <c r="G422" s="19">
        <f t="shared" si="86"/>
        <v>51.020409999999998</v>
      </c>
      <c r="H422" s="19">
        <f t="shared" si="86"/>
        <v>0</v>
      </c>
      <c r="I422" s="19">
        <f t="shared" si="86"/>
        <v>0</v>
      </c>
    </row>
    <row r="423" spans="1:11" ht="20.399999999999999" customHeight="1" x14ac:dyDescent="0.25">
      <c r="A423" s="2" t="s">
        <v>124</v>
      </c>
      <c r="B423" s="3" t="s">
        <v>117</v>
      </c>
      <c r="C423" s="6" t="s">
        <v>791</v>
      </c>
      <c r="D423" s="6" t="s">
        <v>108</v>
      </c>
      <c r="E423" s="6" t="s">
        <v>620</v>
      </c>
      <c r="F423" s="6" t="s">
        <v>165</v>
      </c>
      <c r="G423" s="19">
        <f>'5'!D164</f>
        <v>51.020409999999998</v>
      </c>
      <c r="H423" s="19">
        <f>'5'!E164</f>
        <v>0</v>
      </c>
      <c r="I423" s="19">
        <f>'5'!F164</f>
        <v>0</v>
      </c>
    </row>
    <row r="424" spans="1:11" ht="123" customHeight="1" x14ac:dyDescent="0.25">
      <c r="A424" s="21" t="s">
        <v>898</v>
      </c>
      <c r="B424" s="28" t="s">
        <v>117</v>
      </c>
      <c r="C424" s="8" t="s">
        <v>791</v>
      </c>
      <c r="D424" s="8" t="s">
        <v>108</v>
      </c>
      <c r="E424" s="8" t="s">
        <v>620</v>
      </c>
      <c r="F424" s="8" t="s">
        <v>223</v>
      </c>
      <c r="G424" s="19">
        <f t="shared" ref="G424:I425" si="87">G425</f>
        <v>1.031E-2</v>
      </c>
      <c r="H424" s="19">
        <f t="shared" si="87"/>
        <v>0</v>
      </c>
      <c r="I424" s="19">
        <f t="shared" si="87"/>
        <v>0</v>
      </c>
    </row>
    <row r="425" spans="1:11" ht="48" customHeight="1" x14ac:dyDescent="0.25">
      <c r="A425" s="21" t="s">
        <v>748</v>
      </c>
      <c r="B425" s="28" t="s">
        <v>117</v>
      </c>
      <c r="C425" s="8" t="s">
        <v>791</v>
      </c>
      <c r="D425" s="8" t="s">
        <v>108</v>
      </c>
      <c r="E425" s="8" t="s">
        <v>620</v>
      </c>
      <c r="F425" s="8" t="s">
        <v>747</v>
      </c>
      <c r="G425" s="19">
        <f t="shared" si="87"/>
        <v>1.031E-2</v>
      </c>
      <c r="H425" s="19">
        <f t="shared" si="87"/>
        <v>0</v>
      </c>
      <c r="I425" s="19">
        <f t="shared" si="87"/>
        <v>0</v>
      </c>
    </row>
    <row r="426" spans="1:11" ht="20.399999999999999" customHeight="1" x14ac:dyDescent="0.25">
      <c r="A426" s="21" t="s">
        <v>124</v>
      </c>
      <c r="B426" s="28" t="s">
        <v>117</v>
      </c>
      <c r="C426" s="8" t="s">
        <v>791</v>
      </c>
      <c r="D426" s="8" t="s">
        <v>108</v>
      </c>
      <c r="E426" s="6" t="s">
        <v>620</v>
      </c>
      <c r="F426" s="6" t="s">
        <v>165</v>
      </c>
      <c r="G426" s="19">
        <f>'5'!D165</f>
        <v>1.031E-2</v>
      </c>
      <c r="H426" s="19">
        <f>'5'!E165</f>
        <v>0</v>
      </c>
      <c r="I426" s="19">
        <f>'5'!F165</f>
        <v>0</v>
      </c>
    </row>
    <row r="427" spans="1:11" ht="46.2" customHeight="1" x14ac:dyDescent="0.25">
      <c r="A427" s="55" t="s">
        <v>893</v>
      </c>
      <c r="B427" s="56" t="s">
        <v>117</v>
      </c>
      <c r="C427" s="36" t="s">
        <v>791</v>
      </c>
      <c r="D427" s="36" t="s">
        <v>108</v>
      </c>
      <c r="E427" s="36" t="s">
        <v>59</v>
      </c>
      <c r="F427" s="36" t="s">
        <v>223</v>
      </c>
      <c r="G427" s="20">
        <f>G428+G430</f>
        <v>9285.8253499999992</v>
      </c>
      <c r="H427" s="35">
        <f>H428+H430</f>
        <v>0</v>
      </c>
      <c r="I427" s="35">
        <f>I428+I430</f>
        <v>0</v>
      </c>
    </row>
    <row r="428" spans="1:11" ht="74.25" customHeight="1" x14ac:dyDescent="0.25">
      <c r="A428" s="15" t="s">
        <v>894</v>
      </c>
      <c r="B428" s="57" t="s">
        <v>117</v>
      </c>
      <c r="C428" s="29" t="s">
        <v>791</v>
      </c>
      <c r="D428" s="29" t="s">
        <v>108</v>
      </c>
      <c r="E428" s="29" t="s">
        <v>467</v>
      </c>
      <c r="F428" s="29" t="s">
        <v>747</v>
      </c>
      <c r="G428" s="128">
        <f>G429</f>
        <v>9192.9670999999998</v>
      </c>
      <c r="H428" s="26">
        <f>H429</f>
        <v>0</v>
      </c>
      <c r="I428" s="26">
        <f>I429</f>
        <v>0</v>
      </c>
    </row>
    <row r="429" spans="1:11" ht="15.75" customHeight="1" x14ac:dyDescent="0.25">
      <c r="A429" s="21" t="s">
        <v>124</v>
      </c>
      <c r="B429" s="57" t="s">
        <v>117</v>
      </c>
      <c r="C429" s="29" t="s">
        <v>791</v>
      </c>
      <c r="D429" s="29" t="s">
        <v>108</v>
      </c>
      <c r="E429" s="29" t="s">
        <v>467</v>
      </c>
      <c r="F429" s="8" t="s">
        <v>165</v>
      </c>
      <c r="G429" s="19">
        <f>'5'!D155</f>
        <v>9192.9670999999998</v>
      </c>
      <c r="H429" s="19">
        <f>'5'!E155</f>
        <v>0</v>
      </c>
      <c r="I429" s="19">
        <f>'5'!F155</f>
        <v>0</v>
      </c>
    </row>
    <row r="430" spans="1:11" ht="88.95" customHeight="1" x14ac:dyDescent="0.25">
      <c r="A430" s="15" t="s">
        <v>466</v>
      </c>
      <c r="B430" s="57" t="s">
        <v>117</v>
      </c>
      <c r="C430" s="29" t="s">
        <v>791</v>
      </c>
      <c r="D430" s="29" t="s">
        <v>108</v>
      </c>
      <c r="E430" s="29" t="s">
        <v>468</v>
      </c>
      <c r="F430" s="29" t="s">
        <v>747</v>
      </c>
      <c r="G430" s="128">
        <f>G431</f>
        <v>92.858249999999998</v>
      </c>
      <c r="H430" s="26">
        <f>H431</f>
        <v>0</v>
      </c>
      <c r="I430" s="26">
        <f>I431</f>
        <v>0</v>
      </c>
    </row>
    <row r="431" spans="1:11" ht="15.75" customHeight="1" x14ac:dyDescent="0.25">
      <c r="A431" s="21" t="s">
        <v>124</v>
      </c>
      <c r="B431" s="57" t="s">
        <v>117</v>
      </c>
      <c r="C431" s="29" t="s">
        <v>791</v>
      </c>
      <c r="D431" s="29" t="s">
        <v>108</v>
      </c>
      <c r="E431" s="29" t="s">
        <v>468</v>
      </c>
      <c r="F431" s="8" t="s">
        <v>165</v>
      </c>
      <c r="G431" s="19">
        <f>'5'!D156</f>
        <v>92.858249999999998</v>
      </c>
      <c r="H431" s="19">
        <f>'5'!E156</f>
        <v>0</v>
      </c>
      <c r="I431" s="19">
        <f>'5'!F156</f>
        <v>0</v>
      </c>
    </row>
    <row r="432" spans="1:11" ht="15.75" hidden="1" customHeight="1" x14ac:dyDescent="0.25">
      <c r="A432" s="21"/>
      <c r="B432" s="28"/>
      <c r="C432" s="8"/>
      <c r="D432" s="8"/>
      <c r="E432" s="8"/>
      <c r="F432" s="8"/>
      <c r="G432" s="19"/>
      <c r="H432" s="24"/>
      <c r="I432" s="24"/>
    </row>
    <row r="433" spans="1:9" ht="89.25" hidden="1" customHeight="1" x14ac:dyDescent="0.25">
      <c r="A433" s="21" t="s">
        <v>408</v>
      </c>
      <c r="B433" s="28">
        <v>951</v>
      </c>
      <c r="C433" s="8" t="s">
        <v>791</v>
      </c>
      <c r="D433" s="8" t="s">
        <v>108</v>
      </c>
      <c r="E433" s="8" t="s">
        <v>425</v>
      </c>
      <c r="F433" s="8" t="s">
        <v>223</v>
      </c>
      <c r="G433" s="19">
        <f>G434</f>
        <v>0</v>
      </c>
      <c r="H433" s="24">
        <f>H434</f>
        <v>0</v>
      </c>
      <c r="I433" s="24">
        <f>I434</f>
        <v>0</v>
      </c>
    </row>
    <row r="434" spans="1:9" ht="15.75" hidden="1" customHeight="1" x14ac:dyDescent="0.25">
      <c r="A434" s="21" t="s">
        <v>124</v>
      </c>
      <c r="B434" s="28">
        <v>951</v>
      </c>
      <c r="C434" s="8" t="s">
        <v>791</v>
      </c>
      <c r="D434" s="8" t="s">
        <v>108</v>
      </c>
      <c r="E434" s="8" t="s">
        <v>425</v>
      </c>
      <c r="F434" s="8" t="s">
        <v>165</v>
      </c>
      <c r="G434" s="19"/>
      <c r="H434" s="24"/>
      <c r="I434" s="24"/>
    </row>
    <row r="435" spans="1:9" s="59" customFormat="1" ht="62.4" customHeight="1" x14ac:dyDescent="0.3">
      <c r="A435" s="329" t="s">
        <v>294</v>
      </c>
      <c r="B435" s="56">
        <v>951</v>
      </c>
      <c r="C435" s="36" t="s">
        <v>791</v>
      </c>
      <c r="D435" s="36" t="s">
        <v>108</v>
      </c>
      <c r="E435" s="36" t="s">
        <v>62</v>
      </c>
      <c r="F435" s="36" t="s">
        <v>223</v>
      </c>
      <c r="G435" s="20">
        <f>G436</f>
        <v>3824.1</v>
      </c>
      <c r="H435" s="35">
        <f t="shared" ref="H435:I437" si="88">H436</f>
        <v>3524.1</v>
      </c>
      <c r="I435" s="35">
        <f t="shared" si="88"/>
        <v>3524.1</v>
      </c>
    </row>
    <row r="436" spans="1:9" ht="41.4" x14ac:dyDescent="0.25">
      <c r="A436" s="21" t="s">
        <v>748</v>
      </c>
      <c r="B436" s="28">
        <v>951</v>
      </c>
      <c r="C436" s="8" t="s">
        <v>791</v>
      </c>
      <c r="D436" s="8" t="s">
        <v>108</v>
      </c>
      <c r="E436" s="8" t="s">
        <v>62</v>
      </c>
      <c r="F436" s="8" t="s">
        <v>223</v>
      </c>
      <c r="G436" s="19">
        <f>G437</f>
        <v>3824.1</v>
      </c>
      <c r="H436" s="24">
        <f t="shared" si="88"/>
        <v>3524.1</v>
      </c>
      <c r="I436" s="24">
        <f t="shared" si="88"/>
        <v>3524.1</v>
      </c>
    </row>
    <row r="437" spans="1:9" ht="27.6" x14ac:dyDescent="0.25">
      <c r="A437" s="21" t="s">
        <v>992</v>
      </c>
      <c r="B437" s="28">
        <v>951</v>
      </c>
      <c r="C437" s="8" t="s">
        <v>791</v>
      </c>
      <c r="D437" s="8" t="s">
        <v>108</v>
      </c>
      <c r="E437" s="8" t="s">
        <v>62</v>
      </c>
      <c r="F437" s="8" t="s">
        <v>747</v>
      </c>
      <c r="G437" s="19">
        <f>G438</f>
        <v>3824.1</v>
      </c>
      <c r="H437" s="24">
        <f t="shared" si="88"/>
        <v>3524.1</v>
      </c>
      <c r="I437" s="24">
        <f t="shared" si="88"/>
        <v>3524.1</v>
      </c>
    </row>
    <row r="438" spans="1:9" ht="16.5" customHeight="1" x14ac:dyDescent="0.25">
      <c r="A438" s="21" t="s">
        <v>124</v>
      </c>
      <c r="B438" s="28">
        <v>951</v>
      </c>
      <c r="C438" s="8" t="s">
        <v>791</v>
      </c>
      <c r="D438" s="8" t="s">
        <v>108</v>
      </c>
      <c r="E438" s="8" t="s">
        <v>62</v>
      </c>
      <c r="F438" s="8" t="s">
        <v>165</v>
      </c>
      <c r="G438" s="19">
        <f>'5'!D167</f>
        <v>3824.1</v>
      </c>
      <c r="H438" s="19">
        <f>'5'!E167</f>
        <v>3524.1</v>
      </c>
      <c r="I438" s="19">
        <f>'5'!F167</f>
        <v>3524.1</v>
      </c>
    </row>
    <row r="439" spans="1:9" s="59" customFormat="1" ht="97.5" customHeight="1" x14ac:dyDescent="0.3">
      <c r="A439" s="55" t="s">
        <v>887</v>
      </c>
      <c r="B439" s="56">
        <v>951</v>
      </c>
      <c r="C439" s="36" t="s">
        <v>791</v>
      </c>
      <c r="D439" s="36" t="s">
        <v>108</v>
      </c>
      <c r="E439" s="115" t="s">
        <v>888</v>
      </c>
      <c r="F439" s="36" t="s">
        <v>223</v>
      </c>
      <c r="G439" s="35">
        <f>G440+G441</f>
        <v>1611.31423</v>
      </c>
      <c r="H439" s="35">
        <f>H440+H441</f>
        <v>0</v>
      </c>
      <c r="I439" s="35">
        <f>I440+I441</f>
        <v>0</v>
      </c>
    </row>
    <row r="440" spans="1:9" ht="100.2" customHeight="1" x14ac:dyDescent="0.25">
      <c r="A440" s="21" t="s">
        <v>993</v>
      </c>
      <c r="B440" s="28">
        <v>951</v>
      </c>
      <c r="C440" s="8" t="s">
        <v>791</v>
      </c>
      <c r="D440" s="8" t="s">
        <v>108</v>
      </c>
      <c r="E440" s="6" t="s">
        <v>555</v>
      </c>
      <c r="F440" s="8" t="s">
        <v>165</v>
      </c>
      <c r="G440" s="24">
        <f>'5'!D169</f>
        <v>1608.7142899999999</v>
      </c>
      <c r="H440" s="24">
        <f>'5'!E169</f>
        <v>0</v>
      </c>
      <c r="I440" s="24">
        <f>'5'!F169</f>
        <v>0</v>
      </c>
    </row>
    <row r="441" spans="1:9" ht="117" customHeight="1" x14ac:dyDescent="0.25">
      <c r="A441" s="21" t="s">
        <v>994</v>
      </c>
      <c r="B441" s="28">
        <v>951</v>
      </c>
      <c r="C441" s="8" t="s">
        <v>791</v>
      </c>
      <c r="D441" s="8" t="s">
        <v>108</v>
      </c>
      <c r="E441" s="6" t="s">
        <v>555</v>
      </c>
      <c r="F441" s="8" t="s">
        <v>165</v>
      </c>
      <c r="G441" s="19">
        <f>'5'!D170</f>
        <v>2.5999400000000001</v>
      </c>
      <c r="H441" s="24">
        <f>'5'!E170</f>
        <v>0</v>
      </c>
      <c r="I441" s="24">
        <f>'5'!F170</f>
        <v>0</v>
      </c>
    </row>
    <row r="442" spans="1:9" ht="63" customHeight="1" x14ac:dyDescent="0.25">
      <c r="A442" s="55" t="s">
        <v>330</v>
      </c>
      <c r="B442" s="56">
        <v>951</v>
      </c>
      <c r="C442" s="36" t="s">
        <v>791</v>
      </c>
      <c r="D442" s="36" t="s">
        <v>108</v>
      </c>
      <c r="E442" s="36" t="s">
        <v>331</v>
      </c>
      <c r="F442" s="36" t="s">
        <v>223</v>
      </c>
      <c r="G442" s="35">
        <f>G446+G443</f>
        <v>169.70202</v>
      </c>
      <c r="H442" s="35">
        <f>H446+H443</f>
        <v>169.70202</v>
      </c>
      <c r="I442" s="35">
        <f>I446+I443</f>
        <v>169.70202</v>
      </c>
    </row>
    <row r="443" spans="1:9" ht="69" customHeight="1" x14ac:dyDescent="0.25">
      <c r="A443" s="21" t="s">
        <v>995</v>
      </c>
      <c r="B443" s="28">
        <v>951</v>
      </c>
      <c r="C443" s="8" t="s">
        <v>791</v>
      </c>
      <c r="D443" s="8" t="s">
        <v>108</v>
      </c>
      <c r="E443" s="8" t="s">
        <v>332</v>
      </c>
      <c r="F443" s="8" t="s">
        <v>223</v>
      </c>
      <c r="G443" s="24">
        <f t="shared" ref="G443:I444" si="89">G444</f>
        <v>168.005</v>
      </c>
      <c r="H443" s="24">
        <f t="shared" si="89"/>
        <v>168.005</v>
      </c>
      <c r="I443" s="24">
        <f t="shared" si="89"/>
        <v>168.005</v>
      </c>
    </row>
    <row r="444" spans="1:9" ht="48.75" customHeight="1" x14ac:dyDescent="0.25">
      <c r="A444" s="21" t="s">
        <v>748</v>
      </c>
      <c r="B444" s="28">
        <v>951</v>
      </c>
      <c r="C444" s="8" t="s">
        <v>791</v>
      </c>
      <c r="D444" s="8" t="s">
        <v>108</v>
      </c>
      <c r="E444" s="8" t="s">
        <v>332</v>
      </c>
      <c r="F444" s="8" t="s">
        <v>747</v>
      </c>
      <c r="G444" s="24">
        <f t="shared" si="89"/>
        <v>168.005</v>
      </c>
      <c r="H444" s="24">
        <f t="shared" si="89"/>
        <v>168.005</v>
      </c>
      <c r="I444" s="24">
        <f t="shared" si="89"/>
        <v>168.005</v>
      </c>
    </row>
    <row r="445" spans="1:9" ht="20.25" customHeight="1" x14ac:dyDescent="0.25">
      <c r="A445" s="21" t="s">
        <v>124</v>
      </c>
      <c r="B445" s="28">
        <v>951</v>
      </c>
      <c r="C445" s="8" t="s">
        <v>791</v>
      </c>
      <c r="D445" s="8" t="s">
        <v>108</v>
      </c>
      <c r="E445" s="8" t="s">
        <v>332</v>
      </c>
      <c r="F445" s="8" t="s">
        <v>165</v>
      </c>
      <c r="G445" s="24">
        <f>'5'!D172</f>
        <v>168.005</v>
      </c>
      <c r="H445" s="24">
        <v>168.005</v>
      </c>
      <c r="I445" s="24">
        <v>168.005</v>
      </c>
    </row>
    <row r="446" spans="1:9" ht="87.6" customHeight="1" x14ac:dyDescent="0.25">
      <c r="A446" s="21" t="s">
        <v>996</v>
      </c>
      <c r="B446" s="28">
        <v>951</v>
      </c>
      <c r="C446" s="8" t="s">
        <v>791</v>
      </c>
      <c r="D446" s="8" t="s">
        <v>108</v>
      </c>
      <c r="E446" s="8" t="s">
        <v>586</v>
      </c>
      <c r="F446" s="8" t="s">
        <v>223</v>
      </c>
      <c r="G446" s="24">
        <f t="shared" ref="G446:I447" si="90">G447</f>
        <v>1.69702</v>
      </c>
      <c r="H446" s="24">
        <f t="shared" si="90"/>
        <v>1.69702</v>
      </c>
      <c r="I446" s="24">
        <f t="shared" si="90"/>
        <v>1.69702</v>
      </c>
    </row>
    <row r="447" spans="1:9" ht="47.25" customHeight="1" x14ac:dyDescent="0.25">
      <c r="A447" s="21" t="s">
        <v>748</v>
      </c>
      <c r="B447" s="28">
        <v>951</v>
      </c>
      <c r="C447" s="8" t="s">
        <v>791</v>
      </c>
      <c r="D447" s="8" t="s">
        <v>108</v>
      </c>
      <c r="E447" s="8" t="s">
        <v>586</v>
      </c>
      <c r="F447" s="8" t="s">
        <v>747</v>
      </c>
      <c r="G447" s="24">
        <f t="shared" si="90"/>
        <v>1.69702</v>
      </c>
      <c r="H447" s="24">
        <f t="shared" si="90"/>
        <v>1.69702</v>
      </c>
      <c r="I447" s="24">
        <f t="shared" si="90"/>
        <v>1.69702</v>
      </c>
    </row>
    <row r="448" spans="1:9" ht="18" customHeight="1" x14ac:dyDescent="0.25">
      <c r="A448" s="21" t="s">
        <v>124</v>
      </c>
      <c r="B448" s="28">
        <v>951</v>
      </c>
      <c r="C448" s="8" t="s">
        <v>791</v>
      </c>
      <c r="D448" s="8" t="s">
        <v>108</v>
      </c>
      <c r="E448" s="8" t="s">
        <v>586</v>
      </c>
      <c r="F448" s="8" t="s">
        <v>165</v>
      </c>
      <c r="G448" s="24">
        <f>'5'!D173</f>
        <v>1.69702</v>
      </c>
      <c r="H448" s="24">
        <v>1.69702</v>
      </c>
      <c r="I448" s="24">
        <v>1.69702</v>
      </c>
    </row>
    <row r="449" spans="1:9" ht="92.4" customHeight="1" x14ac:dyDescent="0.25">
      <c r="A449" s="329" t="s">
        <v>295</v>
      </c>
      <c r="B449" s="28" t="s">
        <v>117</v>
      </c>
      <c r="C449" s="8" t="s">
        <v>791</v>
      </c>
      <c r="D449" s="8" t="s">
        <v>108</v>
      </c>
      <c r="E449" s="8" t="s">
        <v>63</v>
      </c>
      <c r="F449" s="8" t="s">
        <v>223</v>
      </c>
      <c r="G449" s="24">
        <f>G450</f>
        <v>2129.5</v>
      </c>
      <c r="H449" s="24">
        <f>H450</f>
        <v>1949.5</v>
      </c>
      <c r="I449" s="24">
        <f t="shared" ref="G449:I450" si="91">I450</f>
        <v>1949.5</v>
      </c>
    </row>
    <row r="450" spans="1:9" ht="41.4" x14ac:dyDescent="0.25">
      <c r="A450" s="21" t="s">
        <v>748</v>
      </c>
      <c r="B450" s="28" t="s">
        <v>117</v>
      </c>
      <c r="C450" s="8" t="s">
        <v>791</v>
      </c>
      <c r="D450" s="8" t="s">
        <v>108</v>
      </c>
      <c r="E450" s="8" t="s">
        <v>63</v>
      </c>
      <c r="F450" s="8" t="s">
        <v>747</v>
      </c>
      <c r="G450" s="24">
        <f t="shared" si="91"/>
        <v>2129.5</v>
      </c>
      <c r="H450" s="24">
        <f t="shared" si="91"/>
        <v>1949.5</v>
      </c>
      <c r="I450" s="24">
        <f t="shared" si="91"/>
        <v>1949.5</v>
      </c>
    </row>
    <row r="451" spans="1:9" x14ac:dyDescent="0.25">
      <c r="A451" s="21" t="s">
        <v>124</v>
      </c>
      <c r="B451" s="28" t="s">
        <v>117</v>
      </c>
      <c r="C451" s="8" t="s">
        <v>791</v>
      </c>
      <c r="D451" s="8" t="s">
        <v>108</v>
      </c>
      <c r="E451" s="8" t="s">
        <v>63</v>
      </c>
      <c r="F451" s="8" t="s">
        <v>165</v>
      </c>
      <c r="G451" s="24">
        <f>'5'!D175</f>
        <v>2129.5</v>
      </c>
      <c r="H451" s="24">
        <f>'5'!E175</f>
        <v>1949.5</v>
      </c>
      <c r="I451" s="24">
        <f>'5'!F175</f>
        <v>1949.5</v>
      </c>
    </row>
    <row r="452" spans="1:9" ht="69" hidden="1" x14ac:dyDescent="0.25">
      <c r="A452" s="21" t="s">
        <v>997</v>
      </c>
      <c r="B452" s="28" t="s">
        <v>117</v>
      </c>
      <c r="C452" s="8" t="s">
        <v>791</v>
      </c>
      <c r="D452" s="8" t="s">
        <v>108</v>
      </c>
      <c r="E452" s="8" t="s">
        <v>998</v>
      </c>
      <c r="F452" s="8" t="s">
        <v>223</v>
      </c>
      <c r="G452" s="24">
        <f t="shared" ref="G452:I453" si="92">G453</f>
        <v>0</v>
      </c>
      <c r="H452" s="24">
        <f t="shared" si="92"/>
        <v>0</v>
      </c>
      <c r="I452" s="24">
        <f t="shared" si="92"/>
        <v>0</v>
      </c>
    </row>
    <row r="453" spans="1:9" ht="41.4" hidden="1" x14ac:dyDescent="0.25">
      <c r="A453" s="21" t="s">
        <v>748</v>
      </c>
      <c r="B453" s="28" t="s">
        <v>117</v>
      </c>
      <c r="C453" s="8" t="s">
        <v>791</v>
      </c>
      <c r="D453" s="8" t="s">
        <v>108</v>
      </c>
      <c r="E453" s="8" t="s">
        <v>998</v>
      </c>
      <c r="F453" s="8" t="s">
        <v>747</v>
      </c>
      <c r="G453" s="24">
        <f t="shared" si="92"/>
        <v>0</v>
      </c>
      <c r="H453" s="24">
        <f t="shared" si="92"/>
        <v>0</v>
      </c>
      <c r="I453" s="24">
        <f t="shared" si="92"/>
        <v>0</v>
      </c>
    </row>
    <row r="454" spans="1:9" hidden="1" x14ac:dyDescent="0.25">
      <c r="A454" s="21" t="s">
        <v>124</v>
      </c>
      <c r="B454" s="28" t="s">
        <v>117</v>
      </c>
      <c r="C454" s="8" t="s">
        <v>791</v>
      </c>
      <c r="D454" s="8" t="s">
        <v>108</v>
      </c>
      <c r="E454" s="8" t="s">
        <v>998</v>
      </c>
      <c r="F454" s="8" t="s">
        <v>165</v>
      </c>
      <c r="G454" s="24"/>
      <c r="H454" s="24"/>
      <c r="I454" s="24"/>
    </row>
    <row r="455" spans="1:9" ht="27.6" x14ac:dyDescent="0.25">
      <c r="A455" s="362" t="s">
        <v>899</v>
      </c>
      <c r="B455" s="363">
        <v>951</v>
      </c>
      <c r="C455" s="364" t="s">
        <v>791</v>
      </c>
      <c r="D455" s="364" t="s">
        <v>113</v>
      </c>
      <c r="E455" s="364" t="s">
        <v>699</v>
      </c>
      <c r="F455" s="364" t="s">
        <v>223</v>
      </c>
      <c r="G455" s="365">
        <f>G456+G483+G485+G480+G488</f>
        <v>2771.2959000000001</v>
      </c>
      <c r="H455" s="365">
        <f>H456+H483+H485+H480+H488</f>
        <v>1471.2</v>
      </c>
      <c r="I455" s="365">
        <f>I456+I483+I485+I480+I488</f>
        <v>1471.2</v>
      </c>
    </row>
    <row r="456" spans="1:9" s="76" customFormat="1" ht="45.6" customHeight="1" x14ac:dyDescent="0.25">
      <c r="A456" s="34" t="s">
        <v>884</v>
      </c>
      <c r="B456" s="31" t="s">
        <v>117</v>
      </c>
      <c r="C456" s="32" t="s">
        <v>791</v>
      </c>
      <c r="D456" s="32" t="s">
        <v>113</v>
      </c>
      <c r="E456" s="32" t="s">
        <v>999</v>
      </c>
      <c r="F456" s="32" t="s">
        <v>223</v>
      </c>
      <c r="G456" s="33">
        <f>G457+G460+G467+G470+G473</f>
        <v>2249.2959000000001</v>
      </c>
      <c r="H456" s="33">
        <f>H457+H460+H467+H470+H473</f>
        <v>1347.2</v>
      </c>
      <c r="I456" s="33">
        <f>I457+I460+I467+I470+I473</f>
        <v>1347.2</v>
      </c>
    </row>
    <row r="457" spans="1:9" ht="37.5" customHeight="1" x14ac:dyDescent="0.25">
      <c r="A457" s="329" t="s">
        <v>900</v>
      </c>
      <c r="B457" s="28">
        <v>951</v>
      </c>
      <c r="C457" s="8" t="s">
        <v>791</v>
      </c>
      <c r="D457" s="8" t="s">
        <v>113</v>
      </c>
      <c r="E457" s="8" t="s">
        <v>64</v>
      </c>
      <c r="F457" s="8" t="s">
        <v>223</v>
      </c>
      <c r="G457" s="24">
        <f t="shared" ref="G457:I458" si="93">G458</f>
        <v>1527.2</v>
      </c>
      <c r="H457" s="24">
        <f t="shared" si="93"/>
        <v>1347.2</v>
      </c>
      <c r="I457" s="24">
        <f t="shared" si="93"/>
        <v>1347.2</v>
      </c>
    </row>
    <row r="458" spans="1:9" ht="46.2" customHeight="1" x14ac:dyDescent="0.25">
      <c r="A458" s="21" t="s">
        <v>748</v>
      </c>
      <c r="B458" s="28">
        <v>951</v>
      </c>
      <c r="C458" s="8" t="s">
        <v>791</v>
      </c>
      <c r="D458" s="8" t="s">
        <v>113</v>
      </c>
      <c r="E458" s="8" t="s">
        <v>64</v>
      </c>
      <c r="F458" s="8" t="s">
        <v>747</v>
      </c>
      <c r="G458" s="24">
        <f t="shared" si="93"/>
        <v>1527.2</v>
      </c>
      <c r="H458" s="24">
        <f t="shared" si="93"/>
        <v>1347.2</v>
      </c>
      <c r="I458" s="24">
        <f t="shared" si="93"/>
        <v>1347.2</v>
      </c>
    </row>
    <row r="459" spans="1:9" ht="17.100000000000001" customHeight="1" x14ac:dyDescent="0.25">
      <c r="A459" s="21" t="s">
        <v>124</v>
      </c>
      <c r="B459" s="28">
        <v>951</v>
      </c>
      <c r="C459" s="8" t="s">
        <v>791</v>
      </c>
      <c r="D459" s="8" t="s">
        <v>113</v>
      </c>
      <c r="E459" s="8" t="s">
        <v>64</v>
      </c>
      <c r="F459" s="8" t="s">
        <v>165</v>
      </c>
      <c r="G459" s="24">
        <f>'5'!D180</f>
        <v>1527.2</v>
      </c>
      <c r="H459" s="24">
        <f>'5'!E180</f>
        <v>1347.2</v>
      </c>
      <c r="I459" s="24">
        <f>'5'!F180</f>
        <v>1347.2</v>
      </c>
    </row>
    <row r="460" spans="1:9" ht="43.95" hidden="1" customHeight="1" x14ac:dyDescent="0.25">
      <c r="A460" s="55" t="s">
        <v>464</v>
      </c>
      <c r="B460" s="56" t="s">
        <v>117</v>
      </c>
      <c r="C460" s="36" t="s">
        <v>791</v>
      </c>
      <c r="D460" s="36" t="s">
        <v>113</v>
      </c>
      <c r="E460" s="36" t="s">
        <v>59</v>
      </c>
      <c r="F460" s="36" t="s">
        <v>223</v>
      </c>
      <c r="G460" s="35">
        <f>G464+G461</f>
        <v>0</v>
      </c>
      <c r="H460" s="35">
        <f>H464+H461</f>
        <v>0</v>
      </c>
      <c r="I460" s="35">
        <f>I464+I461</f>
        <v>0</v>
      </c>
    </row>
    <row r="461" spans="1:9" ht="55.95" hidden="1" customHeight="1" x14ac:dyDescent="0.25">
      <c r="A461" s="15" t="s">
        <v>465</v>
      </c>
      <c r="B461" s="28" t="s">
        <v>117</v>
      </c>
      <c r="C461" s="8" t="s">
        <v>791</v>
      </c>
      <c r="D461" s="8" t="s">
        <v>113</v>
      </c>
      <c r="E461" s="8" t="s">
        <v>467</v>
      </c>
      <c r="F461" s="8" t="s">
        <v>223</v>
      </c>
      <c r="G461" s="24">
        <f t="shared" ref="G461:I462" si="94">G462</f>
        <v>0</v>
      </c>
      <c r="H461" s="24">
        <f t="shared" si="94"/>
        <v>0</v>
      </c>
      <c r="I461" s="24">
        <f t="shared" si="94"/>
        <v>0</v>
      </c>
    </row>
    <row r="462" spans="1:9" ht="45" hidden="1" customHeight="1" x14ac:dyDescent="0.25">
      <c r="A462" s="21" t="s">
        <v>748</v>
      </c>
      <c r="B462" s="28" t="s">
        <v>117</v>
      </c>
      <c r="C462" s="8" t="s">
        <v>791</v>
      </c>
      <c r="D462" s="8" t="s">
        <v>113</v>
      </c>
      <c r="E462" s="8" t="s">
        <v>467</v>
      </c>
      <c r="F462" s="8" t="s">
        <v>747</v>
      </c>
      <c r="G462" s="24">
        <f t="shared" si="94"/>
        <v>0</v>
      </c>
      <c r="H462" s="24">
        <f t="shared" si="94"/>
        <v>0</v>
      </c>
      <c r="I462" s="24">
        <f t="shared" si="94"/>
        <v>0</v>
      </c>
    </row>
    <row r="463" spans="1:9" ht="20.399999999999999" hidden="1" customHeight="1" x14ac:dyDescent="0.25">
      <c r="A463" s="21" t="s">
        <v>124</v>
      </c>
      <c r="B463" s="28" t="s">
        <v>117</v>
      </c>
      <c r="C463" s="8" t="s">
        <v>791</v>
      </c>
      <c r="D463" s="8" t="s">
        <v>113</v>
      </c>
      <c r="E463" s="8" t="s">
        <v>467</v>
      </c>
      <c r="F463" s="8" t="s">
        <v>165</v>
      </c>
      <c r="G463" s="24"/>
      <c r="H463" s="24"/>
      <c r="I463" s="24"/>
    </row>
    <row r="464" spans="1:9" ht="76.2" hidden="1" customHeight="1" x14ac:dyDescent="0.25">
      <c r="A464" s="15" t="s">
        <v>466</v>
      </c>
      <c r="B464" s="28" t="s">
        <v>117</v>
      </c>
      <c r="C464" s="8" t="s">
        <v>791</v>
      </c>
      <c r="D464" s="8" t="s">
        <v>113</v>
      </c>
      <c r="E464" s="8" t="s">
        <v>468</v>
      </c>
      <c r="F464" s="8" t="s">
        <v>223</v>
      </c>
      <c r="G464" s="24">
        <f t="shared" ref="G464:I465" si="95">G465</f>
        <v>0</v>
      </c>
      <c r="H464" s="24">
        <f t="shared" si="95"/>
        <v>0</v>
      </c>
      <c r="I464" s="24">
        <f t="shared" si="95"/>
        <v>0</v>
      </c>
    </row>
    <row r="465" spans="1:12" ht="43.2" hidden="1" customHeight="1" x14ac:dyDescent="0.25">
      <c r="A465" s="21" t="s">
        <v>748</v>
      </c>
      <c r="B465" s="28" t="s">
        <v>117</v>
      </c>
      <c r="C465" s="8" t="s">
        <v>791</v>
      </c>
      <c r="D465" s="8" t="s">
        <v>113</v>
      </c>
      <c r="E465" s="8" t="s">
        <v>468</v>
      </c>
      <c r="F465" s="8" t="s">
        <v>747</v>
      </c>
      <c r="G465" s="24">
        <f t="shared" si="95"/>
        <v>0</v>
      </c>
      <c r="H465" s="24">
        <f t="shared" si="95"/>
        <v>0</v>
      </c>
      <c r="I465" s="24">
        <f t="shared" si="95"/>
        <v>0</v>
      </c>
    </row>
    <row r="466" spans="1:12" ht="21" hidden="1" customHeight="1" x14ac:dyDescent="0.25">
      <c r="A466" s="21" t="s">
        <v>124</v>
      </c>
      <c r="B466" s="28" t="s">
        <v>117</v>
      </c>
      <c r="C466" s="8" t="s">
        <v>791</v>
      </c>
      <c r="D466" s="8" t="s">
        <v>113</v>
      </c>
      <c r="E466" s="8" t="s">
        <v>468</v>
      </c>
      <c r="F466" s="8" t="s">
        <v>165</v>
      </c>
      <c r="G466" s="24"/>
      <c r="H466" s="24"/>
      <c r="I466" s="24"/>
    </row>
    <row r="467" spans="1:12" s="59" customFormat="1" ht="29.4" hidden="1" customHeight="1" x14ac:dyDescent="0.3">
      <c r="A467" s="15" t="s">
        <v>902</v>
      </c>
      <c r="B467" s="57" t="s">
        <v>117</v>
      </c>
      <c r="C467" s="29" t="s">
        <v>791</v>
      </c>
      <c r="D467" s="29" t="s">
        <v>113</v>
      </c>
      <c r="E467" s="29" t="s">
        <v>491</v>
      </c>
      <c r="F467" s="29" t="s">
        <v>223</v>
      </c>
      <c r="G467" s="26">
        <f t="shared" ref="G467:I468" si="96">G468</f>
        <v>0</v>
      </c>
      <c r="H467" s="26">
        <f t="shared" si="96"/>
        <v>0</v>
      </c>
      <c r="I467" s="26">
        <f t="shared" si="96"/>
        <v>0</v>
      </c>
    </row>
    <row r="468" spans="1:12" ht="28.5" hidden="1" customHeight="1" x14ac:dyDescent="0.25">
      <c r="A468" s="383" t="s">
        <v>748</v>
      </c>
      <c r="B468" s="28" t="s">
        <v>117</v>
      </c>
      <c r="C468" s="8" t="s">
        <v>791</v>
      </c>
      <c r="D468" s="8" t="s">
        <v>113</v>
      </c>
      <c r="E468" s="29" t="s">
        <v>491</v>
      </c>
      <c r="F468" s="29" t="s">
        <v>747</v>
      </c>
      <c r="G468" s="24">
        <f t="shared" si="96"/>
        <v>0</v>
      </c>
      <c r="H468" s="24">
        <f t="shared" si="96"/>
        <v>0</v>
      </c>
      <c r="I468" s="24">
        <f t="shared" si="96"/>
        <v>0</v>
      </c>
    </row>
    <row r="469" spans="1:12" ht="19.2" hidden="1" customHeight="1" x14ac:dyDescent="0.25">
      <c r="A469" s="383" t="s">
        <v>124</v>
      </c>
      <c r="B469" s="28" t="s">
        <v>117</v>
      </c>
      <c r="C469" s="8" t="s">
        <v>791</v>
      </c>
      <c r="D469" s="8" t="s">
        <v>113</v>
      </c>
      <c r="E469" s="29" t="s">
        <v>491</v>
      </c>
      <c r="F469" s="29" t="s">
        <v>165</v>
      </c>
      <c r="G469" s="24"/>
      <c r="H469" s="24"/>
      <c r="I469" s="24"/>
    </row>
    <row r="470" spans="1:12" s="59" customFormat="1" ht="32.4" hidden="1" customHeight="1" x14ac:dyDescent="0.3">
      <c r="A470" s="15" t="s">
        <v>851</v>
      </c>
      <c r="B470" s="57" t="s">
        <v>117</v>
      </c>
      <c r="C470" s="29" t="s">
        <v>791</v>
      </c>
      <c r="D470" s="29" t="s">
        <v>113</v>
      </c>
      <c r="E470" s="29" t="s">
        <v>492</v>
      </c>
      <c r="F470" s="29" t="s">
        <v>223</v>
      </c>
      <c r="G470" s="26">
        <f t="shared" ref="G470:I471" si="97">G471</f>
        <v>0</v>
      </c>
      <c r="H470" s="26">
        <f t="shared" si="97"/>
        <v>0</v>
      </c>
      <c r="I470" s="26">
        <f t="shared" si="97"/>
        <v>0</v>
      </c>
    </row>
    <row r="471" spans="1:12" ht="44.4" hidden="1" customHeight="1" x14ac:dyDescent="0.25">
      <c r="A471" s="383" t="s">
        <v>748</v>
      </c>
      <c r="B471" s="28" t="s">
        <v>117</v>
      </c>
      <c r="C471" s="8" t="s">
        <v>791</v>
      </c>
      <c r="D471" s="8" t="s">
        <v>113</v>
      </c>
      <c r="E471" s="29" t="s">
        <v>492</v>
      </c>
      <c r="F471" s="8" t="s">
        <v>747</v>
      </c>
      <c r="G471" s="24">
        <f t="shared" si="97"/>
        <v>0</v>
      </c>
      <c r="H471" s="24">
        <f t="shared" si="97"/>
        <v>0</v>
      </c>
      <c r="I471" s="24">
        <f t="shared" si="97"/>
        <v>0</v>
      </c>
    </row>
    <row r="472" spans="1:12" ht="21" hidden="1" customHeight="1" x14ac:dyDescent="0.25">
      <c r="A472" s="383" t="s">
        <v>124</v>
      </c>
      <c r="B472" s="28" t="s">
        <v>117</v>
      </c>
      <c r="C472" s="8" t="s">
        <v>791</v>
      </c>
      <c r="D472" s="8" t="s">
        <v>113</v>
      </c>
      <c r="E472" s="29" t="s">
        <v>492</v>
      </c>
      <c r="F472" s="8" t="s">
        <v>165</v>
      </c>
      <c r="G472" s="24"/>
      <c r="H472" s="24"/>
      <c r="I472" s="24"/>
    </row>
    <row r="473" spans="1:12" s="54" customFormat="1" ht="75" customHeight="1" x14ac:dyDescent="0.25">
      <c r="A473" s="55" t="s">
        <v>588</v>
      </c>
      <c r="B473" s="56" t="s">
        <v>117</v>
      </c>
      <c r="C473" s="36" t="s">
        <v>791</v>
      </c>
      <c r="D473" s="36" t="s">
        <v>113</v>
      </c>
      <c r="E473" s="36" t="s">
        <v>901</v>
      </c>
      <c r="F473" s="36" t="s">
        <v>223</v>
      </c>
      <c r="G473" s="35">
        <f>G474+G477</f>
        <v>722.09590000000003</v>
      </c>
      <c r="H473" s="35">
        <f>H474+H477</f>
        <v>0</v>
      </c>
      <c r="I473" s="35">
        <f>I474+I477</f>
        <v>0</v>
      </c>
    </row>
    <row r="474" spans="1:12" s="59" customFormat="1" ht="85.95" customHeight="1" x14ac:dyDescent="0.3">
      <c r="A474" s="15" t="s">
        <v>512</v>
      </c>
      <c r="B474" s="57" t="s">
        <v>117</v>
      </c>
      <c r="C474" s="29" t="s">
        <v>791</v>
      </c>
      <c r="D474" s="29" t="s">
        <v>113</v>
      </c>
      <c r="E474" s="317" t="s">
        <v>556</v>
      </c>
      <c r="F474" s="29" t="s">
        <v>223</v>
      </c>
      <c r="G474" s="26">
        <f t="shared" ref="G474:I475" si="98">G475</f>
        <v>0</v>
      </c>
      <c r="H474" s="26">
        <f t="shared" si="98"/>
        <v>0</v>
      </c>
      <c r="I474" s="26">
        <f t="shared" si="98"/>
        <v>0</v>
      </c>
    </row>
    <row r="475" spans="1:12" ht="46.2" customHeight="1" x14ac:dyDescent="0.25">
      <c r="A475" s="21" t="s">
        <v>748</v>
      </c>
      <c r="B475" s="28" t="s">
        <v>117</v>
      </c>
      <c r="C475" s="8" t="s">
        <v>791</v>
      </c>
      <c r="D475" s="8" t="s">
        <v>113</v>
      </c>
      <c r="E475" s="6" t="s">
        <v>556</v>
      </c>
      <c r="F475" s="8" t="s">
        <v>747</v>
      </c>
      <c r="G475" s="24">
        <f t="shared" si="98"/>
        <v>0</v>
      </c>
      <c r="H475" s="24">
        <f t="shared" si="98"/>
        <v>0</v>
      </c>
      <c r="I475" s="24">
        <f t="shared" si="98"/>
        <v>0</v>
      </c>
    </row>
    <row r="476" spans="1:12" ht="21" customHeight="1" x14ac:dyDescent="0.25">
      <c r="A476" s="21" t="s">
        <v>124</v>
      </c>
      <c r="B476" s="28" t="s">
        <v>117</v>
      </c>
      <c r="C476" s="8" t="s">
        <v>791</v>
      </c>
      <c r="D476" s="8" t="s">
        <v>113</v>
      </c>
      <c r="E476" s="6" t="s">
        <v>556</v>
      </c>
      <c r="F476" s="8" t="s">
        <v>165</v>
      </c>
      <c r="G476" s="24">
        <f>'5'!D194</f>
        <v>0</v>
      </c>
      <c r="H476" s="24">
        <f>'5'!E194</f>
        <v>0</v>
      </c>
      <c r="I476" s="24">
        <f>'5'!F194</f>
        <v>0</v>
      </c>
      <c r="J476" s="24">
        <f>'5'!G194</f>
        <v>0</v>
      </c>
    </row>
    <row r="477" spans="1:12" s="59" customFormat="1" ht="114" customHeight="1" x14ac:dyDescent="0.3">
      <c r="A477" s="15" t="s">
        <v>1000</v>
      </c>
      <c r="B477" s="57" t="s">
        <v>117</v>
      </c>
      <c r="C477" s="29" t="s">
        <v>791</v>
      </c>
      <c r="D477" s="29" t="s">
        <v>113</v>
      </c>
      <c r="E477" s="317" t="s">
        <v>559</v>
      </c>
      <c r="F477" s="29" t="s">
        <v>223</v>
      </c>
      <c r="G477" s="395">
        <f t="shared" ref="G477:I478" si="99">G478</f>
        <v>722.09590000000003</v>
      </c>
      <c r="H477" s="395">
        <f t="shared" si="99"/>
        <v>0</v>
      </c>
      <c r="I477" s="395">
        <f t="shared" si="99"/>
        <v>0</v>
      </c>
    </row>
    <row r="478" spans="1:12" ht="44.25" customHeight="1" x14ac:dyDescent="0.25">
      <c r="A478" s="383" t="s">
        <v>748</v>
      </c>
      <c r="B478" s="28" t="s">
        <v>117</v>
      </c>
      <c r="C478" s="8" t="s">
        <v>791</v>
      </c>
      <c r="D478" s="8" t="s">
        <v>113</v>
      </c>
      <c r="E478" s="6" t="s">
        <v>559</v>
      </c>
      <c r="F478" s="8" t="s">
        <v>747</v>
      </c>
      <c r="G478" s="396">
        <f t="shared" si="99"/>
        <v>722.09590000000003</v>
      </c>
      <c r="H478" s="396">
        <f t="shared" si="99"/>
        <v>0</v>
      </c>
      <c r="I478" s="396">
        <f t="shared" si="99"/>
        <v>0</v>
      </c>
    </row>
    <row r="479" spans="1:12" ht="28.95" customHeight="1" x14ac:dyDescent="0.25">
      <c r="A479" s="383" t="s">
        <v>124</v>
      </c>
      <c r="B479" s="28" t="s">
        <v>117</v>
      </c>
      <c r="C479" s="8" t="s">
        <v>791</v>
      </c>
      <c r="D479" s="8" t="s">
        <v>113</v>
      </c>
      <c r="E479" s="6" t="s">
        <v>559</v>
      </c>
      <c r="F479" s="8" t="s">
        <v>165</v>
      </c>
      <c r="G479" s="396">
        <f>'5'!D195</f>
        <v>722.09590000000003</v>
      </c>
      <c r="H479" s="396">
        <f>'5'!E195</f>
        <v>0</v>
      </c>
      <c r="I479" s="396">
        <f>'5'!F195</f>
        <v>0</v>
      </c>
    </row>
    <row r="480" spans="1:12" ht="41.4" x14ac:dyDescent="0.25">
      <c r="A480" s="15" t="s">
        <v>757</v>
      </c>
      <c r="B480" s="57">
        <v>951</v>
      </c>
      <c r="C480" s="29" t="s">
        <v>791</v>
      </c>
      <c r="D480" s="29" t="s">
        <v>113</v>
      </c>
      <c r="E480" s="29" t="s">
        <v>22</v>
      </c>
      <c r="F480" s="29" t="s">
        <v>223</v>
      </c>
      <c r="G480" s="26">
        <f t="shared" ref="G480:I481" si="100">G481</f>
        <v>39</v>
      </c>
      <c r="H480" s="26">
        <f t="shared" si="100"/>
        <v>39</v>
      </c>
      <c r="I480" s="26">
        <f t="shared" si="100"/>
        <v>39</v>
      </c>
      <c r="J480" s="397"/>
      <c r="K480" s="397"/>
      <c r="L480" s="397"/>
    </row>
    <row r="481" spans="1:9" ht="27.6" x14ac:dyDescent="0.25">
      <c r="A481" s="21" t="s">
        <v>903</v>
      </c>
      <c r="B481" s="28">
        <v>951</v>
      </c>
      <c r="C481" s="8" t="s">
        <v>791</v>
      </c>
      <c r="D481" s="8" t="s">
        <v>113</v>
      </c>
      <c r="E481" s="8" t="s">
        <v>1001</v>
      </c>
      <c r="F481" s="8" t="s">
        <v>223</v>
      </c>
      <c r="G481" s="24">
        <f t="shared" si="100"/>
        <v>39</v>
      </c>
      <c r="H481" s="24">
        <f t="shared" si="100"/>
        <v>39</v>
      </c>
      <c r="I481" s="24">
        <f t="shared" si="100"/>
        <v>39</v>
      </c>
    </row>
    <row r="482" spans="1:9" x14ac:dyDescent="0.25">
      <c r="A482" s="21" t="s">
        <v>124</v>
      </c>
      <c r="B482" s="28">
        <v>951</v>
      </c>
      <c r="C482" s="8" t="s">
        <v>791</v>
      </c>
      <c r="D482" s="8" t="s">
        <v>113</v>
      </c>
      <c r="E482" s="8" t="s">
        <v>65</v>
      </c>
      <c r="F482" s="8" t="s">
        <v>165</v>
      </c>
      <c r="G482" s="24">
        <f>'5'!D97</f>
        <v>39</v>
      </c>
      <c r="H482" s="24">
        <f>'5'!E97</f>
        <v>39</v>
      </c>
      <c r="I482" s="24">
        <f>'5'!F97</f>
        <v>39</v>
      </c>
    </row>
    <row r="483" spans="1:9" ht="61.95" customHeight="1" x14ac:dyDescent="0.25">
      <c r="A483" s="15" t="s">
        <v>876</v>
      </c>
      <c r="B483" s="57">
        <v>951</v>
      </c>
      <c r="C483" s="29" t="s">
        <v>791</v>
      </c>
      <c r="D483" s="29" t="s">
        <v>113</v>
      </c>
      <c r="E483" s="29" t="s">
        <v>877</v>
      </c>
      <c r="F483" s="29" t="s">
        <v>223</v>
      </c>
      <c r="G483" s="26">
        <f>G484</f>
        <v>5</v>
      </c>
      <c r="H483" s="26">
        <f>H484</f>
        <v>5</v>
      </c>
      <c r="I483" s="26">
        <f>I484</f>
        <v>5</v>
      </c>
    </row>
    <row r="484" spans="1:9" ht="32.4" customHeight="1" x14ac:dyDescent="0.25">
      <c r="A484" s="21" t="s">
        <v>202</v>
      </c>
      <c r="B484" s="28">
        <v>951</v>
      </c>
      <c r="C484" s="8" t="s">
        <v>791</v>
      </c>
      <c r="D484" s="8" t="s">
        <v>113</v>
      </c>
      <c r="E484" s="8" t="s">
        <v>66</v>
      </c>
      <c r="F484" s="8" t="s">
        <v>165</v>
      </c>
      <c r="G484" s="24">
        <f>'5'!D110</f>
        <v>5</v>
      </c>
      <c r="H484" s="24">
        <f>'5'!E110</f>
        <v>5</v>
      </c>
      <c r="I484" s="24">
        <f>'5'!F110</f>
        <v>5</v>
      </c>
    </row>
    <row r="485" spans="1:9" ht="55.2" x14ac:dyDescent="0.25">
      <c r="A485" s="15" t="s">
        <v>601</v>
      </c>
      <c r="B485" s="57">
        <v>951</v>
      </c>
      <c r="C485" s="29" t="s">
        <v>791</v>
      </c>
      <c r="D485" s="29" t="s">
        <v>113</v>
      </c>
      <c r="E485" s="57" t="s">
        <v>26</v>
      </c>
      <c r="F485" s="29" t="s">
        <v>223</v>
      </c>
      <c r="G485" s="26">
        <f t="shared" ref="G485:I486" si="101">G486</f>
        <v>198</v>
      </c>
      <c r="H485" s="26">
        <f t="shared" si="101"/>
        <v>60</v>
      </c>
      <c r="I485" s="26">
        <f t="shared" si="101"/>
        <v>60</v>
      </c>
    </row>
    <row r="486" spans="1:9" ht="46.95" customHeight="1" x14ac:dyDescent="0.25">
      <c r="A486" s="21" t="s">
        <v>748</v>
      </c>
      <c r="B486" s="28">
        <v>951</v>
      </c>
      <c r="C486" s="8" t="s">
        <v>791</v>
      </c>
      <c r="D486" s="8" t="s">
        <v>113</v>
      </c>
      <c r="E486" s="28" t="s">
        <v>381</v>
      </c>
      <c r="F486" s="8" t="s">
        <v>747</v>
      </c>
      <c r="G486" s="24">
        <f t="shared" si="101"/>
        <v>198</v>
      </c>
      <c r="H486" s="24">
        <f t="shared" si="101"/>
        <v>60</v>
      </c>
      <c r="I486" s="24">
        <f t="shared" si="101"/>
        <v>60</v>
      </c>
    </row>
    <row r="487" spans="1:9" ht="33" customHeight="1" x14ac:dyDescent="0.25">
      <c r="A487" s="21" t="s">
        <v>202</v>
      </c>
      <c r="B487" s="28">
        <v>951</v>
      </c>
      <c r="C487" s="8" t="s">
        <v>791</v>
      </c>
      <c r="D487" s="8" t="s">
        <v>113</v>
      </c>
      <c r="E487" s="28" t="s">
        <v>381</v>
      </c>
      <c r="F487" s="8" t="s">
        <v>165</v>
      </c>
      <c r="G487" s="19">
        <f>'5'!D118</f>
        <v>198</v>
      </c>
      <c r="H487" s="19">
        <f>'5'!E118</f>
        <v>60</v>
      </c>
      <c r="I487" s="19">
        <f>'5'!F118</f>
        <v>60</v>
      </c>
    </row>
    <row r="488" spans="1:9" ht="73.2" customHeight="1" x14ac:dyDescent="0.25">
      <c r="A488" s="15" t="s">
        <v>812</v>
      </c>
      <c r="B488" s="57">
        <v>951</v>
      </c>
      <c r="C488" s="29" t="s">
        <v>791</v>
      </c>
      <c r="D488" s="29" t="s">
        <v>113</v>
      </c>
      <c r="E488" s="29" t="s">
        <v>285</v>
      </c>
      <c r="F488" s="29" t="s">
        <v>223</v>
      </c>
      <c r="G488" s="26">
        <f t="shared" ref="G488:I489" si="102">G489</f>
        <v>280</v>
      </c>
      <c r="H488" s="26">
        <f t="shared" si="102"/>
        <v>20</v>
      </c>
      <c r="I488" s="26">
        <f t="shared" si="102"/>
        <v>20</v>
      </c>
    </row>
    <row r="489" spans="1:9" ht="44.4" customHeight="1" x14ac:dyDescent="0.25">
      <c r="A489" s="21" t="s">
        <v>748</v>
      </c>
      <c r="B489" s="28">
        <v>951</v>
      </c>
      <c r="C489" s="8" t="s">
        <v>791</v>
      </c>
      <c r="D489" s="8" t="s">
        <v>113</v>
      </c>
      <c r="E489" s="8" t="s">
        <v>445</v>
      </c>
      <c r="F489" s="8" t="s">
        <v>747</v>
      </c>
      <c r="G489" s="24">
        <f t="shared" si="102"/>
        <v>280</v>
      </c>
      <c r="H489" s="24">
        <f t="shared" si="102"/>
        <v>20</v>
      </c>
      <c r="I489" s="24">
        <f t="shared" si="102"/>
        <v>20</v>
      </c>
    </row>
    <row r="490" spans="1:9" ht="23.25" customHeight="1" x14ac:dyDescent="0.25">
      <c r="A490" s="21" t="s">
        <v>124</v>
      </c>
      <c r="B490" s="28">
        <v>951</v>
      </c>
      <c r="C490" s="8" t="s">
        <v>791</v>
      </c>
      <c r="D490" s="8" t="s">
        <v>113</v>
      </c>
      <c r="E490" s="8" t="s">
        <v>445</v>
      </c>
      <c r="F490" s="8" t="s">
        <v>165</v>
      </c>
      <c r="G490" s="24">
        <f>'5'!D212</f>
        <v>280</v>
      </c>
      <c r="H490" s="24">
        <f>'5'!E212</f>
        <v>20</v>
      </c>
      <c r="I490" s="24">
        <f>'5'!F212</f>
        <v>20</v>
      </c>
    </row>
    <row r="491" spans="1:9" s="59" customFormat="1" ht="19.95" hidden="1" customHeight="1" x14ac:dyDescent="0.3">
      <c r="A491" s="55" t="s">
        <v>905</v>
      </c>
      <c r="B491" s="56">
        <v>951</v>
      </c>
      <c r="C491" s="36" t="s">
        <v>780</v>
      </c>
      <c r="D491" s="36" t="s">
        <v>109</v>
      </c>
      <c r="E491" s="36" t="s">
        <v>699</v>
      </c>
      <c r="F491" s="36" t="s">
        <v>223</v>
      </c>
      <c r="G491" s="35">
        <f>G493</f>
        <v>0</v>
      </c>
      <c r="H491" s="35">
        <f>H493</f>
        <v>0</v>
      </c>
      <c r="I491" s="35">
        <f>I493</f>
        <v>0</v>
      </c>
    </row>
    <row r="492" spans="1:9" s="76" customFormat="1" ht="23.25" hidden="1" customHeight="1" x14ac:dyDescent="0.25">
      <c r="A492" s="34" t="s">
        <v>906</v>
      </c>
      <c r="B492" s="32" t="s">
        <v>117</v>
      </c>
      <c r="C492" s="32" t="s">
        <v>780</v>
      </c>
      <c r="D492" s="32" t="s">
        <v>780</v>
      </c>
      <c r="E492" s="32" t="s">
        <v>699</v>
      </c>
      <c r="F492" s="32" t="s">
        <v>223</v>
      </c>
      <c r="G492" s="33">
        <f t="shared" ref="G492:I494" si="103">G493</f>
        <v>0</v>
      </c>
      <c r="H492" s="33">
        <f t="shared" si="103"/>
        <v>0</v>
      </c>
      <c r="I492" s="33">
        <f t="shared" si="103"/>
        <v>0</v>
      </c>
    </row>
    <row r="493" spans="1:9" ht="36" hidden="1" customHeight="1" x14ac:dyDescent="0.25">
      <c r="A493" s="21" t="s">
        <v>907</v>
      </c>
      <c r="B493" s="57">
        <v>951</v>
      </c>
      <c r="C493" s="29" t="s">
        <v>780</v>
      </c>
      <c r="D493" s="29" t="s">
        <v>780</v>
      </c>
      <c r="E493" s="29" t="s">
        <v>880</v>
      </c>
      <c r="F493" s="8" t="s">
        <v>223</v>
      </c>
      <c r="G493" s="24">
        <f>G494</f>
        <v>0</v>
      </c>
      <c r="H493" s="24">
        <f t="shared" si="103"/>
        <v>0</v>
      </c>
      <c r="I493" s="24">
        <f t="shared" si="103"/>
        <v>0</v>
      </c>
    </row>
    <row r="494" spans="1:9" ht="36" hidden="1" customHeight="1" x14ac:dyDescent="0.25">
      <c r="A494" s="21" t="s">
        <v>709</v>
      </c>
      <c r="B494" s="57">
        <v>951</v>
      </c>
      <c r="C494" s="29" t="s">
        <v>780</v>
      </c>
      <c r="D494" s="29" t="s">
        <v>780</v>
      </c>
      <c r="E494" s="8" t="s">
        <v>908</v>
      </c>
      <c r="F494" s="8" t="s">
        <v>710</v>
      </c>
      <c r="G494" s="24">
        <f>G495</f>
        <v>0</v>
      </c>
      <c r="H494" s="24">
        <f t="shared" si="103"/>
        <v>0</v>
      </c>
      <c r="I494" s="24">
        <f t="shared" si="103"/>
        <v>0</v>
      </c>
    </row>
    <row r="495" spans="1:9" ht="47.25" hidden="1" customHeight="1" x14ac:dyDescent="0.25">
      <c r="A495" s="22" t="s">
        <v>711</v>
      </c>
      <c r="B495" s="57">
        <v>951</v>
      </c>
      <c r="C495" s="29" t="s">
        <v>780</v>
      </c>
      <c r="D495" s="29" t="s">
        <v>780</v>
      </c>
      <c r="E495" s="8" t="s">
        <v>494</v>
      </c>
      <c r="F495" s="8" t="s">
        <v>712</v>
      </c>
      <c r="G495" s="24"/>
      <c r="H495" s="24"/>
      <c r="I495" s="24"/>
    </row>
    <row r="496" spans="1:9" ht="23.25" hidden="1" customHeight="1" x14ac:dyDescent="0.25">
      <c r="A496" s="21"/>
      <c r="B496" s="28"/>
      <c r="C496" s="8"/>
      <c r="D496" s="8"/>
      <c r="E496" s="8"/>
      <c r="F496" s="8"/>
      <c r="G496" s="24"/>
      <c r="H496" s="24"/>
      <c r="I496" s="24"/>
    </row>
    <row r="497" spans="1:11" ht="19.95" customHeight="1" x14ac:dyDescent="0.25">
      <c r="A497" s="381" t="s">
        <v>909</v>
      </c>
      <c r="B497" s="386">
        <v>951</v>
      </c>
      <c r="C497" s="379" t="s">
        <v>127</v>
      </c>
      <c r="D497" s="379" t="s">
        <v>109</v>
      </c>
      <c r="E497" s="379" t="s">
        <v>699</v>
      </c>
      <c r="F497" s="379" t="s">
        <v>223</v>
      </c>
      <c r="G497" s="360">
        <f>G498+G503+G518+G565</f>
        <v>36759.144610000003</v>
      </c>
      <c r="H497" s="360">
        <f t="shared" ref="H497:I497" si="104">H498+H503+H518+H565</f>
        <v>45969.675879999995</v>
      </c>
      <c r="I497" s="360">
        <f t="shared" si="104"/>
        <v>46750.245409999996</v>
      </c>
      <c r="J497" s="45">
        <v>36702.901169999997</v>
      </c>
      <c r="K497" s="50">
        <f>J497-G497</f>
        <v>-56.243440000005648</v>
      </c>
    </row>
    <row r="498" spans="1:11" ht="17.100000000000001" customHeight="1" x14ac:dyDescent="0.25">
      <c r="A498" s="362" t="s">
        <v>104</v>
      </c>
      <c r="B498" s="363">
        <v>951</v>
      </c>
      <c r="C498" s="364" t="s">
        <v>127</v>
      </c>
      <c r="D498" s="364" t="s">
        <v>108</v>
      </c>
      <c r="E498" s="364" t="s">
        <v>699</v>
      </c>
      <c r="F498" s="364" t="s">
        <v>223</v>
      </c>
      <c r="G498" s="365">
        <f>G499</f>
        <v>2475</v>
      </c>
      <c r="H498" s="365">
        <f t="shared" ref="G498:I501" si="105">H499</f>
        <v>1200</v>
      </c>
      <c r="I498" s="365">
        <f t="shared" si="105"/>
        <v>1200</v>
      </c>
    </row>
    <row r="499" spans="1:11" ht="31.5" customHeight="1" x14ac:dyDescent="0.25">
      <c r="A499" s="21" t="s">
        <v>910</v>
      </c>
      <c r="B499" s="28">
        <v>951</v>
      </c>
      <c r="C499" s="8" t="s">
        <v>127</v>
      </c>
      <c r="D499" s="8" t="s">
        <v>108</v>
      </c>
      <c r="E499" s="8" t="s">
        <v>67</v>
      </c>
      <c r="F499" s="8" t="s">
        <v>223</v>
      </c>
      <c r="G499" s="24">
        <f t="shared" si="105"/>
        <v>2475</v>
      </c>
      <c r="H499" s="24">
        <f t="shared" si="105"/>
        <v>1200</v>
      </c>
      <c r="I499" s="24">
        <f t="shared" si="105"/>
        <v>1200</v>
      </c>
    </row>
    <row r="500" spans="1:11" ht="43.5" customHeight="1" x14ac:dyDescent="0.25">
      <c r="A500" s="21" t="s">
        <v>911</v>
      </c>
      <c r="B500" s="28">
        <v>951</v>
      </c>
      <c r="C500" s="8" t="s">
        <v>127</v>
      </c>
      <c r="D500" s="8" t="s">
        <v>108</v>
      </c>
      <c r="E500" s="8" t="s">
        <v>67</v>
      </c>
      <c r="F500" s="8" t="s">
        <v>223</v>
      </c>
      <c r="G500" s="24">
        <f t="shared" si="105"/>
        <v>2475</v>
      </c>
      <c r="H500" s="24">
        <f t="shared" si="105"/>
        <v>1200</v>
      </c>
      <c r="I500" s="24">
        <f t="shared" si="105"/>
        <v>1200</v>
      </c>
    </row>
    <row r="501" spans="1:11" ht="27.6" x14ac:dyDescent="0.25">
      <c r="A501" s="21" t="s">
        <v>865</v>
      </c>
      <c r="B501" s="28">
        <v>951</v>
      </c>
      <c r="C501" s="8" t="s">
        <v>127</v>
      </c>
      <c r="D501" s="8" t="s">
        <v>108</v>
      </c>
      <c r="E501" s="8" t="s">
        <v>67</v>
      </c>
      <c r="F501" s="8" t="s">
        <v>866</v>
      </c>
      <c r="G501" s="24">
        <f t="shared" si="105"/>
        <v>2475</v>
      </c>
      <c r="H501" s="24">
        <f t="shared" si="105"/>
        <v>1200</v>
      </c>
      <c r="I501" s="24">
        <f t="shared" si="105"/>
        <v>1200</v>
      </c>
    </row>
    <row r="502" spans="1:11" ht="30" customHeight="1" x14ac:dyDescent="0.25">
      <c r="A502" s="21" t="s">
        <v>120</v>
      </c>
      <c r="B502" s="28">
        <v>951</v>
      </c>
      <c r="C502" s="8" t="s">
        <v>127</v>
      </c>
      <c r="D502" s="8" t="s">
        <v>108</v>
      </c>
      <c r="E502" s="8" t="s">
        <v>67</v>
      </c>
      <c r="F502" s="8" t="s">
        <v>121</v>
      </c>
      <c r="G502" s="19">
        <f>'5'!D275</f>
        <v>2475</v>
      </c>
      <c r="H502" s="24">
        <v>1200</v>
      </c>
      <c r="I502" s="24">
        <v>1200</v>
      </c>
    </row>
    <row r="503" spans="1:11" ht="21" customHeight="1" x14ac:dyDescent="0.25">
      <c r="A503" s="362" t="s">
        <v>333</v>
      </c>
      <c r="B503" s="363">
        <v>951</v>
      </c>
      <c r="C503" s="364" t="s">
        <v>127</v>
      </c>
      <c r="D503" s="364" t="s">
        <v>111</v>
      </c>
      <c r="E503" s="364" t="s">
        <v>699</v>
      </c>
      <c r="F503" s="364" t="s">
        <v>223</v>
      </c>
      <c r="G503" s="365">
        <f>G504+G510</f>
        <v>840</v>
      </c>
      <c r="H503" s="365">
        <f>H504+H510</f>
        <v>200</v>
      </c>
      <c r="I503" s="365">
        <f>I504+I510</f>
        <v>200</v>
      </c>
    </row>
    <row r="504" spans="1:11" ht="45" customHeight="1" x14ac:dyDescent="0.25">
      <c r="A504" s="15" t="s">
        <v>1002</v>
      </c>
      <c r="B504" s="28">
        <v>951</v>
      </c>
      <c r="C504" s="29" t="s">
        <v>127</v>
      </c>
      <c r="D504" s="29" t="s">
        <v>111</v>
      </c>
      <c r="E504" s="29" t="s">
        <v>68</v>
      </c>
      <c r="F504" s="29" t="s">
        <v>223</v>
      </c>
      <c r="G504" s="26">
        <f t="shared" ref="G504:I505" si="106">G505</f>
        <v>200</v>
      </c>
      <c r="H504" s="26">
        <f t="shared" si="106"/>
        <v>200</v>
      </c>
      <c r="I504" s="26">
        <f t="shared" si="106"/>
        <v>200</v>
      </c>
    </row>
    <row r="505" spans="1:11" ht="25.95" customHeight="1" x14ac:dyDescent="0.25">
      <c r="A505" s="21" t="s">
        <v>865</v>
      </c>
      <c r="B505" s="28" t="s">
        <v>117</v>
      </c>
      <c r="C505" s="8" t="s">
        <v>127</v>
      </c>
      <c r="D505" s="8" t="s">
        <v>111</v>
      </c>
      <c r="E505" s="8" t="s">
        <v>69</v>
      </c>
      <c r="F505" s="8" t="s">
        <v>866</v>
      </c>
      <c r="G505" s="24">
        <f t="shared" si="106"/>
        <v>200</v>
      </c>
      <c r="H505" s="24">
        <f t="shared" si="106"/>
        <v>200</v>
      </c>
      <c r="I505" s="24">
        <f t="shared" si="106"/>
        <v>200</v>
      </c>
    </row>
    <row r="506" spans="1:11" ht="29.25" customHeight="1" x14ac:dyDescent="0.25">
      <c r="A506" s="21" t="s">
        <v>122</v>
      </c>
      <c r="B506" s="28">
        <v>951</v>
      </c>
      <c r="C506" s="8" t="s">
        <v>127</v>
      </c>
      <c r="D506" s="8" t="s">
        <v>111</v>
      </c>
      <c r="E506" s="8" t="s">
        <v>69</v>
      </c>
      <c r="F506" s="8" t="s">
        <v>912</v>
      </c>
      <c r="G506" s="24">
        <f>'5'!D144</f>
        <v>200</v>
      </c>
      <c r="H506" s="24">
        <f>'5'!E144</f>
        <v>200</v>
      </c>
      <c r="I506" s="24">
        <f>'5'!F144</f>
        <v>200</v>
      </c>
    </row>
    <row r="507" spans="1:11" ht="17.25" hidden="1" customHeight="1" x14ac:dyDescent="0.25">
      <c r="A507" s="398" t="s">
        <v>300</v>
      </c>
      <c r="B507" s="31">
        <v>952</v>
      </c>
      <c r="C507" s="8" t="s">
        <v>127</v>
      </c>
      <c r="D507" s="8" t="s">
        <v>111</v>
      </c>
      <c r="E507" s="32" t="s">
        <v>699</v>
      </c>
      <c r="F507" s="32" t="s">
        <v>223</v>
      </c>
      <c r="G507" s="33">
        <f t="shared" ref="G507:I508" si="107">G508</f>
        <v>0</v>
      </c>
      <c r="H507" s="33">
        <f t="shared" si="107"/>
        <v>0</v>
      </c>
      <c r="I507" s="33">
        <f t="shared" si="107"/>
        <v>0</v>
      </c>
    </row>
    <row r="508" spans="1:11" ht="29.25" hidden="1" customHeight="1" x14ac:dyDescent="0.25">
      <c r="A508" s="21" t="s">
        <v>865</v>
      </c>
      <c r="B508" s="28">
        <v>953</v>
      </c>
      <c r="C508" s="8" t="s">
        <v>127</v>
      </c>
      <c r="D508" s="8" t="s">
        <v>111</v>
      </c>
      <c r="E508" s="8" t="s">
        <v>301</v>
      </c>
      <c r="F508" s="8" t="s">
        <v>866</v>
      </c>
      <c r="G508" s="24">
        <f t="shared" si="107"/>
        <v>0</v>
      </c>
      <c r="H508" s="24">
        <f t="shared" si="107"/>
        <v>0</v>
      </c>
      <c r="I508" s="24">
        <f t="shared" si="107"/>
        <v>0</v>
      </c>
    </row>
    <row r="509" spans="1:11" ht="29.25" hidden="1" customHeight="1" x14ac:dyDescent="0.25">
      <c r="A509" s="21" t="s">
        <v>122</v>
      </c>
      <c r="B509" s="28">
        <v>954</v>
      </c>
      <c r="C509" s="8" t="s">
        <v>127</v>
      </c>
      <c r="D509" s="8" t="s">
        <v>111</v>
      </c>
      <c r="E509" s="8" t="s">
        <v>301</v>
      </c>
      <c r="F509" s="8" t="s">
        <v>912</v>
      </c>
      <c r="G509" s="24"/>
      <c r="H509" s="24"/>
      <c r="I509" s="24"/>
    </row>
    <row r="510" spans="1:11" ht="34.200000000000003" customHeight="1" x14ac:dyDescent="0.25">
      <c r="A510" s="21" t="s">
        <v>702</v>
      </c>
      <c r="B510" s="28" t="s">
        <v>117</v>
      </c>
      <c r="C510" s="8" t="s">
        <v>127</v>
      </c>
      <c r="D510" s="8" t="s">
        <v>111</v>
      </c>
      <c r="E510" s="8" t="s">
        <v>699</v>
      </c>
      <c r="F510" s="8" t="s">
        <v>223</v>
      </c>
      <c r="G510" s="24">
        <f>G511</f>
        <v>640</v>
      </c>
      <c r="H510" s="24">
        <f t="shared" ref="H510:I513" si="108">H511</f>
        <v>0</v>
      </c>
      <c r="I510" s="24">
        <f t="shared" si="108"/>
        <v>0</v>
      </c>
    </row>
    <row r="511" spans="1:11" ht="42" customHeight="1" x14ac:dyDescent="0.25">
      <c r="A511" s="21" t="s">
        <v>110</v>
      </c>
      <c r="B511" s="28" t="s">
        <v>117</v>
      </c>
      <c r="C511" s="8" t="s">
        <v>127</v>
      </c>
      <c r="D511" s="8" t="s">
        <v>111</v>
      </c>
      <c r="E511" s="8" t="s">
        <v>699</v>
      </c>
      <c r="F511" s="8" t="s">
        <v>223</v>
      </c>
      <c r="G511" s="24">
        <f>G512+G515</f>
        <v>640</v>
      </c>
      <c r="H511" s="24">
        <f>H512+H515</f>
        <v>0</v>
      </c>
      <c r="I511" s="24">
        <f>I512+I515</f>
        <v>0</v>
      </c>
    </row>
    <row r="512" spans="1:11" ht="210" hidden="1" customHeight="1" x14ac:dyDescent="0.25">
      <c r="A512" s="370" t="s">
        <v>1003</v>
      </c>
      <c r="B512" s="57" t="s">
        <v>117</v>
      </c>
      <c r="C512" s="29" t="s">
        <v>127</v>
      </c>
      <c r="D512" s="29" t="s">
        <v>111</v>
      </c>
      <c r="E512" s="29" t="s">
        <v>472</v>
      </c>
      <c r="F512" s="29" t="s">
        <v>223</v>
      </c>
      <c r="G512" s="26">
        <f>G513</f>
        <v>0</v>
      </c>
      <c r="H512" s="26">
        <f t="shared" si="108"/>
        <v>0</v>
      </c>
      <c r="I512" s="26">
        <f t="shared" si="108"/>
        <v>0</v>
      </c>
    </row>
    <row r="513" spans="1:13" ht="19.2" hidden="1" customHeight="1" x14ac:dyDescent="0.25">
      <c r="A513" s="22" t="s">
        <v>713</v>
      </c>
      <c r="B513" s="28" t="s">
        <v>117</v>
      </c>
      <c r="C513" s="8" t="s">
        <v>127</v>
      </c>
      <c r="D513" s="8" t="s">
        <v>111</v>
      </c>
      <c r="E513" s="8" t="s">
        <v>472</v>
      </c>
      <c r="F513" s="8" t="s">
        <v>714</v>
      </c>
      <c r="G513" s="24">
        <f>G514</f>
        <v>0</v>
      </c>
      <c r="H513" s="24">
        <f t="shared" si="108"/>
        <v>0</v>
      </c>
      <c r="I513" s="24">
        <f t="shared" si="108"/>
        <v>0</v>
      </c>
    </row>
    <row r="514" spans="1:13" ht="29.25" hidden="1" customHeight="1" x14ac:dyDescent="0.25">
      <c r="A514" s="22" t="s">
        <v>915</v>
      </c>
      <c r="B514" s="28" t="s">
        <v>117</v>
      </c>
      <c r="C514" s="8" t="s">
        <v>127</v>
      </c>
      <c r="D514" s="8" t="s">
        <v>111</v>
      </c>
      <c r="E514" s="8" t="s">
        <v>472</v>
      </c>
      <c r="F514" s="8" t="s">
        <v>793</v>
      </c>
      <c r="G514" s="24"/>
      <c r="H514" s="24"/>
      <c r="I514" s="24"/>
    </row>
    <row r="515" spans="1:13" ht="55.2" customHeight="1" x14ac:dyDescent="0.25">
      <c r="A515" s="376" t="s">
        <v>606</v>
      </c>
      <c r="B515" s="129" t="s">
        <v>117</v>
      </c>
      <c r="C515" s="317" t="s">
        <v>127</v>
      </c>
      <c r="D515" s="317" t="s">
        <v>111</v>
      </c>
      <c r="E515" s="317" t="s">
        <v>605</v>
      </c>
      <c r="F515" s="317" t="s">
        <v>223</v>
      </c>
      <c r="G515" s="399">
        <f t="shared" ref="G515:I516" si="109">G516</f>
        <v>640</v>
      </c>
      <c r="H515" s="399">
        <f t="shared" si="109"/>
        <v>0</v>
      </c>
      <c r="I515" s="399">
        <f t="shared" si="109"/>
        <v>0</v>
      </c>
    </row>
    <row r="516" spans="1:13" ht="29.25" customHeight="1" x14ac:dyDescent="0.25">
      <c r="A516" s="2" t="s">
        <v>865</v>
      </c>
      <c r="B516" s="3" t="s">
        <v>117</v>
      </c>
      <c r="C516" s="6" t="s">
        <v>127</v>
      </c>
      <c r="D516" s="6" t="s">
        <v>111</v>
      </c>
      <c r="E516" s="6" t="s">
        <v>605</v>
      </c>
      <c r="F516" s="6" t="s">
        <v>866</v>
      </c>
      <c r="G516" s="81">
        <f t="shared" si="109"/>
        <v>640</v>
      </c>
      <c r="H516" s="81">
        <f t="shared" si="109"/>
        <v>0</v>
      </c>
      <c r="I516" s="81">
        <f t="shared" si="109"/>
        <v>0</v>
      </c>
    </row>
    <row r="517" spans="1:13" ht="28.95" customHeight="1" x14ac:dyDescent="0.25">
      <c r="A517" s="2" t="s">
        <v>122</v>
      </c>
      <c r="B517" s="3" t="s">
        <v>117</v>
      </c>
      <c r="C517" s="6" t="s">
        <v>127</v>
      </c>
      <c r="D517" s="6" t="s">
        <v>111</v>
      </c>
      <c r="E517" s="6" t="s">
        <v>605</v>
      </c>
      <c r="F517" s="6" t="s">
        <v>912</v>
      </c>
      <c r="G517" s="81">
        <f>'5'!D289</f>
        <v>640</v>
      </c>
      <c r="H517" s="81">
        <f>'5'!E289</f>
        <v>0</v>
      </c>
      <c r="I517" s="81">
        <f>'5'!F289</f>
        <v>0</v>
      </c>
    </row>
    <row r="518" spans="1:13" ht="19.5" customHeight="1" x14ac:dyDescent="0.25">
      <c r="A518" s="362" t="s">
        <v>217</v>
      </c>
      <c r="B518" s="363">
        <v>951</v>
      </c>
      <c r="C518" s="364" t="s">
        <v>127</v>
      </c>
      <c r="D518" s="364" t="s">
        <v>113</v>
      </c>
      <c r="E518" s="364" t="s">
        <v>699</v>
      </c>
      <c r="F518" s="364" t="s">
        <v>223</v>
      </c>
      <c r="G518" s="365">
        <f>G519+G544</f>
        <v>30861.261609999998</v>
      </c>
      <c r="H518" s="365">
        <f>H519+H544</f>
        <v>41962.539879999997</v>
      </c>
      <c r="I518" s="365">
        <f>I519+I544+I550</f>
        <v>42645.128409999998</v>
      </c>
    </row>
    <row r="519" spans="1:13" ht="121.2" customHeight="1" x14ac:dyDescent="0.25">
      <c r="A519" s="34" t="s">
        <v>441</v>
      </c>
      <c r="B519" s="31">
        <v>951</v>
      </c>
      <c r="C519" s="32" t="s">
        <v>127</v>
      </c>
      <c r="D519" s="32" t="s">
        <v>113</v>
      </c>
      <c r="E519" s="32" t="s">
        <v>417</v>
      </c>
      <c r="F519" s="32" t="s">
        <v>223</v>
      </c>
      <c r="G519" s="33">
        <f>G520+G533+G539+G525</f>
        <v>28949.990709999998</v>
      </c>
      <c r="H519" s="33">
        <f>H520+H533+H539+H525</f>
        <v>38371.855009999999</v>
      </c>
      <c r="I519" s="33">
        <f>I520+I533+I539+I525</f>
        <v>0</v>
      </c>
    </row>
    <row r="520" spans="1:13" ht="72.599999999999994" customHeight="1" x14ac:dyDescent="0.25">
      <c r="A520" s="370" t="s">
        <v>1004</v>
      </c>
      <c r="B520" s="57">
        <v>951</v>
      </c>
      <c r="C520" s="29" t="s">
        <v>127</v>
      </c>
      <c r="D520" s="29" t="s">
        <v>113</v>
      </c>
      <c r="E520" s="6" t="s">
        <v>1091</v>
      </c>
      <c r="F520" s="317" t="s">
        <v>223</v>
      </c>
      <c r="G520" s="128">
        <f>G521+G523</f>
        <v>13550.4</v>
      </c>
      <c r="H520" s="128">
        <f>H521+H523</f>
        <v>9033.5999999999985</v>
      </c>
      <c r="I520" s="128">
        <f>I521+I523</f>
        <v>0</v>
      </c>
      <c r="K520" s="45">
        <f>'5'!D232</f>
        <v>13550.4</v>
      </c>
      <c r="L520" s="45">
        <f>'5'!E232</f>
        <v>9033.5999999999985</v>
      </c>
      <c r="M520" s="45">
        <f>'5'!F232</f>
        <v>0</v>
      </c>
    </row>
    <row r="521" spans="1:13" ht="34.200000000000003" customHeight="1" x14ac:dyDescent="0.25">
      <c r="A521" s="261" t="s">
        <v>865</v>
      </c>
      <c r="B521" s="28" t="s">
        <v>117</v>
      </c>
      <c r="C521" s="8" t="s">
        <v>127</v>
      </c>
      <c r="D521" s="8" t="s">
        <v>113</v>
      </c>
      <c r="E521" s="6" t="s">
        <v>1091</v>
      </c>
      <c r="F521" s="6" t="s">
        <v>866</v>
      </c>
      <c r="G521" s="19">
        <f>G522</f>
        <v>0</v>
      </c>
      <c r="H521" s="19">
        <f>H522</f>
        <v>0</v>
      </c>
      <c r="I521" s="19">
        <f>I522</f>
        <v>0</v>
      </c>
      <c r="K521" s="50">
        <f>K520-G520</f>
        <v>0</v>
      </c>
      <c r="L521" s="50">
        <f t="shared" ref="L521:M521" si="110">L520-H520</f>
        <v>0</v>
      </c>
      <c r="M521" s="50">
        <f t="shared" si="110"/>
        <v>0</v>
      </c>
    </row>
    <row r="522" spans="1:13" ht="46.2" customHeight="1" x14ac:dyDescent="0.25">
      <c r="A522" s="261" t="s">
        <v>122</v>
      </c>
      <c r="B522" s="28" t="s">
        <v>117</v>
      </c>
      <c r="C522" s="8" t="s">
        <v>127</v>
      </c>
      <c r="D522" s="8" t="s">
        <v>113</v>
      </c>
      <c r="E522" s="6" t="s">
        <v>1091</v>
      </c>
      <c r="F522" s="6" t="s">
        <v>912</v>
      </c>
      <c r="G522" s="19">
        <f>'5'!D233</f>
        <v>0</v>
      </c>
      <c r="H522" s="19">
        <f>'5'!E233</f>
        <v>0</v>
      </c>
      <c r="I522" s="19">
        <f>'5'!F233</f>
        <v>0</v>
      </c>
    </row>
    <row r="523" spans="1:13" ht="51" customHeight="1" x14ac:dyDescent="0.25">
      <c r="A523" s="22" t="s">
        <v>762</v>
      </c>
      <c r="B523" s="28">
        <v>951</v>
      </c>
      <c r="C523" s="8" t="s">
        <v>127</v>
      </c>
      <c r="D523" s="8" t="s">
        <v>113</v>
      </c>
      <c r="E523" s="6" t="s">
        <v>1091</v>
      </c>
      <c r="F523" s="6" t="s">
        <v>763</v>
      </c>
      <c r="G523" s="19">
        <f>G524</f>
        <v>13550.4</v>
      </c>
      <c r="H523" s="19">
        <f>H524</f>
        <v>9033.5999999999985</v>
      </c>
      <c r="I523" s="19">
        <f>I524</f>
        <v>0</v>
      </c>
      <c r="J523" s="45">
        <f>7335.85586-250</f>
        <v>7085.8558599999997</v>
      </c>
    </row>
    <row r="524" spans="1:13" ht="21.75" customHeight="1" x14ac:dyDescent="0.25">
      <c r="A524" s="22" t="s">
        <v>764</v>
      </c>
      <c r="B524" s="28">
        <v>951</v>
      </c>
      <c r="C524" s="8" t="s">
        <v>127</v>
      </c>
      <c r="D524" s="8" t="s">
        <v>113</v>
      </c>
      <c r="E524" s="6" t="s">
        <v>1091</v>
      </c>
      <c r="F524" s="6" t="s">
        <v>765</v>
      </c>
      <c r="G524" s="19">
        <f>'3'!F802</f>
        <v>13550.4</v>
      </c>
      <c r="H524" s="19">
        <f>'3'!G802</f>
        <v>9033.5999999999985</v>
      </c>
      <c r="I524" s="19">
        <f>'3'!H802</f>
        <v>0</v>
      </c>
    </row>
    <row r="525" spans="1:13" ht="72" customHeight="1" x14ac:dyDescent="0.25">
      <c r="A525" s="370" t="s">
        <v>1005</v>
      </c>
      <c r="B525" s="57">
        <v>951</v>
      </c>
      <c r="C525" s="29" t="s">
        <v>127</v>
      </c>
      <c r="D525" s="29" t="s">
        <v>113</v>
      </c>
      <c r="E525" s="29" t="s">
        <v>485</v>
      </c>
      <c r="F525" s="29" t="s">
        <v>223</v>
      </c>
      <c r="G525" s="128">
        <f>G526+G528</f>
        <v>0</v>
      </c>
      <c r="H525" s="26">
        <f>H526+H528</f>
        <v>13550.4</v>
      </c>
      <c r="I525" s="26">
        <f>I526+I528</f>
        <v>0</v>
      </c>
    </row>
    <row r="526" spans="1:13" ht="16.5" customHeight="1" x14ac:dyDescent="0.25">
      <c r="A526" s="22" t="s">
        <v>762</v>
      </c>
      <c r="B526" s="28">
        <v>951</v>
      </c>
      <c r="C526" s="8" t="s">
        <v>127</v>
      </c>
      <c r="D526" s="8" t="s">
        <v>113</v>
      </c>
      <c r="E526" s="8" t="s">
        <v>485</v>
      </c>
      <c r="F526" s="8" t="s">
        <v>763</v>
      </c>
      <c r="G526" s="19">
        <f>G527</f>
        <v>0</v>
      </c>
      <c r="H526" s="24">
        <f>H527</f>
        <v>13550.4</v>
      </c>
      <c r="I526" s="24">
        <f>I527</f>
        <v>0</v>
      </c>
    </row>
    <row r="527" spans="1:13" ht="16.5" customHeight="1" x14ac:dyDescent="0.25">
      <c r="A527" s="22" t="s">
        <v>764</v>
      </c>
      <c r="B527" s="28">
        <v>951</v>
      </c>
      <c r="C527" s="8" t="s">
        <v>127</v>
      </c>
      <c r="D527" s="8" t="s">
        <v>113</v>
      </c>
      <c r="E527" s="8" t="s">
        <v>485</v>
      </c>
      <c r="F527" s="8" t="s">
        <v>765</v>
      </c>
      <c r="G527" s="19">
        <f>'3'!F805</f>
        <v>0</v>
      </c>
      <c r="H527" s="19">
        <f>'3'!G805</f>
        <v>13550.4</v>
      </c>
      <c r="I527" s="19">
        <f>'3'!H805</f>
        <v>0</v>
      </c>
    </row>
    <row r="528" spans="1:13" ht="16.5" hidden="1" customHeight="1" x14ac:dyDescent="0.25">
      <c r="A528" s="22"/>
      <c r="B528" s="28"/>
      <c r="C528" s="8"/>
      <c r="D528" s="8"/>
      <c r="E528" s="8"/>
      <c r="F528" s="8"/>
      <c r="G528" s="19"/>
      <c r="H528" s="24"/>
      <c r="I528" s="24"/>
    </row>
    <row r="529" spans="1:13" ht="16.5" hidden="1" customHeight="1" x14ac:dyDescent="0.25">
      <c r="A529" s="22"/>
      <c r="B529" s="28"/>
      <c r="C529" s="8"/>
      <c r="D529" s="8"/>
      <c r="E529" s="8"/>
      <c r="F529" s="8"/>
      <c r="G529" s="19"/>
      <c r="H529" s="24"/>
      <c r="I529" s="24"/>
    </row>
    <row r="530" spans="1:13" ht="16.5" hidden="1" customHeight="1" x14ac:dyDescent="0.25">
      <c r="A530" s="22"/>
      <c r="B530" s="28"/>
      <c r="C530" s="8"/>
      <c r="D530" s="8"/>
      <c r="E530" s="8"/>
      <c r="F530" s="8"/>
      <c r="G530" s="19"/>
      <c r="H530" s="24"/>
      <c r="I530" s="24"/>
    </row>
    <row r="531" spans="1:13" ht="16.5" hidden="1" customHeight="1" x14ac:dyDescent="0.25">
      <c r="A531" s="22"/>
      <c r="B531" s="28"/>
      <c r="C531" s="8"/>
      <c r="D531" s="8"/>
      <c r="E531" s="8"/>
      <c r="F531" s="8"/>
      <c r="G531" s="19"/>
      <c r="H531" s="24"/>
      <c r="I531" s="24"/>
    </row>
    <row r="532" spans="1:13" ht="16.5" hidden="1" customHeight="1" x14ac:dyDescent="0.25">
      <c r="A532" s="22"/>
      <c r="B532" s="28"/>
      <c r="C532" s="8"/>
      <c r="D532" s="8"/>
      <c r="E532" s="8"/>
      <c r="F532" s="8"/>
      <c r="G532" s="19"/>
      <c r="H532" s="24"/>
      <c r="I532" s="24"/>
    </row>
    <row r="533" spans="1:13" ht="103.5" customHeight="1" x14ac:dyDescent="0.25">
      <c r="A533" s="15" t="s">
        <v>376</v>
      </c>
      <c r="B533" s="28">
        <v>951</v>
      </c>
      <c r="C533" s="8" t="s">
        <v>127</v>
      </c>
      <c r="D533" s="8" t="s">
        <v>113</v>
      </c>
      <c r="E533" s="8" t="s">
        <v>421</v>
      </c>
      <c r="F533" s="29" t="s">
        <v>223</v>
      </c>
      <c r="G533" s="128">
        <f>G534+G536</f>
        <v>15399.59071</v>
      </c>
      <c r="H533" s="26">
        <f>H534+H536</f>
        <v>15787.855009999999</v>
      </c>
      <c r="I533" s="26">
        <f>I534+I536</f>
        <v>0</v>
      </c>
      <c r="J533" s="45">
        <v>15187.989310000001</v>
      </c>
    </row>
    <row r="534" spans="1:13" ht="31.95" customHeight="1" x14ac:dyDescent="0.25">
      <c r="A534" s="21" t="s">
        <v>709</v>
      </c>
      <c r="B534" s="28" t="s">
        <v>117</v>
      </c>
      <c r="C534" s="8" t="s">
        <v>127</v>
      </c>
      <c r="D534" s="8" t="s">
        <v>113</v>
      </c>
      <c r="E534" s="8" t="s">
        <v>421</v>
      </c>
      <c r="F534" s="8" t="s">
        <v>710</v>
      </c>
      <c r="G534" s="24">
        <f>G535</f>
        <v>150</v>
      </c>
      <c r="H534" s="24">
        <f>H535</f>
        <v>150</v>
      </c>
      <c r="I534" s="24">
        <f>I535</f>
        <v>0</v>
      </c>
      <c r="K534" s="50"/>
      <c r="L534" s="50"/>
      <c r="M534" s="50"/>
    </row>
    <row r="535" spans="1:13" ht="43.2" customHeight="1" x14ac:dyDescent="0.25">
      <c r="A535" s="22" t="s">
        <v>711</v>
      </c>
      <c r="B535" s="28" t="s">
        <v>117</v>
      </c>
      <c r="C535" s="8" t="s">
        <v>127</v>
      </c>
      <c r="D535" s="8" t="s">
        <v>113</v>
      </c>
      <c r="E535" s="8" t="s">
        <v>421</v>
      </c>
      <c r="F535" s="8" t="s">
        <v>712</v>
      </c>
      <c r="G535" s="24">
        <f>'3'!F813</f>
        <v>150</v>
      </c>
      <c r="H535" s="24">
        <f>'3'!G813</f>
        <v>150</v>
      </c>
      <c r="I535" s="24">
        <f>'3'!H813</f>
        <v>0</v>
      </c>
    </row>
    <row r="536" spans="1:13" ht="29.25" customHeight="1" x14ac:dyDescent="0.25">
      <c r="A536" s="21" t="s">
        <v>865</v>
      </c>
      <c r="B536" s="28">
        <v>951</v>
      </c>
      <c r="C536" s="8" t="s">
        <v>127</v>
      </c>
      <c r="D536" s="8" t="s">
        <v>113</v>
      </c>
      <c r="E536" s="8" t="s">
        <v>421</v>
      </c>
      <c r="F536" s="8" t="s">
        <v>866</v>
      </c>
      <c r="G536" s="24">
        <f>G537+G538</f>
        <v>15249.59071</v>
      </c>
      <c r="H536" s="24">
        <f>H537+H538</f>
        <v>15637.855009999999</v>
      </c>
      <c r="I536" s="24">
        <f>I537+I538</f>
        <v>0</v>
      </c>
      <c r="K536" s="50"/>
      <c r="L536" s="50"/>
      <c r="M536" s="50"/>
    </row>
    <row r="537" spans="1:13" ht="30" customHeight="1" x14ac:dyDescent="0.25">
      <c r="A537" s="21" t="s">
        <v>120</v>
      </c>
      <c r="B537" s="28" t="s">
        <v>117</v>
      </c>
      <c r="C537" s="8" t="s">
        <v>127</v>
      </c>
      <c r="D537" s="8" t="s">
        <v>113</v>
      </c>
      <c r="E537" s="8" t="s">
        <v>421</v>
      </c>
      <c r="F537" s="8" t="s">
        <v>121</v>
      </c>
      <c r="G537" s="24">
        <f>'3'!F815</f>
        <v>13034.59071</v>
      </c>
      <c r="H537" s="24">
        <f>'3'!G815</f>
        <v>13622.855009999999</v>
      </c>
      <c r="I537" s="24">
        <f>'3'!H815</f>
        <v>0</v>
      </c>
      <c r="J537" s="50">
        <f>J533-G535-G538</f>
        <v>12822.989310000001</v>
      </c>
      <c r="K537" s="50"/>
      <c r="L537" s="50"/>
    </row>
    <row r="538" spans="1:13" ht="36.75" customHeight="1" x14ac:dyDescent="0.25">
      <c r="A538" s="21" t="s">
        <v>122</v>
      </c>
      <c r="B538" s="28">
        <v>951</v>
      </c>
      <c r="C538" s="8" t="s">
        <v>127</v>
      </c>
      <c r="D538" s="8" t="s">
        <v>113</v>
      </c>
      <c r="E538" s="8" t="s">
        <v>421</v>
      </c>
      <c r="F538" s="8" t="s">
        <v>912</v>
      </c>
      <c r="G538" s="19">
        <f>'3'!F816</f>
        <v>2215</v>
      </c>
      <c r="H538" s="24">
        <f>'3'!G816</f>
        <v>2015</v>
      </c>
      <c r="I538" s="24">
        <f>'3'!H816</f>
        <v>0</v>
      </c>
    </row>
    <row r="539" spans="1:13" ht="85.95" hidden="1" customHeight="1" x14ac:dyDescent="0.25">
      <c r="A539" s="15" t="s">
        <v>377</v>
      </c>
      <c r="B539" s="28">
        <v>951</v>
      </c>
      <c r="C539" s="8" t="s">
        <v>127</v>
      </c>
      <c r="D539" s="8" t="s">
        <v>113</v>
      </c>
      <c r="E539" s="8" t="s">
        <v>422</v>
      </c>
      <c r="F539" s="29" t="s">
        <v>223</v>
      </c>
      <c r="G539" s="26">
        <f>G540+G542</f>
        <v>0</v>
      </c>
      <c r="H539" s="26">
        <f>H540+H542</f>
        <v>0</v>
      </c>
      <c r="I539" s="26">
        <f>I540+I542</f>
        <v>0</v>
      </c>
    </row>
    <row r="540" spans="1:13" ht="31.2" hidden="1" customHeight="1" x14ac:dyDescent="0.25">
      <c r="A540" s="21" t="s">
        <v>709</v>
      </c>
      <c r="B540" s="28" t="s">
        <v>117</v>
      </c>
      <c r="C540" s="8" t="s">
        <v>127</v>
      </c>
      <c r="D540" s="8" t="s">
        <v>113</v>
      </c>
      <c r="E540" s="8" t="s">
        <v>422</v>
      </c>
      <c r="F540" s="8" t="s">
        <v>710</v>
      </c>
      <c r="G540" s="24">
        <f>G541</f>
        <v>0</v>
      </c>
      <c r="H540" s="24">
        <f>H541</f>
        <v>0</v>
      </c>
      <c r="I540" s="24">
        <f>I541</f>
        <v>0</v>
      </c>
    </row>
    <row r="541" spans="1:13" ht="43.2" hidden="1" customHeight="1" x14ac:dyDescent="0.25">
      <c r="A541" s="22" t="s">
        <v>711</v>
      </c>
      <c r="B541" s="28" t="s">
        <v>117</v>
      </c>
      <c r="C541" s="8" t="s">
        <v>127</v>
      </c>
      <c r="D541" s="8" t="s">
        <v>113</v>
      </c>
      <c r="E541" s="8" t="s">
        <v>422</v>
      </c>
      <c r="F541" s="8" t="s">
        <v>712</v>
      </c>
      <c r="G541" s="24"/>
      <c r="H541" s="24"/>
      <c r="I541" s="24"/>
    </row>
    <row r="542" spans="1:13" ht="29.25" hidden="1" customHeight="1" x14ac:dyDescent="0.25">
      <c r="A542" s="21" t="s">
        <v>865</v>
      </c>
      <c r="B542" s="28">
        <v>951</v>
      </c>
      <c r="C542" s="8" t="s">
        <v>127</v>
      </c>
      <c r="D542" s="8" t="s">
        <v>113</v>
      </c>
      <c r="E542" s="8" t="s">
        <v>422</v>
      </c>
      <c r="F542" s="8" t="s">
        <v>866</v>
      </c>
      <c r="G542" s="24">
        <f>G543</f>
        <v>0</v>
      </c>
      <c r="H542" s="24">
        <f>H543</f>
        <v>0</v>
      </c>
      <c r="I542" s="24">
        <f>I543</f>
        <v>0</v>
      </c>
    </row>
    <row r="543" spans="1:13" ht="29.25" hidden="1" customHeight="1" x14ac:dyDescent="0.25">
      <c r="A543" s="21" t="s">
        <v>120</v>
      </c>
      <c r="B543" s="28">
        <v>951</v>
      </c>
      <c r="C543" s="8" t="s">
        <v>127</v>
      </c>
      <c r="D543" s="8" t="s">
        <v>113</v>
      </c>
      <c r="E543" s="8" t="s">
        <v>422</v>
      </c>
      <c r="F543" s="8" t="s">
        <v>121</v>
      </c>
      <c r="G543" s="24"/>
      <c r="H543" s="24"/>
      <c r="I543" s="24"/>
    </row>
    <row r="544" spans="1:13" s="59" customFormat="1" ht="58.95" customHeight="1" x14ac:dyDescent="0.3">
      <c r="A544" s="12" t="s">
        <v>635</v>
      </c>
      <c r="B544" s="57">
        <v>951</v>
      </c>
      <c r="C544" s="29" t="s">
        <v>127</v>
      </c>
      <c r="D544" s="29" t="s">
        <v>113</v>
      </c>
      <c r="E544" s="6" t="s">
        <v>636</v>
      </c>
      <c r="F544" s="6" t="s">
        <v>223</v>
      </c>
      <c r="G544" s="19">
        <f>G548+G545</f>
        <v>1911.2709</v>
      </c>
      <c r="H544" s="19">
        <f>H548+H545</f>
        <v>3590.68487</v>
      </c>
      <c r="I544" s="19">
        <f>I548+I545</f>
        <v>3691.67353</v>
      </c>
    </row>
    <row r="545" spans="1:10" s="59" customFormat="1" ht="57.6" customHeight="1" x14ac:dyDescent="0.3">
      <c r="A545" s="12" t="s">
        <v>1044</v>
      </c>
      <c r="B545" s="57">
        <v>951</v>
      </c>
      <c r="C545" s="29" t="s">
        <v>127</v>
      </c>
      <c r="D545" s="29" t="s">
        <v>113</v>
      </c>
      <c r="E545" s="6" t="s">
        <v>688</v>
      </c>
      <c r="F545" s="6" t="s">
        <v>223</v>
      </c>
      <c r="G545" s="19">
        <f>G546</f>
        <v>0</v>
      </c>
      <c r="H545" s="19">
        <f t="shared" ref="H545:J546" si="111">H546</f>
        <v>0</v>
      </c>
      <c r="I545" s="19">
        <f t="shared" si="111"/>
        <v>0</v>
      </c>
      <c r="J545" s="19">
        <f t="shared" si="111"/>
        <v>0</v>
      </c>
    </row>
    <row r="546" spans="1:10" s="59" customFormat="1" ht="29.25" customHeight="1" x14ac:dyDescent="0.3">
      <c r="A546" s="2" t="s">
        <v>865</v>
      </c>
      <c r="B546" s="57">
        <v>951</v>
      </c>
      <c r="C546" s="29" t="s">
        <v>127</v>
      </c>
      <c r="D546" s="29" t="s">
        <v>113</v>
      </c>
      <c r="E546" s="6" t="s">
        <v>688</v>
      </c>
      <c r="F546" s="8" t="s">
        <v>866</v>
      </c>
      <c r="G546" s="19">
        <f>G547</f>
        <v>0</v>
      </c>
      <c r="H546" s="19">
        <f t="shared" si="111"/>
        <v>0</v>
      </c>
      <c r="I546" s="19">
        <f t="shared" si="111"/>
        <v>0</v>
      </c>
      <c r="J546" s="19">
        <f t="shared" si="111"/>
        <v>0</v>
      </c>
    </row>
    <row r="547" spans="1:10" s="59" customFormat="1" ht="29.25" customHeight="1" x14ac:dyDescent="0.3">
      <c r="A547" s="2" t="s">
        <v>122</v>
      </c>
      <c r="B547" s="57">
        <v>951</v>
      </c>
      <c r="C547" s="29" t="s">
        <v>127</v>
      </c>
      <c r="D547" s="29" t="s">
        <v>113</v>
      </c>
      <c r="E547" s="6" t="s">
        <v>688</v>
      </c>
      <c r="F547" s="8" t="s">
        <v>912</v>
      </c>
      <c r="G547" s="19">
        <f>'5'!D241</f>
        <v>0</v>
      </c>
      <c r="H547" s="19">
        <f>'5'!E241</f>
        <v>0</v>
      </c>
      <c r="I547" s="19">
        <f>'5'!F241</f>
        <v>0</v>
      </c>
    </row>
    <row r="548" spans="1:10" ht="29.25" customHeight="1" x14ac:dyDescent="0.25">
      <c r="A548" s="347" t="s">
        <v>865</v>
      </c>
      <c r="B548" s="57">
        <v>951</v>
      </c>
      <c r="C548" s="29" t="s">
        <v>127</v>
      </c>
      <c r="D548" s="29" t="s">
        <v>113</v>
      </c>
      <c r="E548" s="6" t="s">
        <v>637</v>
      </c>
      <c r="F548" s="8" t="s">
        <v>866</v>
      </c>
      <c r="G548" s="19">
        <f>G549</f>
        <v>1911.2709</v>
      </c>
      <c r="H548" s="19">
        <f>H549</f>
        <v>3590.68487</v>
      </c>
      <c r="I548" s="19">
        <f>I549</f>
        <v>3691.67353</v>
      </c>
    </row>
    <row r="549" spans="1:10" ht="29.25" customHeight="1" x14ac:dyDescent="0.25">
      <c r="A549" s="21" t="s">
        <v>122</v>
      </c>
      <c r="B549" s="57">
        <v>951</v>
      </c>
      <c r="C549" s="29" t="s">
        <v>127</v>
      </c>
      <c r="D549" s="29" t="s">
        <v>113</v>
      </c>
      <c r="E549" s="6" t="s">
        <v>637</v>
      </c>
      <c r="F549" s="8" t="s">
        <v>912</v>
      </c>
      <c r="G549" s="19">
        <f>'5'!D242</f>
        <v>1911.2709</v>
      </c>
      <c r="H549" s="19">
        <f>'5'!E242</f>
        <v>3590.68487</v>
      </c>
      <c r="I549" s="19">
        <f>'5'!F242</f>
        <v>3691.67353</v>
      </c>
    </row>
    <row r="550" spans="1:10" ht="29.25" customHeight="1" x14ac:dyDescent="0.25">
      <c r="A550" s="34" t="s">
        <v>702</v>
      </c>
      <c r="B550" s="31">
        <v>951</v>
      </c>
      <c r="C550" s="32" t="s">
        <v>127</v>
      </c>
      <c r="D550" s="32" t="s">
        <v>113</v>
      </c>
      <c r="E550" s="106" t="s">
        <v>6</v>
      </c>
      <c r="F550" s="32" t="s">
        <v>223</v>
      </c>
      <c r="G550" s="33">
        <f>G551</f>
        <v>0</v>
      </c>
      <c r="H550" s="33">
        <f t="shared" ref="H550" si="112">H551</f>
        <v>0</v>
      </c>
      <c r="I550" s="33">
        <f>I551</f>
        <v>38953.454879999998</v>
      </c>
    </row>
    <row r="551" spans="1:10" s="59" customFormat="1" ht="43.95" customHeight="1" x14ac:dyDescent="0.3">
      <c r="A551" s="15" t="s">
        <v>110</v>
      </c>
      <c r="B551" s="57">
        <v>951</v>
      </c>
      <c r="C551" s="29" t="s">
        <v>127</v>
      </c>
      <c r="D551" s="29" t="s">
        <v>113</v>
      </c>
      <c r="E551" s="317" t="s">
        <v>6</v>
      </c>
      <c r="F551" s="317" t="s">
        <v>223</v>
      </c>
      <c r="G551" s="26">
        <f>G552+G555+G558</f>
        <v>0</v>
      </c>
      <c r="H551" s="26">
        <f t="shared" ref="H551:I551" si="113">H552+H555+H558</f>
        <v>0</v>
      </c>
      <c r="I551" s="26">
        <f t="shared" si="113"/>
        <v>38953.454879999998</v>
      </c>
    </row>
    <row r="552" spans="1:10" ht="67.2" customHeight="1" x14ac:dyDescent="0.25">
      <c r="A552" s="15" t="s">
        <v>1004</v>
      </c>
      <c r="B552" s="57" t="s">
        <v>117</v>
      </c>
      <c r="C552" s="29" t="s">
        <v>127</v>
      </c>
      <c r="D552" s="29" t="s">
        <v>113</v>
      </c>
      <c r="E552" s="6" t="s">
        <v>1092</v>
      </c>
      <c r="F552" s="6" t="s">
        <v>223</v>
      </c>
      <c r="G552" s="24">
        <f>G553</f>
        <v>0</v>
      </c>
      <c r="H552" s="24">
        <f t="shared" ref="H552:I552" si="114">H553</f>
        <v>0</v>
      </c>
      <c r="I552" s="24">
        <f t="shared" si="114"/>
        <v>9033.6</v>
      </c>
    </row>
    <row r="553" spans="1:10" ht="29.25" customHeight="1" x14ac:dyDescent="0.25">
      <c r="A553" s="22" t="s">
        <v>762</v>
      </c>
      <c r="B553" s="57">
        <v>951</v>
      </c>
      <c r="C553" s="29" t="s">
        <v>127</v>
      </c>
      <c r="D553" s="29" t="s">
        <v>113</v>
      </c>
      <c r="E553" s="6" t="s">
        <v>1092</v>
      </c>
      <c r="F553" s="6" t="s">
        <v>763</v>
      </c>
      <c r="G553" s="24">
        <f>G554</f>
        <v>0</v>
      </c>
      <c r="H553" s="24">
        <f t="shared" ref="H553:I553" si="115">H554</f>
        <v>0</v>
      </c>
      <c r="I553" s="24">
        <f t="shared" si="115"/>
        <v>9033.6</v>
      </c>
    </row>
    <row r="554" spans="1:10" ht="14.4" customHeight="1" x14ac:dyDescent="0.25">
      <c r="A554" s="22" t="s">
        <v>764</v>
      </c>
      <c r="B554" s="57" t="s">
        <v>117</v>
      </c>
      <c r="C554" s="29" t="s">
        <v>127</v>
      </c>
      <c r="D554" s="29" t="s">
        <v>113</v>
      </c>
      <c r="E554" s="6" t="s">
        <v>1092</v>
      </c>
      <c r="F554" s="6" t="s">
        <v>765</v>
      </c>
      <c r="G554" s="24">
        <v>0</v>
      </c>
      <c r="H554" s="24">
        <v>0</v>
      </c>
      <c r="I554" s="24">
        <v>9033.6</v>
      </c>
    </row>
    <row r="555" spans="1:10" ht="85.2" customHeight="1" x14ac:dyDescent="0.25">
      <c r="A555" s="370" t="s">
        <v>1005</v>
      </c>
      <c r="B555" s="28">
        <v>951</v>
      </c>
      <c r="C555" s="8" t="s">
        <v>127</v>
      </c>
      <c r="D555" s="8" t="s">
        <v>113</v>
      </c>
      <c r="E555" s="8" t="s">
        <v>507</v>
      </c>
      <c r="F555" s="8" t="s">
        <v>223</v>
      </c>
      <c r="G555" s="24">
        <f>G556</f>
        <v>0</v>
      </c>
      <c r="H555" s="24">
        <f t="shared" ref="H555:I556" si="116">H556</f>
        <v>0</v>
      </c>
      <c r="I555" s="24">
        <f t="shared" si="116"/>
        <v>13550.4</v>
      </c>
    </row>
    <row r="556" spans="1:10" ht="29.25" customHeight="1" x14ac:dyDescent="0.25">
      <c r="A556" s="22" t="s">
        <v>762</v>
      </c>
      <c r="B556" s="28">
        <v>951</v>
      </c>
      <c r="C556" s="8" t="s">
        <v>127</v>
      </c>
      <c r="D556" s="8" t="s">
        <v>113</v>
      </c>
      <c r="E556" s="8" t="s">
        <v>507</v>
      </c>
      <c r="F556" s="8" t="s">
        <v>763</v>
      </c>
      <c r="G556" s="24">
        <f>G557</f>
        <v>0</v>
      </c>
      <c r="H556" s="24">
        <f t="shared" si="116"/>
        <v>0</v>
      </c>
      <c r="I556" s="24">
        <f t="shared" si="116"/>
        <v>13550.4</v>
      </c>
    </row>
    <row r="557" spans="1:10" ht="29.25" customHeight="1" x14ac:dyDescent="0.25">
      <c r="A557" s="22" t="s">
        <v>764</v>
      </c>
      <c r="B557" s="28">
        <v>951</v>
      </c>
      <c r="C557" s="8" t="s">
        <v>127</v>
      </c>
      <c r="D557" s="8" t="s">
        <v>113</v>
      </c>
      <c r="E557" s="8" t="s">
        <v>507</v>
      </c>
      <c r="F557" s="8" t="s">
        <v>765</v>
      </c>
      <c r="G557" s="24">
        <v>0</v>
      </c>
      <c r="H557" s="24">
        <v>0</v>
      </c>
      <c r="I557" s="24">
        <v>13550.4</v>
      </c>
    </row>
    <row r="558" spans="1:10" ht="59.4" customHeight="1" x14ac:dyDescent="0.25">
      <c r="A558" s="15" t="s">
        <v>376</v>
      </c>
      <c r="B558" s="28">
        <v>951</v>
      </c>
      <c r="C558" s="8" t="s">
        <v>127</v>
      </c>
      <c r="D558" s="8" t="s">
        <v>113</v>
      </c>
      <c r="E558" s="8" t="s">
        <v>383</v>
      </c>
      <c r="F558" s="29" t="s">
        <v>223</v>
      </c>
      <c r="G558" s="24">
        <f>G559+G561</f>
        <v>0</v>
      </c>
      <c r="H558" s="24">
        <f t="shared" ref="H558:I558" si="117">H559+H561</f>
        <v>0</v>
      </c>
      <c r="I558" s="24">
        <f t="shared" si="117"/>
        <v>16369.454879999999</v>
      </c>
    </row>
    <row r="559" spans="1:10" ht="29.25" customHeight="1" x14ac:dyDescent="0.25">
      <c r="A559" s="21" t="s">
        <v>709</v>
      </c>
      <c r="B559" s="28" t="s">
        <v>117</v>
      </c>
      <c r="C559" s="8" t="s">
        <v>127</v>
      </c>
      <c r="D559" s="8" t="s">
        <v>113</v>
      </c>
      <c r="E559" s="8" t="s">
        <v>383</v>
      </c>
      <c r="F559" s="8" t="s">
        <v>710</v>
      </c>
      <c r="G559" s="24">
        <f>G560</f>
        <v>0</v>
      </c>
      <c r="H559" s="24">
        <f t="shared" ref="H559:I559" si="118">H560</f>
        <v>0</v>
      </c>
      <c r="I559" s="24">
        <f t="shared" si="118"/>
        <v>150</v>
      </c>
    </row>
    <row r="560" spans="1:10" ht="29.25" customHeight="1" x14ac:dyDescent="0.25">
      <c r="A560" s="22" t="s">
        <v>711</v>
      </c>
      <c r="B560" s="28" t="s">
        <v>117</v>
      </c>
      <c r="C560" s="8" t="s">
        <v>127</v>
      </c>
      <c r="D560" s="8" t="s">
        <v>113</v>
      </c>
      <c r="E560" s="8" t="s">
        <v>383</v>
      </c>
      <c r="F560" s="8" t="s">
        <v>712</v>
      </c>
      <c r="G560" s="24">
        <v>0</v>
      </c>
      <c r="H560" s="24">
        <v>0</v>
      </c>
      <c r="I560" s="24">
        <v>150</v>
      </c>
    </row>
    <row r="561" spans="1:10" ht="29.25" customHeight="1" x14ac:dyDescent="0.25">
      <c r="A561" s="21" t="s">
        <v>865</v>
      </c>
      <c r="B561" s="28">
        <v>951</v>
      </c>
      <c r="C561" s="8" t="s">
        <v>127</v>
      </c>
      <c r="D561" s="8" t="s">
        <v>113</v>
      </c>
      <c r="E561" s="8" t="s">
        <v>383</v>
      </c>
      <c r="F561" s="8" t="s">
        <v>866</v>
      </c>
      <c r="G561" s="24">
        <f>G562+G563</f>
        <v>0</v>
      </c>
      <c r="H561" s="24">
        <f t="shared" ref="H561:I561" si="119">H562+H563</f>
        <v>0</v>
      </c>
      <c r="I561" s="24">
        <f t="shared" si="119"/>
        <v>16219.454879999999</v>
      </c>
    </row>
    <row r="562" spans="1:10" ht="29.25" customHeight="1" x14ac:dyDescent="0.25">
      <c r="A562" s="21" t="s">
        <v>120</v>
      </c>
      <c r="B562" s="28" t="s">
        <v>117</v>
      </c>
      <c r="C562" s="8" t="s">
        <v>127</v>
      </c>
      <c r="D562" s="8" t="s">
        <v>113</v>
      </c>
      <c r="E562" s="8" t="s">
        <v>383</v>
      </c>
      <c r="F562" s="8" t="s">
        <v>121</v>
      </c>
      <c r="G562" s="24">
        <v>0</v>
      </c>
      <c r="H562" s="24">
        <v>0</v>
      </c>
      <c r="I562" s="24">
        <v>14404.454879999999</v>
      </c>
    </row>
    <row r="563" spans="1:10" ht="29.25" customHeight="1" x14ac:dyDescent="0.25">
      <c r="A563" s="21" t="s">
        <v>122</v>
      </c>
      <c r="B563" s="28">
        <v>951</v>
      </c>
      <c r="C563" s="8" t="s">
        <v>127</v>
      </c>
      <c r="D563" s="8" t="s">
        <v>113</v>
      </c>
      <c r="E563" s="8" t="s">
        <v>383</v>
      </c>
      <c r="F563" s="8" t="s">
        <v>912</v>
      </c>
      <c r="G563" s="24">
        <v>0</v>
      </c>
      <c r="H563" s="24">
        <v>0</v>
      </c>
      <c r="I563" s="24">
        <v>1815</v>
      </c>
    </row>
    <row r="564" spans="1:10" ht="29.25" hidden="1" customHeight="1" x14ac:dyDescent="0.25">
      <c r="A564" s="21"/>
      <c r="B564" s="57"/>
      <c r="C564" s="29"/>
      <c r="D564" s="29"/>
      <c r="E564" s="6"/>
      <c r="F564" s="8"/>
      <c r="G564" s="24"/>
      <c r="H564" s="24"/>
      <c r="I564" s="24"/>
    </row>
    <row r="565" spans="1:10" ht="29.25" customHeight="1" x14ac:dyDescent="0.25">
      <c r="A565" s="492" t="s">
        <v>1089</v>
      </c>
      <c r="B565" s="408" t="s">
        <v>117</v>
      </c>
      <c r="C565" s="409" t="s">
        <v>127</v>
      </c>
      <c r="D565" s="409" t="s">
        <v>720</v>
      </c>
      <c r="E565" s="409" t="s">
        <v>699</v>
      </c>
      <c r="F565" s="409" t="s">
        <v>223</v>
      </c>
      <c r="G565" s="410">
        <f>G566</f>
        <v>2582.8830000000003</v>
      </c>
      <c r="H565" s="410">
        <f t="shared" ref="H565:J565" si="120">H566</f>
        <v>2607.136</v>
      </c>
      <c r="I565" s="410">
        <f t="shared" si="120"/>
        <v>2705.1170000000002</v>
      </c>
      <c r="J565" s="24">
        <f t="shared" si="120"/>
        <v>0</v>
      </c>
    </row>
    <row r="566" spans="1:10" ht="29.25" customHeight="1" x14ac:dyDescent="0.25">
      <c r="A566" s="21" t="str">
        <f>A379</f>
        <v>Непрограммные направления деятельности органов местного самоуправления</v>
      </c>
      <c r="B566" s="57">
        <v>951</v>
      </c>
      <c r="C566" s="29" t="s">
        <v>127</v>
      </c>
      <c r="D566" s="29" t="s">
        <v>720</v>
      </c>
      <c r="E566" s="384" t="s">
        <v>5</v>
      </c>
      <c r="F566" s="384" t="s">
        <v>223</v>
      </c>
      <c r="G566" s="24">
        <f>G567</f>
        <v>2582.8830000000003</v>
      </c>
      <c r="H566" s="24">
        <f t="shared" ref="H566:I566" si="121">H567</f>
        <v>2607.136</v>
      </c>
      <c r="I566" s="24">
        <f t="shared" si="121"/>
        <v>2705.1170000000002</v>
      </c>
    </row>
    <row r="567" spans="1:10" ht="29.25" customHeight="1" x14ac:dyDescent="0.25">
      <c r="A567" s="21" t="str">
        <f>A380</f>
        <v>Мероприятия непрограммных направлений деятельности органов местного самоуправления</v>
      </c>
      <c r="B567" s="57">
        <v>951</v>
      </c>
      <c r="C567" s="29" t="s">
        <v>127</v>
      </c>
      <c r="D567" s="29" t="s">
        <v>720</v>
      </c>
      <c r="E567" s="384" t="s">
        <v>6</v>
      </c>
      <c r="F567" s="384" t="s">
        <v>223</v>
      </c>
      <c r="G567" s="24">
        <f>G568</f>
        <v>2582.8830000000003</v>
      </c>
      <c r="H567" s="24">
        <f t="shared" ref="H567:I567" si="122">H568</f>
        <v>2607.136</v>
      </c>
      <c r="I567" s="24">
        <f t="shared" si="122"/>
        <v>2705.1170000000002</v>
      </c>
    </row>
    <row r="568" spans="1:10" s="59" customFormat="1" ht="29.25" customHeight="1" x14ac:dyDescent="0.3">
      <c r="A568" s="15" t="str">
        <f>A386</f>
        <v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v>
      </c>
      <c r="B568" s="57">
        <v>951</v>
      </c>
      <c r="C568" s="29" t="s">
        <v>127</v>
      </c>
      <c r="D568" s="29" t="s">
        <v>720</v>
      </c>
      <c r="E568" s="29" t="s">
        <v>382</v>
      </c>
      <c r="F568" s="29" t="s">
        <v>223</v>
      </c>
      <c r="G568" s="26">
        <f>G569+G571</f>
        <v>2582.8830000000003</v>
      </c>
      <c r="H568" s="26">
        <f t="shared" ref="H568:I568" si="123">H569+H571</f>
        <v>2607.136</v>
      </c>
      <c r="I568" s="26">
        <f t="shared" si="123"/>
        <v>2705.1170000000002</v>
      </c>
    </row>
    <row r="569" spans="1:10" ht="29.25" customHeight="1" x14ac:dyDescent="0.25">
      <c r="A569" s="21" t="s">
        <v>703</v>
      </c>
      <c r="B569" s="57">
        <v>951</v>
      </c>
      <c r="C569" s="29" t="s">
        <v>127</v>
      </c>
      <c r="D569" s="29" t="s">
        <v>720</v>
      </c>
      <c r="E569" s="8" t="s">
        <v>382</v>
      </c>
      <c r="F569" s="8" t="s">
        <v>704</v>
      </c>
      <c r="G569" s="24">
        <f>G570</f>
        <v>2163.38</v>
      </c>
      <c r="H569" s="24">
        <f t="shared" ref="H569:I569" si="124">H570</f>
        <v>2163.38</v>
      </c>
      <c r="I569" s="24">
        <f t="shared" si="124"/>
        <v>2163.38</v>
      </c>
    </row>
    <row r="570" spans="1:10" ht="29.25" customHeight="1" x14ac:dyDescent="0.25">
      <c r="A570" s="22" t="s">
        <v>705</v>
      </c>
      <c r="B570" s="57">
        <v>951</v>
      </c>
      <c r="C570" s="29" t="s">
        <v>127</v>
      </c>
      <c r="D570" s="29" t="s">
        <v>720</v>
      </c>
      <c r="E570" s="8" t="s">
        <v>382</v>
      </c>
      <c r="F570" s="8" t="s">
        <v>706</v>
      </c>
      <c r="G570" s="24">
        <f>'3'!F847</f>
        <v>2163.38</v>
      </c>
      <c r="H570" s="24">
        <f>'3'!G847</f>
        <v>2163.38</v>
      </c>
      <c r="I570" s="24">
        <f>'3'!H847</f>
        <v>2163.38</v>
      </c>
    </row>
    <row r="571" spans="1:10" ht="29.25" customHeight="1" x14ac:dyDescent="0.25">
      <c r="A571" s="21" t="s">
        <v>709</v>
      </c>
      <c r="B571" s="57">
        <v>951</v>
      </c>
      <c r="C571" s="29" t="s">
        <v>127</v>
      </c>
      <c r="D571" s="29" t="s">
        <v>720</v>
      </c>
      <c r="E571" s="8" t="s">
        <v>382</v>
      </c>
      <c r="F571" s="8" t="s">
        <v>710</v>
      </c>
      <c r="G571" s="24">
        <f>G572</f>
        <v>419.50299999999999</v>
      </c>
      <c r="H571" s="24">
        <f t="shared" ref="H571:I571" si="125">H572</f>
        <v>443.75599999999997</v>
      </c>
      <c r="I571" s="24">
        <f t="shared" si="125"/>
        <v>541.73699999999997</v>
      </c>
    </row>
    <row r="572" spans="1:10" ht="29.25" customHeight="1" x14ac:dyDescent="0.25">
      <c r="A572" s="22" t="s">
        <v>711</v>
      </c>
      <c r="B572" s="57">
        <v>951</v>
      </c>
      <c r="C572" s="29" t="s">
        <v>127</v>
      </c>
      <c r="D572" s="29" t="s">
        <v>720</v>
      </c>
      <c r="E572" s="8" t="s">
        <v>382</v>
      </c>
      <c r="F572" s="8" t="s">
        <v>712</v>
      </c>
      <c r="G572" s="24">
        <f>'3'!F849</f>
        <v>419.50299999999999</v>
      </c>
      <c r="H572" s="24">
        <f>'3'!G849</f>
        <v>443.75599999999997</v>
      </c>
      <c r="I572" s="24">
        <f>'3'!H849</f>
        <v>541.73699999999997</v>
      </c>
      <c r="J572" s="24">
        <f>'3'!I849</f>
        <v>0</v>
      </c>
    </row>
    <row r="573" spans="1:10" x14ac:dyDescent="0.25">
      <c r="A573" s="378" t="s">
        <v>920</v>
      </c>
      <c r="B573" s="359">
        <v>951</v>
      </c>
      <c r="C573" s="379" t="s">
        <v>725</v>
      </c>
      <c r="D573" s="379" t="s">
        <v>109</v>
      </c>
      <c r="E573" s="379" t="s">
        <v>699</v>
      </c>
      <c r="F573" s="379" t="s">
        <v>223</v>
      </c>
      <c r="G573" s="360">
        <f>G574</f>
        <v>650</v>
      </c>
      <c r="H573" s="360">
        <f t="shared" ref="H573:I577" si="126">H574</f>
        <v>250</v>
      </c>
      <c r="I573" s="360">
        <f t="shared" si="126"/>
        <v>300</v>
      </c>
    </row>
    <row r="574" spans="1:10" x14ac:dyDescent="0.25">
      <c r="A574" s="362" t="s">
        <v>921</v>
      </c>
      <c r="B574" s="363">
        <v>951</v>
      </c>
      <c r="C574" s="364" t="s">
        <v>725</v>
      </c>
      <c r="D574" s="364" t="s">
        <v>701</v>
      </c>
      <c r="E574" s="364" t="s">
        <v>699</v>
      </c>
      <c r="F574" s="364" t="s">
        <v>223</v>
      </c>
      <c r="G574" s="365">
        <f>G575</f>
        <v>650</v>
      </c>
      <c r="H574" s="365">
        <f t="shared" si="126"/>
        <v>250</v>
      </c>
      <c r="I574" s="365">
        <f t="shared" si="126"/>
        <v>300</v>
      </c>
    </row>
    <row r="575" spans="1:10" ht="44.1" customHeight="1" x14ac:dyDescent="0.25">
      <c r="A575" s="15" t="s">
        <v>561</v>
      </c>
      <c r="B575" s="57">
        <v>951</v>
      </c>
      <c r="C575" s="29" t="s">
        <v>725</v>
      </c>
      <c r="D575" s="29" t="s">
        <v>701</v>
      </c>
      <c r="E575" s="29" t="s">
        <v>71</v>
      </c>
      <c r="F575" s="29" t="s">
        <v>223</v>
      </c>
      <c r="G575" s="26">
        <f>G576+G579+G590+G595+G599+G606+G613</f>
        <v>650</v>
      </c>
      <c r="H575" s="26">
        <f>H576+H579+H595+H599+H606+H613</f>
        <v>250</v>
      </c>
      <c r="I575" s="26">
        <f>I576+I579+I595+I599+I606+I613</f>
        <v>300</v>
      </c>
    </row>
    <row r="576" spans="1:10" ht="31.2" customHeight="1" x14ac:dyDescent="0.25">
      <c r="A576" s="21" t="s">
        <v>922</v>
      </c>
      <c r="B576" s="28">
        <v>951</v>
      </c>
      <c r="C576" s="8" t="s">
        <v>725</v>
      </c>
      <c r="D576" s="8" t="s">
        <v>701</v>
      </c>
      <c r="E576" s="8" t="s">
        <v>72</v>
      </c>
      <c r="F576" s="8" t="s">
        <v>223</v>
      </c>
      <c r="G576" s="24">
        <f>G577</f>
        <v>150</v>
      </c>
      <c r="H576" s="24">
        <f t="shared" si="126"/>
        <v>250</v>
      </c>
      <c r="I576" s="24">
        <f t="shared" si="126"/>
        <v>300</v>
      </c>
    </row>
    <row r="577" spans="1:9" ht="30.6" customHeight="1" x14ac:dyDescent="0.25">
      <c r="A577" s="21" t="s">
        <v>709</v>
      </c>
      <c r="B577" s="28">
        <v>951</v>
      </c>
      <c r="C577" s="8" t="s">
        <v>725</v>
      </c>
      <c r="D577" s="8" t="s">
        <v>701</v>
      </c>
      <c r="E577" s="8" t="s">
        <v>72</v>
      </c>
      <c r="F577" s="8" t="s">
        <v>710</v>
      </c>
      <c r="G577" s="24">
        <f>G578</f>
        <v>150</v>
      </c>
      <c r="H577" s="24">
        <f t="shared" si="126"/>
        <v>250</v>
      </c>
      <c r="I577" s="24">
        <f t="shared" si="126"/>
        <v>300</v>
      </c>
    </row>
    <row r="578" spans="1:9" ht="41.4" x14ac:dyDescent="0.25">
      <c r="A578" s="22" t="s">
        <v>711</v>
      </c>
      <c r="B578" s="28">
        <v>951</v>
      </c>
      <c r="C578" s="8" t="s">
        <v>725</v>
      </c>
      <c r="D578" s="8" t="s">
        <v>701</v>
      </c>
      <c r="E578" s="8" t="s">
        <v>72</v>
      </c>
      <c r="F578" s="8" t="s">
        <v>712</v>
      </c>
      <c r="G578" s="24">
        <f>'5'!D122</f>
        <v>150</v>
      </c>
      <c r="H578" s="24">
        <f>'5'!E122</f>
        <v>250</v>
      </c>
      <c r="I578" s="24">
        <f>'5'!F122</f>
        <v>300</v>
      </c>
    </row>
    <row r="579" spans="1:9" ht="41.4" hidden="1" x14ac:dyDescent="0.25">
      <c r="A579" s="67" t="s">
        <v>335</v>
      </c>
      <c r="B579" s="28">
        <v>951</v>
      </c>
      <c r="C579" s="36" t="s">
        <v>725</v>
      </c>
      <c r="D579" s="36" t="s">
        <v>701</v>
      </c>
      <c r="E579" s="36" t="s">
        <v>71</v>
      </c>
      <c r="F579" s="36" t="s">
        <v>223</v>
      </c>
      <c r="G579" s="35">
        <f>G580+G585</f>
        <v>0</v>
      </c>
      <c r="H579" s="35">
        <f>H580+H585</f>
        <v>0</v>
      </c>
      <c r="I579" s="35">
        <f>I580+I585</f>
        <v>0</v>
      </c>
    </row>
    <row r="580" spans="1:9" ht="70.2" hidden="1" x14ac:dyDescent="0.25">
      <c r="A580" s="370" t="s">
        <v>1006</v>
      </c>
      <c r="B580" s="28">
        <v>951</v>
      </c>
      <c r="C580" s="29" t="s">
        <v>725</v>
      </c>
      <c r="D580" s="29" t="s">
        <v>701</v>
      </c>
      <c r="E580" s="29" t="s">
        <v>336</v>
      </c>
      <c r="F580" s="29" t="s">
        <v>223</v>
      </c>
      <c r="G580" s="26">
        <f>G581+G583</f>
        <v>0</v>
      </c>
      <c r="H580" s="26">
        <f>H581+H583</f>
        <v>0</v>
      </c>
      <c r="I580" s="26">
        <f>I581+I583</f>
        <v>0</v>
      </c>
    </row>
    <row r="581" spans="1:9" ht="41.4" hidden="1" x14ac:dyDescent="0.25">
      <c r="A581" s="22" t="s">
        <v>762</v>
      </c>
      <c r="B581" s="28">
        <v>951</v>
      </c>
      <c r="C581" s="8" t="s">
        <v>725</v>
      </c>
      <c r="D581" s="8" t="s">
        <v>701</v>
      </c>
      <c r="E581" s="8" t="s">
        <v>336</v>
      </c>
      <c r="F581" s="8" t="s">
        <v>763</v>
      </c>
      <c r="G581" s="24">
        <f>G582</f>
        <v>0</v>
      </c>
      <c r="H581" s="24">
        <f>H582</f>
        <v>0</v>
      </c>
      <c r="I581" s="24">
        <f>I582</f>
        <v>0</v>
      </c>
    </row>
    <row r="582" spans="1:9" hidden="1" x14ac:dyDescent="0.25">
      <c r="A582" s="22" t="s">
        <v>764</v>
      </c>
      <c r="B582" s="28">
        <v>951</v>
      </c>
      <c r="C582" s="8" t="s">
        <v>725</v>
      </c>
      <c r="D582" s="8" t="s">
        <v>701</v>
      </c>
      <c r="E582" s="8" t="s">
        <v>336</v>
      </c>
      <c r="F582" s="8" t="s">
        <v>765</v>
      </c>
      <c r="G582" s="24"/>
      <c r="H582" s="24"/>
      <c r="I582" s="24"/>
    </row>
    <row r="583" spans="1:9" ht="41.4" hidden="1" x14ac:dyDescent="0.25">
      <c r="A583" s="21" t="s">
        <v>925</v>
      </c>
      <c r="B583" s="28">
        <v>952</v>
      </c>
      <c r="C583" s="8" t="s">
        <v>725</v>
      </c>
      <c r="D583" s="8" t="s">
        <v>701</v>
      </c>
      <c r="E583" s="8" t="s">
        <v>336</v>
      </c>
      <c r="F583" s="8" t="s">
        <v>747</v>
      </c>
      <c r="G583" s="24">
        <f>G584</f>
        <v>0</v>
      </c>
      <c r="H583" s="24">
        <f>H584</f>
        <v>0</v>
      </c>
      <c r="I583" s="24">
        <f>I584</f>
        <v>0</v>
      </c>
    </row>
    <row r="584" spans="1:9" ht="16.2" hidden="1" customHeight="1" x14ac:dyDescent="0.25">
      <c r="A584" s="21" t="s">
        <v>116</v>
      </c>
      <c r="B584" s="28">
        <v>953</v>
      </c>
      <c r="C584" s="8" t="s">
        <v>725</v>
      </c>
      <c r="D584" s="8" t="s">
        <v>701</v>
      </c>
      <c r="E584" s="8" t="s">
        <v>336</v>
      </c>
      <c r="F584" s="8" t="s">
        <v>165</v>
      </c>
      <c r="G584" s="24"/>
      <c r="H584" s="24"/>
      <c r="I584" s="24"/>
    </row>
    <row r="585" spans="1:9" ht="87" hidden="1" customHeight="1" x14ac:dyDescent="0.25">
      <c r="A585" s="370" t="s">
        <v>1007</v>
      </c>
      <c r="B585" s="28">
        <v>951</v>
      </c>
      <c r="C585" s="29" t="s">
        <v>725</v>
      </c>
      <c r="D585" s="29" t="s">
        <v>701</v>
      </c>
      <c r="E585" s="29" t="s">
        <v>337</v>
      </c>
      <c r="F585" s="29" t="s">
        <v>223</v>
      </c>
      <c r="G585" s="26">
        <f>G586+G588</f>
        <v>0</v>
      </c>
      <c r="H585" s="26">
        <f>H586+H588</f>
        <v>0</v>
      </c>
      <c r="I585" s="26">
        <f>I586+I588</f>
        <v>0</v>
      </c>
    </row>
    <row r="586" spans="1:9" ht="41.4" hidden="1" x14ac:dyDescent="0.25">
      <c r="A586" s="22" t="s">
        <v>762</v>
      </c>
      <c r="B586" s="28">
        <v>951</v>
      </c>
      <c r="C586" s="8" t="s">
        <v>725</v>
      </c>
      <c r="D586" s="8" t="s">
        <v>701</v>
      </c>
      <c r="E586" s="8" t="s">
        <v>337</v>
      </c>
      <c r="F586" s="8" t="s">
        <v>763</v>
      </c>
      <c r="G586" s="24">
        <f>G587</f>
        <v>0</v>
      </c>
      <c r="H586" s="24">
        <f>H587</f>
        <v>0</v>
      </c>
      <c r="I586" s="24">
        <f>I587</f>
        <v>0</v>
      </c>
    </row>
    <row r="587" spans="1:9" hidden="1" x14ac:dyDescent="0.25">
      <c r="A587" s="22" t="s">
        <v>764</v>
      </c>
      <c r="B587" s="28">
        <v>951</v>
      </c>
      <c r="C587" s="8" t="s">
        <v>725</v>
      </c>
      <c r="D587" s="8" t="s">
        <v>701</v>
      </c>
      <c r="E587" s="8" t="s">
        <v>337</v>
      </c>
      <c r="F587" s="8" t="s">
        <v>765</v>
      </c>
      <c r="G587" s="24"/>
      <c r="H587" s="24"/>
      <c r="I587" s="24"/>
    </row>
    <row r="588" spans="1:9" ht="42" hidden="1" customHeight="1" x14ac:dyDescent="0.25">
      <c r="A588" s="21" t="s">
        <v>925</v>
      </c>
      <c r="B588" s="28">
        <v>952</v>
      </c>
      <c r="C588" s="8" t="s">
        <v>725</v>
      </c>
      <c r="D588" s="8" t="s">
        <v>701</v>
      </c>
      <c r="E588" s="8" t="s">
        <v>337</v>
      </c>
      <c r="F588" s="8" t="s">
        <v>747</v>
      </c>
      <c r="G588" s="24">
        <f>G589</f>
        <v>0</v>
      </c>
      <c r="H588" s="24">
        <f>H589</f>
        <v>0</v>
      </c>
      <c r="I588" s="24">
        <f>I589</f>
        <v>0</v>
      </c>
    </row>
    <row r="589" spans="1:9" ht="15.6" hidden="1" customHeight="1" x14ac:dyDescent="0.25">
      <c r="A589" s="21" t="s">
        <v>116</v>
      </c>
      <c r="B589" s="28">
        <v>953</v>
      </c>
      <c r="C589" s="8" t="s">
        <v>725</v>
      </c>
      <c r="D589" s="8" t="s">
        <v>701</v>
      </c>
      <c r="E589" s="8" t="s">
        <v>337</v>
      </c>
      <c r="F589" s="8" t="s">
        <v>165</v>
      </c>
      <c r="G589" s="24"/>
      <c r="H589" s="24"/>
      <c r="I589" s="24"/>
    </row>
    <row r="590" spans="1:9" ht="49.95" hidden="1" customHeight="1" x14ac:dyDescent="0.25">
      <c r="A590" s="12" t="s">
        <v>405</v>
      </c>
      <c r="B590" s="129" t="s">
        <v>117</v>
      </c>
      <c r="C590" s="317" t="s">
        <v>725</v>
      </c>
      <c r="D590" s="317" t="s">
        <v>701</v>
      </c>
      <c r="E590" s="317" t="s">
        <v>404</v>
      </c>
      <c r="F590" s="317" t="s">
        <v>223</v>
      </c>
      <c r="G590" s="128">
        <f>G591+G593</f>
        <v>0</v>
      </c>
      <c r="H590" s="128">
        <f>H591+H593</f>
        <v>0</v>
      </c>
      <c r="I590" s="128">
        <f>I591+I593</f>
        <v>0</v>
      </c>
    </row>
    <row r="591" spans="1:9" ht="29.4" hidden="1" customHeight="1" x14ac:dyDescent="0.25">
      <c r="A591" s="2" t="s">
        <v>709</v>
      </c>
      <c r="B591" s="3" t="s">
        <v>117</v>
      </c>
      <c r="C591" s="6" t="s">
        <v>725</v>
      </c>
      <c r="D591" s="6" t="s">
        <v>701</v>
      </c>
      <c r="E591" s="6" t="s">
        <v>404</v>
      </c>
      <c r="F591" s="6" t="s">
        <v>710</v>
      </c>
      <c r="G591" s="19">
        <f>G592</f>
        <v>0</v>
      </c>
      <c r="H591" s="19">
        <f>H592</f>
        <v>0</v>
      </c>
      <c r="I591" s="19">
        <f>I592</f>
        <v>0</v>
      </c>
    </row>
    <row r="592" spans="1:9" ht="45.6" hidden="1" customHeight="1" x14ac:dyDescent="0.25">
      <c r="A592" s="9" t="s">
        <v>711</v>
      </c>
      <c r="B592" s="3" t="s">
        <v>117</v>
      </c>
      <c r="C592" s="6" t="s">
        <v>725</v>
      </c>
      <c r="D592" s="6" t="s">
        <v>701</v>
      </c>
      <c r="E592" s="6" t="s">
        <v>404</v>
      </c>
      <c r="F592" s="6" t="s">
        <v>712</v>
      </c>
      <c r="G592" s="19">
        <f>500-500</f>
        <v>0</v>
      </c>
      <c r="H592" s="19">
        <v>0</v>
      </c>
      <c r="I592" s="19">
        <v>0</v>
      </c>
    </row>
    <row r="593" spans="1:9" ht="17.399999999999999" hidden="1" customHeight="1" x14ac:dyDescent="0.25">
      <c r="A593" s="9" t="s">
        <v>762</v>
      </c>
      <c r="B593" s="3" t="s">
        <v>117</v>
      </c>
      <c r="C593" s="6" t="s">
        <v>725</v>
      </c>
      <c r="D593" s="6" t="s">
        <v>701</v>
      </c>
      <c r="E593" s="6" t="s">
        <v>404</v>
      </c>
      <c r="F593" s="6" t="s">
        <v>763</v>
      </c>
      <c r="G593" s="19">
        <f>G594</f>
        <v>0</v>
      </c>
      <c r="H593" s="19">
        <f>H594</f>
        <v>0</v>
      </c>
      <c r="I593" s="19">
        <f>I594</f>
        <v>0</v>
      </c>
    </row>
    <row r="594" spans="1:9" ht="22.2" hidden="1" customHeight="1" x14ac:dyDescent="0.25">
      <c r="A594" s="9" t="s">
        <v>764</v>
      </c>
      <c r="B594" s="3" t="s">
        <v>117</v>
      </c>
      <c r="C594" s="6" t="s">
        <v>725</v>
      </c>
      <c r="D594" s="6" t="s">
        <v>701</v>
      </c>
      <c r="E594" s="6" t="s">
        <v>404</v>
      </c>
      <c r="F594" s="6" t="s">
        <v>765</v>
      </c>
      <c r="G594" s="19">
        <v>0</v>
      </c>
      <c r="H594" s="19">
        <v>0</v>
      </c>
      <c r="I594" s="19">
        <v>0</v>
      </c>
    </row>
    <row r="595" spans="1:9" ht="45" hidden="1" customHeight="1" x14ac:dyDescent="0.25">
      <c r="A595" s="55" t="s">
        <v>335</v>
      </c>
      <c r="B595" s="56">
        <v>951</v>
      </c>
      <c r="C595" s="36" t="s">
        <v>725</v>
      </c>
      <c r="D595" s="36" t="s">
        <v>701</v>
      </c>
      <c r="E595" s="36" t="s">
        <v>699</v>
      </c>
      <c r="F595" s="36" t="s">
        <v>223</v>
      </c>
      <c r="G595" s="35">
        <f>G596</f>
        <v>0</v>
      </c>
      <c r="H595" s="35">
        <f t="shared" ref="H595:I597" si="127">H596</f>
        <v>0</v>
      </c>
      <c r="I595" s="35">
        <f t="shared" si="127"/>
        <v>0</v>
      </c>
    </row>
    <row r="596" spans="1:9" ht="88.2" hidden="1" customHeight="1" x14ac:dyDescent="0.25">
      <c r="A596" s="21" t="s">
        <v>1008</v>
      </c>
      <c r="B596" s="28">
        <v>951</v>
      </c>
      <c r="C596" s="8" t="s">
        <v>725</v>
      </c>
      <c r="D596" s="8" t="s">
        <v>701</v>
      </c>
      <c r="E596" s="8" t="s">
        <v>584</v>
      </c>
      <c r="F596" s="8" t="s">
        <v>223</v>
      </c>
      <c r="G596" s="24">
        <f>G597</f>
        <v>0</v>
      </c>
      <c r="H596" s="24">
        <f t="shared" si="127"/>
        <v>0</v>
      </c>
      <c r="I596" s="24">
        <f t="shared" si="127"/>
        <v>0</v>
      </c>
    </row>
    <row r="597" spans="1:9" ht="44.4" hidden="1" customHeight="1" x14ac:dyDescent="0.25">
      <c r="A597" s="22" t="s">
        <v>1009</v>
      </c>
      <c r="B597" s="28" t="s">
        <v>117</v>
      </c>
      <c r="C597" s="8" t="s">
        <v>725</v>
      </c>
      <c r="D597" s="8" t="s">
        <v>701</v>
      </c>
      <c r="E597" s="8" t="s">
        <v>584</v>
      </c>
      <c r="F597" s="8" t="s">
        <v>763</v>
      </c>
      <c r="G597" s="24">
        <f>G598</f>
        <v>0</v>
      </c>
      <c r="H597" s="24">
        <f t="shared" si="127"/>
        <v>0</v>
      </c>
      <c r="I597" s="24">
        <f t="shared" si="127"/>
        <v>0</v>
      </c>
    </row>
    <row r="598" spans="1:9" ht="15" hidden="1" customHeight="1" x14ac:dyDescent="0.25">
      <c r="A598" s="22" t="s">
        <v>764</v>
      </c>
      <c r="B598" s="28">
        <v>951</v>
      </c>
      <c r="C598" s="8" t="s">
        <v>725</v>
      </c>
      <c r="D598" s="8" t="s">
        <v>701</v>
      </c>
      <c r="E598" s="8" t="s">
        <v>584</v>
      </c>
      <c r="F598" s="8" t="s">
        <v>765</v>
      </c>
      <c r="G598" s="24"/>
      <c r="H598" s="24">
        <v>0</v>
      </c>
      <c r="I598" s="24">
        <v>0</v>
      </c>
    </row>
    <row r="599" spans="1:9" ht="45" hidden="1" customHeight="1" x14ac:dyDescent="0.25">
      <c r="A599" s="55" t="s">
        <v>929</v>
      </c>
      <c r="B599" s="56">
        <v>951</v>
      </c>
      <c r="C599" s="36" t="s">
        <v>725</v>
      </c>
      <c r="D599" s="36" t="s">
        <v>701</v>
      </c>
      <c r="E599" s="36" t="s">
        <v>71</v>
      </c>
      <c r="F599" s="36" t="s">
        <v>223</v>
      </c>
      <c r="G599" s="35">
        <f>G603+G600</f>
        <v>0</v>
      </c>
      <c r="H599" s="35">
        <f>H603+H600</f>
        <v>0</v>
      </c>
      <c r="I599" s="35">
        <f>I603+I600</f>
        <v>0</v>
      </c>
    </row>
    <row r="600" spans="1:9" ht="86.4" hidden="1" customHeight="1" x14ac:dyDescent="0.25">
      <c r="A600" s="370" t="s">
        <v>1010</v>
      </c>
      <c r="B600" s="57">
        <v>951</v>
      </c>
      <c r="C600" s="29" t="s">
        <v>725</v>
      </c>
      <c r="D600" s="29" t="s">
        <v>701</v>
      </c>
      <c r="E600" s="29" t="s">
        <v>483</v>
      </c>
      <c r="F600" s="29" t="s">
        <v>223</v>
      </c>
      <c r="G600" s="26">
        <f t="shared" ref="G600:I601" si="128">G601</f>
        <v>0</v>
      </c>
      <c r="H600" s="26">
        <f t="shared" si="128"/>
        <v>0</v>
      </c>
      <c r="I600" s="26">
        <f t="shared" si="128"/>
        <v>0</v>
      </c>
    </row>
    <row r="601" spans="1:9" ht="28.2" hidden="1" customHeight="1" x14ac:dyDescent="0.25">
      <c r="A601" s="21" t="s">
        <v>709</v>
      </c>
      <c r="B601" s="28">
        <v>951</v>
      </c>
      <c r="C601" s="8" t="s">
        <v>725</v>
      </c>
      <c r="D601" s="8" t="s">
        <v>701</v>
      </c>
      <c r="E601" s="8" t="s">
        <v>483</v>
      </c>
      <c r="F601" s="8" t="s">
        <v>710</v>
      </c>
      <c r="G601" s="24">
        <f t="shared" si="128"/>
        <v>0</v>
      </c>
      <c r="H601" s="24">
        <f t="shared" si="128"/>
        <v>0</v>
      </c>
      <c r="I601" s="24">
        <f t="shared" si="128"/>
        <v>0</v>
      </c>
    </row>
    <row r="602" spans="1:9" ht="44.4" hidden="1" customHeight="1" x14ac:dyDescent="0.25">
      <c r="A602" s="22" t="s">
        <v>711</v>
      </c>
      <c r="B602" s="28">
        <v>951</v>
      </c>
      <c r="C602" s="8" t="s">
        <v>725</v>
      </c>
      <c r="D602" s="8" t="s">
        <v>701</v>
      </c>
      <c r="E602" s="8" t="s">
        <v>483</v>
      </c>
      <c r="F602" s="8" t="s">
        <v>712</v>
      </c>
      <c r="G602" s="24"/>
      <c r="H602" s="24"/>
      <c r="I602" s="24"/>
    </row>
    <row r="603" spans="1:9" ht="59.4" hidden="1" customHeight="1" x14ac:dyDescent="0.25">
      <c r="A603" s="15" t="s">
        <v>1011</v>
      </c>
      <c r="B603" s="57">
        <v>951</v>
      </c>
      <c r="C603" s="29" t="s">
        <v>725</v>
      </c>
      <c r="D603" s="29" t="s">
        <v>701</v>
      </c>
      <c r="E603" s="29" t="s">
        <v>518</v>
      </c>
      <c r="F603" s="29" t="s">
        <v>223</v>
      </c>
      <c r="G603" s="26">
        <f t="shared" ref="G603:I604" si="129">G604</f>
        <v>0</v>
      </c>
      <c r="H603" s="26">
        <f t="shared" si="129"/>
        <v>0</v>
      </c>
      <c r="I603" s="26">
        <f t="shared" si="129"/>
        <v>0</v>
      </c>
    </row>
    <row r="604" spans="1:9" ht="36.75" hidden="1" customHeight="1" x14ac:dyDescent="0.25">
      <c r="A604" s="21" t="s">
        <v>709</v>
      </c>
      <c r="B604" s="28">
        <v>951</v>
      </c>
      <c r="C604" s="8" t="s">
        <v>725</v>
      </c>
      <c r="D604" s="8" t="s">
        <v>701</v>
      </c>
      <c r="E604" s="8" t="s">
        <v>518</v>
      </c>
      <c r="F604" s="8" t="s">
        <v>710</v>
      </c>
      <c r="G604" s="24">
        <f t="shared" si="129"/>
        <v>0</v>
      </c>
      <c r="H604" s="24">
        <f t="shared" si="129"/>
        <v>0</v>
      </c>
      <c r="I604" s="24">
        <f t="shared" si="129"/>
        <v>0</v>
      </c>
    </row>
    <row r="605" spans="1:9" ht="43.95" hidden="1" customHeight="1" x14ac:dyDescent="0.25">
      <c r="A605" s="22" t="s">
        <v>711</v>
      </c>
      <c r="B605" s="28">
        <v>951</v>
      </c>
      <c r="C605" s="8" t="s">
        <v>725</v>
      </c>
      <c r="D605" s="8" t="s">
        <v>701</v>
      </c>
      <c r="E605" s="8" t="s">
        <v>518</v>
      </c>
      <c r="F605" s="8" t="s">
        <v>712</v>
      </c>
      <c r="G605" s="24"/>
      <c r="H605" s="24"/>
      <c r="I605" s="24"/>
    </row>
    <row r="606" spans="1:9" ht="58.95" customHeight="1" x14ac:dyDescent="0.25">
      <c r="A606" s="67" t="s">
        <v>513</v>
      </c>
      <c r="B606" s="56">
        <v>951</v>
      </c>
      <c r="C606" s="36" t="s">
        <v>725</v>
      </c>
      <c r="D606" s="36" t="s">
        <v>701</v>
      </c>
      <c r="E606" s="36" t="s">
        <v>71</v>
      </c>
      <c r="F606" s="36" t="s">
        <v>223</v>
      </c>
      <c r="G606" s="35">
        <f>G610+G607</f>
        <v>500</v>
      </c>
      <c r="H606" s="35">
        <f>H610+H607</f>
        <v>0</v>
      </c>
      <c r="I606" s="35">
        <f>I610+I607</f>
        <v>0</v>
      </c>
    </row>
    <row r="607" spans="1:9" ht="90.75" customHeight="1" x14ac:dyDescent="0.25">
      <c r="A607" s="22" t="s">
        <v>1012</v>
      </c>
      <c r="B607" s="28">
        <v>951</v>
      </c>
      <c r="C607" s="8" t="s">
        <v>725</v>
      </c>
      <c r="D607" s="8" t="s">
        <v>701</v>
      </c>
      <c r="E607" s="8" t="s">
        <v>484</v>
      </c>
      <c r="F607" s="8" t="s">
        <v>223</v>
      </c>
      <c r="G607" s="24">
        <f t="shared" ref="G607:I608" si="130">G608</f>
        <v>495</v>
      </c>
      <c r="H607" s="24">
        <f t="shared" si="130"/>
        <v>0</v>
      </c>
      <c r="I607" s="24">
        <f t="shared" si="130"/>
        <v>0</v>
      </c>
    </row>
    <row r="608" spans="1:9" ht="42.75" customHeight="1" x14ac:dyDescent="0.25">
      <c r="A608" s="21" t="s">
        <v>709</v>
      </c>
      <c r="B608" s="28">
        <v>951</v>
      </c>
      <c r="C608" s="8" t="s">
        <v>725</v>
      </c>
      <c r="D608" s="8" t="s">
        <v>701</v>
      </c>
      <c r="E608" s="8" t="s">
        <v>484</v>
      </c>
      <c r="F608" s="8" t="s">
        <v>710</v>
      </c>
      <c r="G608" s="24">
        <f t="shared" si="130"/>
        <v>495</v>
      </c>
      <c r="H608" s="24">
        <f t="shared" si="130"/>
        <v>0</v>
      </c>
      <c r="I608" s="24">
        <f t="shared" si="130"/>
        <v>0</v>
      </c>
    </row>
    <row r="609" spans="1:9" ht="43.95" customHeight="1" x14ac:dyDescent="0.25">
      <c r="A609" s="22" t="s">
        <v>711</v>
      </c>
      <c r="B609" s="28">
        <v>951</v>
      </c>
      <c r="C609" s="8" t="s">
        <v>725</v>
      </c>
      <c r="D609" s="8" t="s">
        <v>701</v>
      </c>
      <c r="E609" s="8" t="s">
        <v>484</v>
      </c>
      <c r="F609" s="8" t="s">
        <v>712</v>
      </c>
      <c r="G609" s="24">
        <f>'5'!D138</f>
        <v>495</v>
      </c>
      <c r="H609" s="24">
        <f>'5'!E138</f>
        <v>0</v>
      </c>
      <c r="I609" s="24">
        <f>'5'!F138</f>
        <v>0</v>
      </c>
    </row>
    <row r="610" spans="1:9" ht="99" customHeight="1" x14ac:dyDescent="0.25">
      <c r="A610" s="22" t="s">
        <v>1013</v>
      </c>
      <c r="B610" s="28">
        <v>951</v>
      </c>
      <c r="C610" s="8" t="s">
        <v>725</v>
      </c>
      <c r="D610" s="8" t="s">
        <v>701</v>
      </c>
      <c r="E610" s="8" t="s">
        <v>932</v>
      </c>
      <c r="F610" s="8" t="s">
        <v>223</v>
      </c>
      <c r="G610" s="24">
        <f t="shared" ref="G610:I611" si="131">G611</f>
        <v>5</v>
      </c>
      <c r="H610" s="24">
        <f t="shared" si="131"/>
        <v>0</v>
      </c>
      <c r="I610" s="24">
        <f t="shared" si="131"/>
        <v>0</v>
      </c>
    </row>
    <row r="611" spans="1:9" ht="33.6" customHeight="1" x14ac:dyDescent="0.25">
      <c r="A611" s="21" t="s">
        <v>709</v>
      </c>
      <c r="B611" s="28">
        <v>951</v>
      </c>
      <c r="C611" s="8" t="s">
        <v>725</v>
      </c>
      <c r="D611" s="8" t="s">
        <v>701</v>
      </c>
      <c r="E611" s="8" t="s">
        <v>932</v>
      </c>
      <c r="F611" s="8" t="s">
        <v>710</v>
      </c>
      <c r="G611" s="24">
        <f t="shared" si="131"/>
        <v>5</v>
      </c>
      <c r="H611" s="24">
        <f t="shared" si="131"/>
        <v>0</v>
      </c>
      <c r="I611" s="24">
        <f t="shared" si="131"/>
        <v>0</v>
      </c>
    </row>
    <row r="612" spans="1:9" ht="43.95" customHeight="1" x14ac:dyDescent="0.25">
      <c r="A612" s="22" t="s">
        <v>711</v>
      </c>
      <c r="B612" s="28">
        <v>951</v>
      </c>
      <c r="C612" s="8" t="s">
        <v>725</v>
      </c>
      <c r="D612" s="8" t="s">
        <v>701</v>
      </c>
      <c r="E612" s="8" t="s">
        <v>932</v>
      </c>
      <c r="F612" s="8" t="s">
        <v>712</v>
      </c>
      <c r="G612" s="19">
        <f>'5'!D139</f>
        <v>5</v>
      </c>
      <c r="H612" s="19">
        <f>'5'!E139</f>
        <v>0</v>
      </c>
      <c r="I612" s="19">
        <f>'5'!F139</f>
        <v>0</v>
      </c>
    </row>
    <row r="613" spans="1:9" ht="32.4" hidden="1" customHeight="1" x14ac:dyDescent="0.25">
      <c r="A613" s="67" t="s">
        <v>519</v>
      </c>
      <c r="B613" s="56">
        <v>951</v>
      </c>
      <c r="C613" s="36" t="s">
        <v>725</v>
      </c>
      <c r="D613" s="36" t="s">
        <v>701</v>
      </c>
      <c r="E613" s="36" t="s">
        <v>699</v>
      </c>
      <c r="F613" s="36" t="s">
        <v>223</v>
      </c>
      <c r="G613" s="35">
        <f>G617+G614</f>
        <v>0</v>
      </c>
      <c r="H613" s="35">
        <f>H617+H614</f>
        <v>0</v>
      </c>
      <c r="I613" s="35">
        <f>I617+I614</f>
        <v>0</v>
      </c>
    </row>
    <row r="614" spans="1:9" ht="43.95" hidden="1" customHeight="1" x14ac:dyDescent="0.25">
      <c r="A614" s="370" t="s">
        <v>933</v>
      </c>
      <c r="B614" s="28">
        <v>951</v>
      </c>
      <c r="C614" s="8" t="s">
        <v>725</v>
      </c>
      <c r="D614" s="8" t="s">
        <v>701</v>
      </c>
      <c r="E614" s="8" t="s">
        <v>934</v>
      </c>
      <c r="F614" s="8" t="s">
        <v>223</v>
      </c>
      <c r="G614" s="24">
        <f t="shared" ref="G614:I615" si="132">G615</f>
        <v>0</v>
      </c>
      <c r="H614" s="24">
        <f t="shared" si="132"/>
        <v>0</v>
      </c>
      <c r="I614" s="24">
        <f t="shared" si="132"/>
        <v>0</v>
      </c>
    </row>
    <row r="615" spans="1:9" ht="36" hidden="1" customHeight="1" x14ac:dyDescent="0.25">
      <c r="A615" s="21" t="s">
        <v>709</v>
      </c>
      <c r="B615" s="28">
        <v>951</v>
      </c>
      <c r="C615" s="8" t="s">
        <v>725</v>
      </c>
      <c r="D615" s="8" t="s">
        <v>701</v>
      </c>
      <c r="E615" s="8" t="s">
        <v>934</v>
      </c>
      <c r="F615" s="8" t="s">
        <v>710</v>
      </c>
      <c r="G615" s="24">
        <f t="shared" si="132"/>
        <v>0</v>
      </c>
      <c r="H615" s="24">
        <f t="shared" si="132"/>
        <v>0</v>
      </c>
      <c r="I615" s="24">
        <f t="shared" si="132"/>
        <v>0</v>
      </c>
    </row>
    <row r="616" spans="1:9" ht="43.95" hidden="1" customHeight="1" x14ac:dyDescent="0.25">
      <c r="A616" s="22" t="s">
        <v>711</v>
      </c>
      <c r="B616" s="28">
        <v>951</v>
      </c>
      <c r="C616" s="8" t="s">
        <v>725</v>
      </c>
      <c r="D616" s="8" t="s">
        <v>701</v>
      </c>
      <c r="E616" s="8" t="s">
        <v>934</v>
      </c>
      <c r="F616" s="8" t="s">
        <v>712</v>
      </c>
      <c r="G616" s="24"/>
      <c r="H616" s="24"/>
      <c r="I616" s="24"/>
    </row>
    <row r="617" spans="1:9" ht="58.95" hidden="1" customHeight="1" x14ac:dyDescent="0.25">
      <c r="A617" s="22" t="s">
        <v>523</v>
      </c>
      <c r="B617" s="28">
        <v>951</v>
      </c>
      <c r="C617" s="8" t="s">
        <v>725</v>
      </c>
      <c r="D617" s="8" t="s">
        <v>701</v>
      </c>
      <c r="E617" s="8" t="s">
        <v>585</v>
      </c>
      <c r="F617" s="8" t="s">
        <v>223</v>
      </c>
      <c r="G617" s="24">
        <f t="shared" ref="G617:I618" si="133">G618</f>
        <v>0</v>
      </c>
      <c r="H617" s="24">
        <f t="shared" si="133"/>
        <v>0</v>
      </c>
      <c r="I617" s="24">
        <f t="shared" si="133"/>
        <v>0</v>
      </c>
    </row>
    <row r="618" spans="1:9" ht="32.4" hidden="1" customHeight="1" x14ac:dyDescent="0.25">
      <c r="A618" s="21" t="s">
        <v>709</v>
      </c>
      <c r="B618" s="28">
        <v>951</v>
      </c>
      <c r="C618" s="8" t="s">
        <v>725</v>
      </c>
      <c r="D618" s="8" t="s">
        <v>701</v>
      </c>
      <c r="E618" s="8" t="s">
        <v>585</v>
      </c>
      <c r="F618" s="8" t="s">
        <v>710</v>
      </c>
      <c r="G618" s="24">
        <f t="shared" si="133"/>
        <v>0</v>
      </c>
      <c r="H618" s="24">
        <f t="shared" si="133"/>
        <v>0</v>
      </c>
      <c r="I618" s="24">
        <f t="shared" si="133"/>
        <v>0</v>
      </c>
    </row>
    <row r="619" spans="1:9" ht="43.95" hidden="1" customHeight="1" x14ac:dyDescent="0.25">
      <c r="A619" s="22" t="s">
        <v>711</v>
      </c>
      <c r="B619" s="28">
        <v>951</v>
      </c>
      <c r="C619" s="8" t="s">
        <v>725</v>
      </c>
      <c r="D619" s="8" t="s">
        <v>701</v>
      </c>
      <c r="E619" s="8" t="s">
        <v>585</v>
      </c>
      <c r="F619" s="8" t="s">
        <v>712</v>
      </c>
      <c r="G619" s="19">
        <v>0</v>
      </c>
      <c r="H619" s="19">
        <v>0</v>
      </c>
      <c r="I619" s="19">
        <v>0</v>
      </c>
    </row>
    <row r="620" spans="1:9" ht="36" customHeight="1" x14ac:dyDescent="0.25">
      <c r="A620" s="378" t="s">
        <v>942</v>
      </c>
      <c r="B620" s="359">
        <v>951</v>
      </c>
      <c r="C620" s="379" t="s">
        <v>736</v>
      </c>
      <c r="D620" s="379" t="s">
        <v>109</v>
      </c>
      <c r="E620" s="379" t="s">
        <v>699</v>
      </c>
      <c r="F620" s="379" t="s">
        <v>223</v>
      </c>
      <c r="G620" s="360">
        <f>G621+G626</f>
        <v>10</v>
      </c>
      <c r="H620" s="360">
        <f>H621+H626</f>
        <v>110</v>
      </c>
      <c r="I620" s="360">
        <f>I621+I626</f>
        <v>110</v>
      </c>
    </row>
    <row r="621" spans="1:9" ht="69" x14ac:dyDescent="0.25">
      <c r="A621" s="15" t="s">
        <v>488</v>
      </c>
      <c r="B621" s="380">
        <v>951</v>
      </c>
      <c r="C621" s="8" t="s">
        <v>736</v>
      </c>
      <c r="D621" s="8" t="s">
        <v>108</v>
      </c>
      <c r="E621" s="8" t="s">
        <v>699</v>
      </c>
      <c r="F621" s="8" t="s">
        <v>223</v>
      </c>
      <c r="G621" s="330">
        <f>G622</f>
        <v>10</v>
      </c>
      <c r="H621" s="330">
        <f t="shared" ref="H621:I629" si="134">H622</f>
        <v>0</v>
      </c>
      <c r="I621" s="330">
        <f t="shared" si="134"/>
        <v>0</v>
      </c>
    </row>
    <row r="622" spans="1:9" ht="27.6" x14ac:dyDescent="0.25">
      <c r="A622" s="21" t="s">
        <v>944</v>
      </c>
      <c r="B622" s="380">
        <v>951</v>
      </c>
      <c r="C622" s="8" t="s">
        <v>736</v>
      </c>
      <c r="D622" s="8" t="s">
        <v>108</v>
      </c>
      <c r="E622" s="8" t="s">
        <v>283</v>
      </c>
      <c r="F622" s="8" t="s">
        <v>223</v>
      </c>
      <c r="G622" s="331">
        <f>G623</f>
        <v>10</v>
      </c>
      <c r="H622" s="330">
        <f t="shared" si="134"/>
        <v>0</v>
      </c>
      <c r="I622" s="330">
        <f t="shared" si="134"/>
        <v>0</v>
      </c>
    </row>
    <row r="623" spans="1:9" x14ac:dyDescent="0.25">
      <c r="A623" s="21" t="s">
        <v>1014</v>
      </c>
      <c r="B623" s="380">
        <v>951</v>
      </c>
      <c r="C623" s="8" t="s">
        <v>736</v>
      </c>
      <c r="D623" s="8" t="s">
        <v>108</v>
      </c>
      <c r="E623" s="8" t="s">
        <v>283</v>
      </c>
      <c r="F623" s="8" t="s">
        <v>223</v>
      </c>
      <c r="G623" s="331">
        <f>G624</f>
        <v>10</v>
      </c>
      <c r="H623" s="330">
        <f t="shared" si="134"/>
        <v>0</v>
      </c>
      <c r="I623" s="330">
        <f t="shared" si="134"/>
        <v>0</v>
      </c>
    </row>
    <row r="624" spans="1:9" ht="31.2" customHeight="1" x14ac:dyDescent="0.25">
      <c r="A624" s="21" t="s">
        <v>123</v>
      </c>
      <c r="B624" s="380">
        <v>951</v>
      </c>
      <c r="C624" s="8" t="s">
        <v>736</v>
      </c>
      <c r="D624" s="8" t="s">
        <v>108</v>
      </c>
      <c r="E624" s="8" t="s">
        <v>283</v>
      </c>
      <c r="F624" s="8" t="s">
        <v>946</v>
      </c>
      <c r="G624" s="331">
        <f>G625</f>
        <v>10</v>
      </c>
      <c r="H624" s="330">
        <f t="shared" si="134"/>
        <v>0</v>
      </c>
      <c r="I624" s="330">
        <f t="shared" si="134"/>
        <v>0</v>
      </c>
    </row>
    <row r="625" spans="1:12" ht="19.2" customHeight="1" x14ac:dyDescent="0.25">
      <c r="A625" s="21" t="s">
        <v>130</v>
      </c>
      <c r="B625" s="380">
        <v>951</v>
      </c>
      <c r="C625" s="8" t="s">
        <v>736</v>
      </c>
      <c r="D625" s="8" t="s">
        <v>108</v>
      </c>
      <c r="E625" s="8" t="s">
        <v>283</v>
      </c>
      <c r="F625" s="8" t="s">
        <v>947</v>
      </c>
      <c r="G625" s="19">
        <f>110-100</f>
        <v>10</v>
      </c>
      <c r="H625" s="24">
        <v>0</v>
      </c>
      <c r="I625" s="24">
        <v>0</v>
      </c>
    </row>
    <row r="626" spans="1:12" s="59" customFormat="1" ht="30" customHeight="1" x14ac:dyDescent="0.3">
      <c r="A626" s="15" t="s">
        <v>702</v>
      </c>
      <c r="B626" s="400">
        <v>951</v>
      </c>
      <c r="C626" s="29" t="s">
        <v>736</v>
      </c>
      <c r="D626" s="29" t="s">
        <v>108</v>
      </c>
      <c r="E626" s="29" t="s">
        <v>568</v>
      </c>
      <c r="F626" s="29" t="s">
        <v>223</v>
      </c>
      <c r="G626" s="422">
        <f>G627</f>
        <v>0</v>
      </c>
      <c r="H626" s="401">
        <f t="shared" si="134"/>
        <v>110</v>
      </c>
      <c r="I626" s="401">
        <f t="shared" si="134"/>
        <v>110</v>
      </c>
    </row>
    <row r="627" spans="1:12" ht="30" customHeight="1" x14ac:dyDescent="0.25">
      <c r="A627" s="21" t="s">
        <v>944</v>
      </c>
      <c r="B627" s="380">
        <v>951</v>
      </c>
      <c r="C627" s="8" t="s">
        <v>736</v>
      </c>
      <c r="D627" s="8" t="s">
        <v>108</v>
      </c>
      <c r="E627" s="8" t="s">
        <v>568</v>
      </c>
      <c r="F627" s="8" t="s">
        <v>223</v>
      </c>
      <c r="G627" s="331">
        <f>G628</f>
        <v>0</v>
      </c>
      <c r="H627" s="330">
        <f t="shared" si="134"/>
        <v>110</v>
      </c>
      <c r="I627" s="330">
        <f t="shared" si="134"/>
        <v>110</v>
      </c>
    </row>
    <row r="628" spans="1:12" ht="19.2" customHeight="1" x14ac:dyDescent="0.25">
      <c r="A628" s="21" t="s">
        <v>1014</v>
      </c>
      <c r="B628" s="380">
        <v>951</v>
      </c>
      <c r="C628" s="8" t="s">
        <v>736</v>
      </c>
      <c r="D628" s="8" t="s">
        <v>108</v>
      </c>
      <c r="E628" s="8" t="s">
        <v>568</v>
      </c>
      <c r="F628" s="8" t="s">
        <v>946</v>
      </c>
      <c r="G628" s="331">
        <f>G629</f>
        <v>0</v>
      </c>
      <c r="H628" s="330">
        <f t="shared" si="134"/>
        <v>110</v>
      </c>
      <c r="I628" s="330">
        <f t="shared" si="134"/>
        <v>110</v>
      </c>
    </row>
    <row r="629" spans="1:12" ht="29.4" customHeight="1" x14ac:dyDescent="0.25">
      <c r="A629" s="21" t="s">
        <v>123</v>
      </c>
      <c r="B629" s="380">
        <v>951</v>
      </c>
      <c r="C629" s="8" t="s">
        <v>736</v>
      </c>
      <c r="D629" s="8" t="s">
        <v>108</v>
      </c>
      <c r="E629" s="8" t="s">
        <v>568</v>
      </c>
      <c r="F629" s="8" t="s">
        <v>946</v>
      </c>
      <c r="G629" s="330">
        <f>G630</f>
        <v>0</v>
      </c>
      <c r="H629" s="330">
        <f t="shared" si="134"/>
        <v>110</v>
      </c>
      <c r="I629" s="330">
        <f t="shared" si="134"/>
        <v>110</v>
      </c>
    </row>
    <row r="630" spans="1:12" ht="19.2" customHeight="1" x14ac:dyDescent="0.25">
      <c r="A630" s="21" t="s">
        <v>130</v>
      </c>
      <c r="B630" s="380">
        <v>952</v>
      </c>
      <c r="C630" s="8" t="s">
        <v>736</v>
      </c>
      <c r="D630" s="8" t="s">
        <v>108</v>
      </c>
      <c r="E630" s="8" t="s">
        <v>568</v>
      </c>
      <c r="F630" s="8" t="s">
        <v>947</v>
      </c>
      <c r="G630" s="24">
        <v>0</v>
      </c>
      <c r="H630" s="24">
        <v>110</v>
      </c>
      <c r="I630" s="24">
        <v>110</v>
      </c>
    </row>
    <row r="631" spans="1:12" ht="19.2" hidden="1" customHeight="1" x14ac:dyDescent="0.25">
      <c r="A631" s="21"/>
      <c r="B631" s="380"/>
      <c r="C631" s="8"/>
      <c r="D631" s="8"/>
      <c r="E631" s="8"/>
      <c r="F631" s="8"/>
      <c r="G631" s="24"/>
      <c r="H631" s="24"/>
      <c r="I631" s="24"/>
    </row>
    <row r="632" spans="1:12" ht="30.6" customHeight="1" x14ac:dyDescent="0.25">
      <c r="A632" s="355" t="s">
        <v>1015</v>
      </c>
      <c r="B632" s="356" t="s">
        <v>224</v>
      </c>
      <c r="C632" s="356" t="s">
        <v>109</v>
      </c>
      <c r="D632" s="356" t="s">
        <v>109</v>
      </c>
      <c r="E632" s="356" t="s">
        <v>699</v>
      </c>
      <c r="F632" s="356" t="s">
        <v>223</v>
      </c>
      <c r="G632" s="402">
        <f>G633+G648</f>
        <v>6972.4689999999991</v>
      </c>
      <c r="H632" s="402">
        <f t="shared" ref="H632:I632" si="135">H633+H648</f>
        <v>6972.4689999999991</v>
      </c>
      <c r="I632" s="402">
        <f t="shared" si="135"/>
        <v>6972.4689999999991</v>
      </c>
      <c r="K632" s="45">
        <v>6972.4690000000001</v>
      </c>
      <c r="L632" s="45">
        <v>6972.4690000000001</v>
      </c>
    </row>
    <row r="633" spans="1:12" ht="55.2" x14ac:dyDescent="0.25">
      <c r="A633" s="21" t="s">
        <v>707</v>
      </c>
      <c r="B633" s="380" t="s">
        <v>224</v>
      </c>
      <c r="C633" s="8" t="s">
        <v>108</v>
      </c>
      <c r="D633" s="8" t="s">
        <v>111</v>
      </c>
      <c r="E633" s="8" t="s">
        <v>699</v>
      </c>
      <c r="F633" s="8" t="s">
        <v>223</v>
      </c>
      <c r="G633" s="24">
        <f>G634</f>
        <v>6959.4689999999991</v>
      </c>
      <c r="H633" s="24">
        <f>H634</f>
        <v>6959.4689999999991</v>
      </c>
      <c r="I633" s="24">
        <f t="shared" ref="I633" si="136">I634</f>
        <v>6959.4689999999991</v>
      </c>
      <c r="K633" s="50">
        <f>K632-H632</f>
        <v>0</v>
      </c>
      <c r="L633" s="50">
        <f>L632-I632</f>
        <v>0</v>
      </c>
    </row>
    <row r="634" spans="1:12" ht="27.6" x14ac:dyDescent="0.25">
      <c r="A634" s="21" t="s">
        <v>702</v>
      </c>
      <c r="B634" s="380" t="s">
        <v>224</v>
      </c>
      <c r="C634" s="8" t="s">
        <v>108</v>
      </c>
      <c r="D634" s="8" t="s">
        <v>111</v>
      </c>
      <c r="E634" s="8" t="s">
        <v>5</v>
      </c>
      <c r="F634" s="8" t="s">
        <v>223</v>
      </c>
      <c r="G634" s="330">
        <f>G635</f>
        <v>6959.4689999999991</v>
      </c>
      <c r="H634" s="330">
        <f>H635</f>
        <v>6959.4689999999991</v>
      </c>
      <c r="I634" s="330">
        <f t="shared" ref="I634" si="137">I635</f>
        <v>6959.4689999999991</v>
      </c>
    </row>
    <row r="635" spans="1:12" ht="41.4" x14ac:dyDescent="0.25">
      <c r="A635" s="21" t="s">
        <v>110</v>
      </c>
      <c r="B635" s="380" t="s">
        <v>224</v>
      </c>
      <c r="C635" s="8" t="s">
        <v>108</v>
      </c>
      <c r="D635" s="8" t="s">
        <v>111</v>
      </c>
      <c r="E635" s="8" t="s">
        <v>6</v>
      </c>
      <c r="F635" s="8" t="s">
        <v>223</v>
      </c>
      <c r="G635" s="330">
        <f>G641+G636</f>
        <v>6959.4689999999991</v>
      </c>
      <c r="H635" s="330">
        <f>H641+H636</f>
        <v>6959.4689999999991</v>
      </c>
      <c r="I635" s="330">
        <f t="shared" ref="I635" si="138">I641+I636</f>
        <v>6959.4689999999991</v>
      </c>
    </row>
    <row r="636" spans="1:12" ht="27.6" x14ac:dyDescent="0.25">
      <c r="A636" s="21" t="s">
        <v>708</v>
      </c>
      <c r="B636" s="380" t="s">
        <v>224</v>
      </c>
      <c r="C636" s="8" t="s">
        <v>108</v>
      </c>
      <c r="D636" s="8" t="s">
        <v>111</v>
      </c>
      <c r="E636" s="8" t="s">
        <v>8</v>
      </c>
      <c r="F636" s="8" t="s">
        <v>223</v>
      </c>
      <c r="G636" s="330">
        <f>G637+G639</f>
        <v>3044.43</v>
      </c>
      <c r="H636" s="330">
        <f>H637+H639</f>
        <v>3044.43</v>
      </c>
      <c r="I636" s="330">
        <f>I637+I639</f>
        <v>3044.43</v>
      </c>
    </row>
    <row r="637" spans="1:12" ht="76.95" customHeight="1" x14ac:dyDescent="0.25">
      <c r="A637" s="21" t="s">
        <v>703</v>
      </c>
      <c r="B637" s="380" t="s">
        <v>224</v>
      </c>
      <c r="C637" s="8" t="s">
        <v>108</v>
      </c>
      <c r="D637" s="8" t="s">
        <v>111</v>
      </c>
      <c r="E637" s="8" t="s">
        <v>8</v>
      </c>
      <c r="F637" s="8" t="s">
        <v>704</v>
      </c>
      <c r="G637" s="330">
        <f>G638</f>
        <v>3029.43</v>
      </c>
      <c r="H637" s="330">
        <f>H638</f>
        <v>3029.43</v>
      </c>
      <c r="I637" s="330">
        <f>I638</f>
        <v>3029.43</v>
      </c>
    </row>
    <row r="638" spans="1:12" ht="33.6" customHeight="1" x14ac:dyDescent="0.25">
      <c r="A638" s="21" t="s">
        <v>705</v>
      </c>
      <c r="B638" s="380" t="s">
        <v>224</v>
      </c>
      <c r="C638" s="8" t="s">
        <v>108</v>
      </c>
      <c r="D638" s="8" t="s">
        <v>111</v>
      </c>
      <c r="E638" s="8" t="s">
        <v>8</v>
      </c>
      <c r="F638" s="8" t="s">
        <v>706</v>
      </c>
      <c r="G638" s="330">
        <f>'3'!F25</f>
        <v>3029.43</v>
      </c>
      <c r="H638" s="330">
        <f>'3'!G25</f>
        <v>3029.43</v>
      </c>
      <c r="I638" s="330">
        <f>'3'!H25</f>
        <v>3029.43</v>
      </c>
    </row>
    <row r="639" spans="1:12" ht="33.6" customHeight="1" x14ac:dyDescent="0.25">
      <c r="A639" s="21" t="s">
        <v>709</v>
      </c>
      <c r="B639" s="380" t="s">
        <v>224</v>
      </c>
      <c r="C639" s="8" t="s">
        <v>108</v>
      </c>
      <c r="D639" s="8" t="s">
        <v>111</v>
      </c>
      <c r="E639" s="8" t="s">
        <v>8</v>
      </c>
      <c r="F639" s="8" t="s">
        <v>710</v>
      </c>
      <c r="G639" s="330">
        <f>G640</f>
        <v>15</v>
      </c>
      <c r="H639" s="330">
        <f>H640</f>
        <v>15</v>
      </c>
      <c r="I639" s="330">
        <f>I640</f>
        <v>15</v>
      </c>
    </row>
    <row r="640" spans="1:12" ht="48" customHeight="1" x14ac:dyDescent="0.25">
      <c r="A640" s="21" t="s">
        <v>711</v>
      </c>
      <c r="B640" s="380" t="s">
        <v>224</v>
      </c>
      <c r="C640" s="8" t="s">
        <v>108</v>
      </c>
      <c r="D640" s="8" t="s">
        <v>111</v>
      </c>
      <c r="E640" s="8" t="s">
        <v>8</v>
      </c>
      <c r="F640" s="8" t="s">
        <v>712</v>
      </c>
      <c r="G640" s="330">
        <v>15</v>
      </c>
      <c r="H640" s="330">
        <v>15</v>
      </c>
      <c r="I640" s="330">
        <v>15</v>
      </c>
    </row>
    <row r="641" spans="1:11" ht="45.6" customHeight="1" x14ac:dyDescent="0.25">
      <c r="A641" s="21" t="s">
        <v>112</v>
      </c>
      <c r="B641" s="380" t="s">
        <v>224</v>
      </c>
      <c r="C641" s="8" t="s">
        <v>108</v>
      </c>
      <c r="D641" s="8" t="s">
        <v>111</v>
      </c>
      <c r="E641" s="8" t="s">
        <v>9</v>
      </c>
      <c r="F641" s="8" t="s">
        <v>223</v>
      </c>
      <c r="G641" s="330">
        <f>G642+G644+G646</f>
        <v>3915.0389999999998</v>
      </c>
      <c r="H641" s="330">
        <f>H642+H644+H646</f>
        <v>3915.0389999999998</v>
      </c>
      <c r="I641" s="330">
        <f>I642+I644+I646</f>
        <v>3915.0389999999998</v>
      </c>
    </row>
    <row r="642" spans="1:11" ht="75" customHeight="1" x14ac:dyDescent="0.25">
      <c r="A642" s="21" t="s">
        <v>703</v>
      </c>
      <c r="B642" s="380" t="s">
        <v>224</v>
      </c>
      <c r="C642" s="8" t="s">
        <v>108</v>
      </c>
      <c r="D642" s="8" t="s">
        <v>111</v>
      </c>
      <c r="E642" s="8" t="s">
        <v>9</v>
      </c>
      <c r="F642" s="8" t="s">
        <v>704</v>
      </c>
      <c r="G642" s="330">
        <f>G643</f>
        <v>2163</v>
      </c>
      <c r="H642" s="330">
        <f>H643</f>
        <v>3293</v>
      </c>
      <c r="I642" s="330">
        <f>I643</f>
        <v>3293</v>
      </c>
    </row>
    <row r="643" spans="1:11" ht="32.1" customHeight="1" x14ac:dyDescent="0.25">
      <c r="A643" s="21" t="s">
        <v>705</v>
      </c>
      <c r="B643" s="380" t="s">
        <v>224</v>
      </c>
      <c r="C643" s="8" t="s">
        <v>108</v>
      </c>
      <c r="D643" s="8" t="s">
        <v>111</v>
      </c>
      <c r="E643" s="8" t="s">
        <v>9</v>
      </c>
      <c r="F643" s="8" t="s">
        <v>706</v>
      </c>
      <c r="G643" s="19">
        <f>'3'!F30</f>
        <v>2163</v>
      </c>
      <c r="H643" s="19">
        <f>'3'!G30</f>
        <v>3293</v>
      </c>
      <c r="I643" s="19">
        <f>'3'!H30</f>
        <v>3293</v>
      </c>
    </row>
    <row r="644" spans="1:11" ht="27.6" x14ac:dyDescent="0.25">
      <c r="A644" s="21" t="s">
        <v>709</v>
      </c>
      <c r="B644" s="380" t="s">
        <v>224</v>
      </c>
      <c r="C644" s="8" t="s">
        <v>108</v>
      </c>
      <c r="D644" s="8" t="s">
        <v>111</v>
      </c>
      <c r="E644" s="8" t="s">
        <v>9</v>
      </c>
      <c r="F644" s="8" t="s">
        <v>710</v>
      </c>
      <c r="G644" s="19">
        <f>G645</f>
        <v>1747.039</v>
      </c>
      <c r="H644" s="24">
        <f>H645</f>
        <v>617.03899999999999</v>
      </c>
      <c r="I644" s="24">
        <f>I645</f>
        <v>617.03899999999999</v>
      </c>
    </row>
    <row r="645" spans="1:11" ht="41.4" x14ac:dyDescent="0.25">
      <c r="A645" s="21" t="s">
        <v>711</v>
      </c>
      <c r="B645" s="380" t="s">
        <v>224</v>
      </c>
      <c r="C645" s="8" t="s">
        <v>108</v>
      </c>
      <c r="D645" s="8" t="s">
        <v>111</v>
      </c>
      <c r="E645" s="8" t="s">
        <v>9</v>
      </c>
      <c r="F645" s="8" t="s">
        <v>712</v>
      </c>
      <c r="G645" s="19">
        <f>'3'!F32</f>
        <v>1747.039</v>
      </c>
      <c r="H645" s="19">
        <f>'3'!G32</f>
        <v>617.03899999999999</v>
      </c>
      <c r="I645" s="19">
        <f>'3'!H32</f>
        <v>617.03899999999999</v>
      </c>
    </row>
    <row r="646" spans="1:11" x14ac:dyDescent="0.25">
      <c r="A646" s="21" t="s">
        <v>713</v>
      </c>
      <c r="B646" s="28" t="s">
        <v>224</v>
      </c>
      <c r="C646" s="8" t="s">
        <v>108</v>
      </c>
      <c r="D646" s="8" t="s">
        <v>111</v>
      </c>
      <c r="E646" s="8" t="s">
        <v>9</v>
      </c>
      <c r="F646" s="8" t="s">
        <v>714</v>
      </c>
      <c r="G646" s="24">
        <f>G647</f>
        <v>5</v>
      </c>
      <c r="H646" s="24">
        <f>H647</f>
        <v>5</v>
      </c>
      <c r="I646" s="24">
        <f>I647</f>
        <v>5</v>
      </c>
    </row>
    <row r="647" spans="1:11" x14ac:dyDescent="0.25">
      <c r="A647" s="21" t="s">
        <v>715</v>
      </c>
      <c r="B647" s="28" t="s">
        <v>224</v>
      </c>
      <c r="C647" s="8" t="s">
        <v>108</v>
      </c>
      <c r="D647" s="8" t="s">
        <v>111</v>
      </c>
      <c r="E647" s="8" t="s">
        <v>9</v>
      </c>
      <c r="F647" s="8" t="s">
        <v>716</v>
      </c>
      <c r="G647" s="24">
        <v>5</v>
      </c>
      <c r="H647" s="24">
        <v>5</v>
      </c>
      <c r="I647" s="24">
        <v>5</v>
      </c>
    </row>
    <row r="648" spans="1:11" ht="62.4" x14ac:dyDescent="0.25">
      <c r="A648" s="301" t="s">
        <v>1064</v>
      </c>
      <c r="B648" s="129" t="s">
        <v>224</v>
      </c>
      <c r="C648" s="317" t="s">
        <v>212</v>
      </c>
      <c r="D648" s="317" t="s">
        <v>718</v>
      </c>
      <c r="E648" s="292" t="s">
        <v>1061</v>
      </c>
      <c r="F648" s="292" t="s">
        <v>223</v>
      </c>
      <c r="G648" s="24">
        <f>G649</f>
        <v>13</v>
      </c>
      <c r="H648" s="24">
        <f>H649</f>
        <v>13</v>
      </c>
      <c r="I648" s="24">
        <f t="shared" ref="H648:I649" si="139">I649</f>
        <v>13</v>
      </c>
    </row>
    <row r="649" spans="1:11" ht="27.6" x14ac:dyDescent="0.25">
      <c r="A649" s="21" t="s">
        <v>709</v>
      </c>
      <c r="B649" s="380" t="s">
        <v>224</v>
      </c>
      <c r="C649" s="8" t="s">
        <v>212</v>
      </c>
      <c r="D649" s="8" t="s">
        <v>718</v>
      </c>
      <c r="E649" s="262" t="s">
        <v>1061</v>
      </c>
      <c r="F649" s="262" t="s">
        <v>710</v>
      </c>
      <c r="G649" s="24">
        <f>G650</f>
        <v>13</v>
      </c>
      <c r="H649" s="24">
        <f t="shared" si="139"/>
        <v>13</v>
      </c>
      <c r="I649" s="24">
        <f t="shared" si="139"/>
        <v>13</v>
      </c>
    </row>
    <row r="650" spans="1:11" ht="41.4" x14ac:dyDescent="0.25">
      <c r="A650" s="22" t="s">
        <v>711</v>
      </c>
      <c r="B650" s="380" t="s">
        <v>224</v>
      </c>
      <c r="C650" s="8" t="s">
        <v>212</v>
      </c>
      <c r="D650" s="8" t="s">
        <v>718</v>
      </c>
      <c r="E650" s="262" t="s">
        <v>1061</v>
      </c>
      <c r="F650" s="262" t="s">
        <v>712</v>
      </c>
      <c r="G650" s="24">
        <v>13</v>
      </c>
      <c r="H650" s="24">
        <v>13</v>
      </c>
      <c r="I650" s="24">
        <v>13</v>
      </c>
    </row>
    <row r="651" spans="1:11" ht="45" customHeight="1" x14ac:dyDescent="0.25">
      <c r="A651" s="355" t="s">
        <v>1016</v>
      </c>
      <c r="B651" s="356" t="s">
        <v>227</v>
      </c>
      <c r="C651" s="356" t="s">
        <v>109</v>
      </c>
      <c r="D651" s="356" t="s">
        <v>109</v>
      </c>
      <c r="E651" s="356" t="s">
        <v>699</v>
      </c>
      <c r="F651" s="356" t="s">
        <v>223</v>
      </c>
      <c r="G651" s="403">
        <f>G652+G663+G666+G672+G683+G678+G680</f>
        <v>31060.888609999998</v>
      </c>
      <c r="H651" s="403">
        <f t="shared" ref="H651:J651" si="140">H652+H663+H666+H672+H683+H678+H680</f>
        <v>22456.241999999998</v>
      </c>
      <c r="I651" s="403">
        <f t="shared" si="140"/>
        <v>22406.241999999998</v>
      </c>
      <c r="J651" s="403">
        <f t="shared" si="140"/>
        <v>0</v>
      </c>
      <c r="K651" s="50"/>
    </row>
    <row r="652" spans="1:11" ht="46.2" customHeight="1" x14ac:dyDescent="0.25">
      <c r="A652" s="361" t="s">
        <v>719</v>
      </c>
      <c r="B652" s="380" t="s">
        <v>227</v>
      </c>
      <c r="C652" s="8" t="s">
        <v>108</v>
      </c>
      <c r="D652" s="8" t="s">
        <v>720</v>
      </c>
      <c r="E652" s="8" t="s">
        <v>699</v>
      </c>
      <c r="F652" s="8" t="s">
        <v>223</v>
      </c>
      <c r="G652" s="331">
        <f t="shared" ref="G652:I653" si="141">G653</f>
        <v>10645.2</v>
      </c>
      <c r="H652" s="330">
        <f t="shared" si="141"/>
        <v>10645.2</v>
      </c>
      <c r="I652" s="330">
        <f t="shared" si="141"/>
        <v>10645.2</v>
      </c>
    </row>
    <row r="653" spans="1:11" ht="42.75" customHeight="1" x14ac:dyDescent="0.25">
      <c r="A653" s="361" t="s">
        <v>110</v>
      </c>
      <c r="B653" s="380" t="s">
        <v>227</v>
      </c>
      <c r="C653" s="8" t="s">
        <v>108</v>
      </c>
      <c r="D653" s="8" t="s">
        <v>720</v>
      </c>
      <c r="E653" s="8" t="s">
        <v>5</v>
      </c>
      <c r="F653" s="8" t="s">
        <v>223</v>
      </c>
      <c r="G653" s="331">
        <f t="shared" si="141"/>
        <v>10645.2</v>
      </c>
      <c r="H653" s="330">
        <f t="shared" si="141"/>
        <v>10645.2</v>
      </c>
      <c r="I653" s="330">
        <f t="shared" si="141"/>
        <v>10645.2</v>
      </c>
    </row>
    <row r="654" spans="1:11" ht="41.4" x14ac:dyDescent="0.25">
      <c r="A654" s="21" t="s">
        <v>721</v>
      </c>
      <c r="B654" s="380" t="s">
        <v>227</v>
      </c>
      <c r="C654" s="8" t="s">
        <v>108</v>
      </c>
      <c r="D654" s="8" t="s">
        <v>720</v>
      </c>
      <c r="E654" s="8" t="s">
        <v>6</v>
      </c>
      <c r="F654" s="8" t="s">
        <v>223</v>
      </c>
      <c r="G654" s="331">
        <f>G655+G657+G661+G675+G659</f>
        <v>10645.2</v>
      </c>
      <c r="H654" s="330">
        <f>H655+H657+H661+H675</f>
        <v>10645.2</v>
      </c>
      <c r="I654" s="330">
        <f>I655+I657+I661+I675</f>
        <v>10645.2</v>
      </c>
    </row>
    <row r="655" spans="1:11" ht="78" customHeight="1" x14ac:dyDescent="0.25">
      <c r="A655" s="21" t="s">
        <v>703</v>
      </c>
      <c r="B655" s="380" t="s">
        <v>227</v>
      </c>
      <c r="C655" s="8" t="s">
        <v>108</v>
      </c>
      <c r="D655" s="8" t="s">
        <v>720</v>
      </c>
      <c r="E655" s="8" t="s">
        <v>9</v>
      </c>
      <c r="F655" s="8" t="s">
        <v>704</v>
      </c>
      <c r="G655" s="331">
        <f>G656</f>
        <v>9647.3000000000011</v>
      </c>
      <c r="H655" s="330">
        <f>H656</f>
        <v>9647.3000000000011</v>
      </c>
      <c r="I655" s="330">
        <f>I656</f>
        <v>9647.3000000000011</v>
      </c>
    </row>
    <row r="656" spans="1:11" ht="27.6" x14ac:dyDescent="0.25">
      <c r="A656" s="21" t="s">
        <v>705</v>
      </c>
      <c r="B656" s="380" t="s">
        <v>227</v>
      </c>
      <c r="C656" s="8" t="s">
        <v>108</v>
      </c>
      <c r="D656" s="8" t="s">
        <v>720</v>
      </c>
      <c r="E656" s="8" t="s">
        <v>9</v>
      </c>
      <c r="F656" s="8" t="s">
        <v>706</v>
      </c>
      <c r="G656" s="19">
        <f>'3'!F53</f>
        <v>9647.3000000000011</v>
      </c>
      <c r="H656" s="19">
        <f>'3'!G53</f>
        <v>9647.3000000000011</v>
      </c>
      <c r="I656" s="19">
        <f>'3'!H53</f>
        <v>9647.3000000000011</v>
      </c>
    </row>
    <row r="657" spans="1:9" ht="27.6" x14ac:dyDescent="0.25">
      <c r="A657" s="21" t="s">
        <v>709</v>
      </c>
      <c r="B657" s="380" t="s">
        <v>227</v>
      </c>
      <c r="C657" s="8" t="s">
        <v>108</v>
      </c>
      <c r="D657" s="8" t="s">
        <v>720</v>
      </c>
      <c r="E657" s="8" t="s">
        <v>9</v>
      </c>
      <c r="F657" s="8" t="s">
        <v>710</v>
      </c>
      <c r="G657" s="331">
        <f>G658</f>
        <v>995.9</v>
      </c>
      <c r="H657" s="330">
        <f>H658</f>
        <v>995.9</v>
      </c>
      <c r="I657" s="330">
        <f>I658</f>
        <v>995.9</v>
      </c>
    </row>
    <row r="658" spans="1:9" ht="41.4" x14ac:dyDescent="0.25">
      <c r="A658" s="21" t="s">
        <v>711</v>
      </c>
      <c r="B658" s="380" t="s">
        <v>227</v>
      </c>
      <c r="C658" s="8" t="s">
        <v>108</v>
      </c>
      <c r="D658" s="8" t="s">
        <v>720</v>
      </c>
      <c r="E658" s="8" t="s">
        <v>9</v>
      </c>
      <c r="F658" s="8" t="s">
        <v>712</v>
      </c>
      <c r="G658" s="19">
        <f>'3'!F55</f>
        <v>995.9</v>
      </c>
      <c r="H658" s="19">
        <f>'3'!G55</f>
        <v>995.9</v>
      </c>
      <c r="I658" s="19">
        <f>'3'!H55</f>
        <v>995.9</v>
      </c>
    </row>
    <row r="659" spans="1:9" ht="27.6" hidden="1" x14ac:dyDescent="0.25">
      <c r="A659" s="382" t="s">
        <v>634</v>
      </c>
      <c r="B659" s="404" t="s">
        <v>227</v>
      </c>
      <c r="C659" s="14" t="s">
        <v>108</v>
      </c>
      <c r="D659" s="14" t="s">
        <v>736</v>
      </c>
      <c r="E659" s="131" t="s">
        <v>640</v>
      </c>
      <c r="F659" s="14" t="s">
        <v>710</v>
      </c>
      <c r="G659" s="19">
        <f>G660</f>
        <v>0</v>
      </c>
      <c r="H659" s="19">
        <f>H660</f>
        <v>0</v>
      </c>
      <c r="I659" s="19">
        <f>I660</f>
        <v>0</v>
      </c>
    </row>
    <row r="660" spans="1:9" ht="41.4" hidden="1" x14ac:dyDescent="0.25">
      <c r="A660" s="21" t="s">
        <v>711</v>
      </c>
      <c r="B660" s="380" t="s">
        <v>227</v>
      </c>
      <c r="C660" s="8" t="s">
        <v>108</v>
      </c>
      <c r="D660" s="8" t="s">
        <v>736</v>
      </c>
      <c r="E660" s="3" t="s">
        <v>640</v>
      </c>
      <c r="F660" s="6" t="s">
        <v>712</v>
      </c>
      <c r="G660" s="19"/>
      <c r="H660" s="19">
        <v>0</v>
      </c>
      <c r="I660" s="19">
        <v>0</v>
      </c>
    </row>
    <row r="661" spans="1:9" x14ac:dyDescent="0.25">
      <c r="A661" s="21" t="s">
        <v>713</v>
      </c>
      <c r="B661" s="380" t="s">
        <v>227</v>
      </c>
      <c r="C661" s="8" t="s">
        <v>108</v>
      </c>
      <c r="D661" s="8" t="s">
        <v>720</v>
      </c>
      <c r="E661" s="8" t="s">
        <v>9</v>
      </c>
      <c r="F661" s="8" t="s">
        <v>714</v>
      </c>
      <c r="G661" s="331">
        <f>G662</f>
        <v>2</v>
      </c>
      <c r="H661" s="330">
        <f>H662</f>
        <v>2</v>
      </c>
      <c r="I661" s="330">
        <f>I662</f>
        <v>2</v>
      </c>
    </row>
    <row r="662" spans="1:9" x14ac:dyDescent="0.25">
      <c r="A662" s="21" t="s">
        <v>715</v>
      </c>
      <c r="B662" s="380" t="s">
        <v>227</v>
      </c>
      <c r="C662" s="8" t="s">
        <v>108</v>
      </c>
      <c r="D662" s="8" t="s">
        <v>720</v>
      </c>
      <c r="E662" s="8" t="s">
        <v>9</v>
      </c>
      <c r="F662" s="8" t="s">
        <v>716</v>
      </c>
      <c r="G662" s="19">
        <f>'3'!F57</f>
        <v>2</v>
      </c>
      <c r="H662" s="19">
        <f>'3'!G57</f>
        <v>2</v>
      </c>
      <c r="I662" s="19">
        <f>'3'!H57</f>
        <v>2</v>
      </c>
    </row>
    <row r="663" spans="1:9" hidden="1" x14ac:dyDescent="0.25">
      <c r="A663" s="21" t="s">
        <v>753</v>
      </c>
      <c r="B663" s="380" t="s">
        <v>227</v>
      </c>
      <c r="C663" s="8" t="s">
        <v>108</v>
      </c>
      <c r="D663" s="8" t="s">
        <v>720</v>
      </c>
      <c r="E663" s="8" t="s">
        <v>1017</v>
      </c>
      <c r="F663" s="8" t="s">
        <v>223</v>
      </c>
      <c r="G663" s="331">
        <f t="shared" ref="G663:I664" si="142">G664</f>
        <v>0</v>
      </c>
      <c r="H663" s="330">
        <f t="shared" si="142"/>
        <v>0</v>
      </c>
      <c r="I663" s="330">
        <f t="shared" si="142"/>
        <v>0</v>
      </c>
    </row>
    <row r="664" spans="1:9" hidden="1" x14ac:dyDescent="0.25">
      <c r="A664" s="21" t="s">
        <v>713</v>
      </c>
      <c r="B664" s="380" t="s">
        <v>227</v>
      </c>
      <c r="C664" s="8" t="s">
        <v>108</v>
      </c>
      <c r="D664" s="8" t="s">
        <v>720</v>
      </c>
      <c r="E664" s="8" t="s">
        <v>1017</v>
      </c>
      <c r="F664" s="8" t="s">
        <v>714</v>
      </c>
      <c r="G664" s="331">
        <f t="shared" si="142"/>
        <v>0</v>
      </c>
      <c r="H664" s="330">
        <f t="shared" si="142"/>
        <v>0</v>
      </c>
      <c r="I664" s="330">
        <f t="shared" si="142"/>
        <v>0</v>
      </c>
    </row>
    <row r="665" spans="1:9" hidden="1" x14ac:dyDescent="0.25">
      <c r="A665" s="21" t="s">
        <v>753</v>
      </c>
      <c r="B665" s="380" t="s">
        <v>227</v>
      </c>
      <c r="C665" s="8" t="s">
        <v>108</v>
      </c>
      <c r="D665" s="8" t="s">
        <v>720</v>
      </c>
      <c r="E665" s="8" t="s">
        <v>1017</v>
      </c>
      <c r="F665" s="8" t="s">
        <v>754</v>
      </c>
      <c r="G665" s="331"/>
      <c r="H665" s="392"/>
      <c r="I665" s="392"/>
    </row>
    <row r="666" spans="1:9" ht="27.6" hidden="1" x14ac:dyDescent="0.25">
      <c r="A666" s="370" t="s">
        <v>731</v>
      </c>
      <c r="B666" s="57" t="s">
        <v>227</v>
      </c>
      <c r="C666" s="29" t="s">
        <v>108</v>
      </c>
      <c r="D666" s="29" t="s">
        <v>212</v>
      </c>
      <c r="E666" s="29" t="s">
        <v>699</v>
      </c>
      <c r="F666" s="29" t="s">
        <v>223</v>
      </c>
      <c r="G666" s="128">
        <f>G667</f>
        <v>0</v>
      </c>
      <c r="H666" s="26">
        <f t="shared" ref="H666:I670" si="143">H667</f>
        <v>0</v>
      </c>
      <c r="I666" s="26">
        <f t="shared" si="143"/>
        <v>0</v>
      </c>
    </row>
    <row r="667" spans="1:9" ht="27.6" hidden="1" x14ac:dyDescent="0.25">
      <c r="A667" s="21" t="s">
        <v>732</v>
      </c>
      <c r="B667" s="380" t="s">
        <v>227</v>
      </c>
      <c r="C667" s="8" t="s">
        <v>108</v>
      </c>
      <c r="D667" s="8" t="s">
        <v>212</v>
      </c>
      <c r="E667" s="8" t="s">
        <v>5</v>
      </c>
      <c r="F667" s="8" t="s">
        <v>223</v>
      </c>
      <c r="G667" s="331">
        <f>G668</f>
        <v>0</v>
      </c>
      <c r="H667" s="330">
        <f t="shared" si="143"/>
        <v>0</v>
      </c>
      <c r="I667" s="330">
        <f t="shared" si="143"/>
        <v>0</v>
      </c>
    </row>
    <row r="668" spans="1:9" ht="41.4" hidden="1" x14ac:dyDescent="0.25">
      <c r="A668" s="21" t="s">
        <v>110</v>
      </c>
      <c r="B668" s="380" t="s">
        <v>227</v>
      </c>
      <c r="C668" s="8" t="s">
        <v>108</v>
      </c>
      <c r="D668" s="8" t="s">
        <v>212</v>
      </c>
      <c r="E668" s="8" t="s">
        <v>6</v>
      </c>
      <c r="F668" s="8" t="s">
        <v>223</v>
      </c>
      <c r="G668" s="331">
        <f>G669</f>
        <v>0</v>
      </c>
      <c r="H668" s="330">
        <f t="shared" si="143"/>
        <v>0</v>
      </c>
      <c r="I668" s="330">
        <f t="shared" si="143"/>
        <v>0</v>
      </c>
    </row>
    <row r="669" spans="1:9" ht="27.6" hidden="1" x14ac:dyDescent="0.25">
      <c r="A669" s="21" t="s">
        <v>267</v>
      </c>
      <c r="B669" s="380" t="s">
        <v>227</v>
      </c>
      <c r="C669" s="8" t="s">
        <v>108</v>
      </c>
      <c r="D669" s="8" t="s">
        <v>212</v>
      </c>
      <c r="E669" s="8" t="s">
        <v>268</v>
      </c>
      <c r="F669" s="8" t="s">
        <v>223</v>
      </c>
      <c r="G669" s="331">
        <f>G670</f>
        <v>0</v>
      </c>
      <c r="H669" s="330">
        <f t="shared" si="143"/>
        <v>0</v>
      </c>
      <c r="I669" s="330">
        <f t="shared" si="143"/>
        <v>0</v>
      </c>
    </row>
    <row r="670" spans="1:9" hidden="1" x14ac:dyDescent="0.25">
      <c r="A670" s="21" t="s">
        <v>713</v>
      </c>
      <c r="B670" s="380" t="s">
        <v>227</v>
      </c>
      <c r="C670" s="8" t="s">
        <v>108</v>
      </c>
      <c r="D670" s="8" t="s">
        <v>212</v>
      </c>
      <c r="E670" s="8" t="s">
        <v>268</v>
      </c>
      <c r="F670" s="8" t="s">
        <v>714</v>
      </c>
      <c r="G670" s="331">
        <f>G671</f>
        <v>0</v>
      </c>
      <c r="H670" s="330">
        <f t="shared" si="143"/>
        <v>0</v>
      </c>
      <c r="I670" s="330">
        <f t="shared" si="143"/>
        <v>0</v>
      </c>
    </row>
    <row r="671" spans="1:9" hidden="1" x14ac:dyDescent="0.25">
      <c r="A671" s="405" t="s">
        <v>733</v>
      </c>
      <c r="B671" s="380" t="s">
        <v>227</v>
      </c>
      <c r="C671" s="8" t="s">
        <v>108</v>
      </c>
      <c r="D671" s="8" t="s">
        <v>212</v>
      </c>
      <c r="E671" s="8" t="s">
        <v>268</v>
      </c>
      <c r="F671" s="8" t="s">
        <v>734</v>
      </c>
      <c r="G671" s="331"/>
      <c r="H671" s="330"/>
      <c r="I671" s="330"/>
    </row>
    <row r="672" spans="1:9" hidden="1" x14ac:dyDescent="0.25">
      <c r="A672" s="15" t="s">
        <v>753</v>
      </c>
      <c r="B672" s="57" t="s">
        <v>227</v>
      </c>
      <c r="C672" s="29" t="s">
        <v>108</v>
      </c>
      <c r="D672" s="29" t="s">
        <v>736</v>
      </c>
      <c r="E672" s="29" t="s">
        <v>12</v>
      </c>
      <c r="F672" s="29" t="s">
        <v>223</v>
      </c>
      <c r="G672" s="128">
        <f t="shared" ref="G672:I673" si="144">G673</f>
        <v>0</v>
      </c>
      <c r="H672" s="26">
        <f t="shared" si="144"/>
        <v>0</v>
      </c>
      <c r="I672" s="26">
        <f t="shared" si="144"/>
        <v>0</v>
      </c>
    </row>
    <row r="673" spans="1:9" hidden="1" x14ac:dyDescent="0.25">
      <c r="A673" s="21" t="s">
        <v>713</v>
      </c>
      <c r="B673" s="28" t="s">
        <v>227</v>
      </c>
      <c r="C673" s="8" t="s">
        <v>108</v>
      </c>
      <c r="D673" s="8" t="s">
        <v>736</v>
      </c>
      <c r="E673" s="8" t="s">
        <v>12</v>
      </c>
      <c r="F673" s="8" t="s">
        <v>714</v>
      </c>
      <c r="G673" s="19">
        <f t="shared" si="144"/>
        <v>0</v>
      </c>
      <c r="H673" s="24">
        <f t="shared" si="144"/>
        <v>0</v>
      </c>
      <c r="I673" s="24">
        <f t="shared" si="144"/>
        <v>0</v>
      </c>
    </row>
    <row r="674" spans="1:9" hidden="1" x14ac:dyDescent="0.25">
      <c r="A674" s="21" t="s">
        <v>753</v>
      </c>
      <c r="B674" s="28" t="s">
        <v>227</v>
      </c>
      <c r="C674" s="8" t="s">
        <v>108</v>
      </c>
      <c r="D674" s="8" t="s">
        <v>736</v>
      </c>
      <c r="E674" s="8" t="s">
        <v>12</v>
      </c>
      <c r="F674" s="8" t="s">
        <v>754</v>
      </c>
      <c r="G674" s="19"/>
      <c r="H674" s="24"/>
      <c r="I674" s="24"/>
    </row>
    <row r="675" spans="1:9" hidden="1" x14ac:dyDescent="0.25">
      <c r="A675" s="15" t="s">
        <v>753</v>
      </c>
      <c r="B675" s="57" t="s">
        <v>227</v>
      </c>
      <c r="C675" s="29" t="s">
        <v>108</v>
      </c>
      <c r="D675" s="29" t="s">
        <v>736</v>
      </c>
      <c r="E675" s="29" t="s">
        <v>12</v>
      </c>
      <c r="F675" s="29" t="s">
        <v>223</v>
      </c>
      <c r="G675" s="128">
        <f t="shared" ref="G675:I676" si="145">G676</f>
        <v>0</v>
      </c>
      <c r="H675" s="26">
        <f t="shared" si="145"/>
        <v>0</v>
      </c>
      <c r="I675" s="26">
        <f t="shared" si="145"/>
        <v>0</v>
      </c>
    </row>
    <row r="676" spans="1:9" hidden="1" x14ac:dyDescent="0.25">
      <c r="A676" s="21" t="s">
        <v>713</v>
      </c>
      <c r="B676" s="28" t="s">
        <v>227</v>
      </c>
      <c r="C676" s="8" t="s">
        <v>108</v>
      </c>
      <c r="D676" s="8" t="s">
        <v>736</v>
      </c>
      <c r="E676" s="8" t="s">
        <v>12</v>
      </c>
      <c r="F676" s="8" t="s">
        <v>714</v>
      </c>
      <c r="G676" s="19">
        <f t="shared" si="145"/>
        <v>0</v>
      </c>
      <c r="H676" s="24">
        <f t="shared" si="145"/>
        <v>0</v>
      </c>
      <c r="I676" s="24">
        <f t="shared" si="145"/>
        <v>0</v>
      </c>
    </row>
    <row r="677" spans="1:9" hidden="1" x14ac:dyDescent="0.25">
      <c r="A677" s="21" t="s">
        <v>753</v>
      </c>
      <c r="B677" s="28" t="s">
        <v>227</v>
      </c>
      <c r="C677" s="8" t="s">
        <v>108</v>
      </c>
      <c r="D677" s="8" t="s">
        <v>736</v>
      </c>
      <c r="E677" s="8" t="s">
        <v>12</v>
      </c>
      <c r="F677" s="8" t="s">
        <v>754</v>
      </c>
      <c r="G677" s="19"/>
      <c r="H677" s="24"/>
      <c r="I677" s="24"/>
    </row>
    <row r="678" spans="1:9" ht="27.6" hidden="1" x14ac:dyDescent="0.25">
      <c r="A678" s="9" t="s">
        <v>634</v>
      </c>
      <c r="B678" s="406" t="s">
        <v>227</v>
      </c>
      <c r="C678" s="6" t="s">
        <v>108</v>
      </c>
      <c r="D678" s="6" t="s">
        <v>736</v>
      </c>
      <c r="E678" s="3" t="s">
        <v>9</v>
      </c>
      <c r="F678" s="6" t="s">
        <v>710</v>
      </c>
      <c r="G678" s="19">
        <f>G679</f>
        <v>0</v>
      </c>
      <c r="H678" s="19">
        <f>H679</f>
        <v>0</v>
      </c>
      <c r="I678" s="19">
        <f>I679</f>
        <v>0</v>
      </c>
    </row>
    <row r="679" spans="1:9" ht="41.4" hidden="1" x14ac:dyDescent="0.25">
      <c r="A679" s="21" t="s">
        <v>711</v>
      </c>
      <c r="B679" s="380" t="s">
        <v>227</v>
      </c>
      <c r="C679" s="8" t="s">
        <v>108</v>
      </c>
      <c r="D679" s="8" t="s">
        <v>736</v>
      </c>
      <c r="E679" s="3" t="s">
        <v>9</v>
      </c>
      <c r="F679" s="6" t="s">
        <v>712</v>
      </c>
      <c r="G679" s="19">
        <v>0</v>
      </c>
      <c r="H679" s="24">
        <v>0</v>
      </c>
      <c r="I679" s="24">
        <v>0</v>
      </c>
    </row>
    <row r="680" spans="1:9" s="59" customFormat="1" ht="62.4" x14ac:dyDescent="0.3">
      <c r="A680" s="301" t="s">
        <v>1064</v>
      </c>
      <c r="B680" s="129" t="s">
        <v>227</v>
      </c>
      <c r="C680" s="317" t="s">
        <v>212</v>
      </c>
      <c r="D680" s="317" t="s">
        <v>718</v>
      </c>
      <c r="E680" s="292" t="s">
        <v>1061</v>
      </c>
      <c r="F680" s="292" t="s">
        <v>223</v>
      </c>
      <c r="G680" s="128">
        <f>G681</f>
        <v>20</v>
      </c>
      <c r="H680" s="128">
        <f t="shared" ref="H680:I681" si="146">H681</f>
        <v>20</v>
      </c>
      <c r="I680" s="128">
        <f t="shared" si="146"/>
        <v>20</v>
      </c>
    </row>
    <row r="681" spans="1:9" ht="27.6" x14ac:dyDescent="0.25">
      <c r="A681" s="21" t="s">
        <v>709</v>
      </c>
      <c r="B681" s="380" t="s">
        <v>227</v>
      </c>
      <c r="C681" s="8" t="s">
        <v>212</v>
      </c>
      <c r="D681" s="8" t="s">
        <v>718</v>
      </c>
      <c r="E681" s="262" t="s">
        <v>1061</v>
      </c>
      <c r="F681" s="262" t="s">
        <v>710</v>
      </c>
      <c r="G681" s="19">
        <f>G682</f>
        <v>20</v>
      </c>
      <c r="H681" s="19">
        <f t="shared" si="146"/>
        <v>20</v>
      </c>
      <c r="I681" s="19">
        <f t="shared" si="146"/>
        <v>20</v>
      </c>
    </row>
    <row r="682" spans="1:9" ht="41.4" x14ac:dyDescent="0.25">
      <c r="A682" s="22" t="s">
        <v>711</v>
      </c>
      <c r="B682" s="380" t="s">
        <v>227</v>
      </c>
      <c r="C682" s="8" t="s">
        <v>212</v>
      </c>
      <c r="D682" s="8" t="s">
        <v>718</v>
      </c>
      <c r="E682" s="262" t="s">
        <v>1061</v>
      </c>
      <c r="F682" s="262" t="s">
        <v>712</v>
      </c>
      <c r="G682" s="19">
        <v>20</v>
      </c>
      <c r="H682" s="19">
        <v>20</v>
      </c>
      <c r="I682" s="19">
        <v>20</v>
      </c>
    </row>
    <row r="683" spans="1:9" ht="72" x14ac:dyDescent="0.25">
      <c r="A683" s="407" t="s">
        <v>488</v>
      </c>
      <c r="B683" s="408" t="s">
        <v>227</v>
      </c>
      <c r="C683" s="409" t="s">
        <v>949</v>
      </c>
      <c r="D683" s="409" t="s">
        <v>109</v>
      </c>
      <c r="E683" s="409" t="s">
        <v>287</v>
      </c>
      <c r="F683" s="409" t="s">
        <v>223</v>
      </c>
      <c r="G683" s="410">
        <f>G684+G692+G694+G698+G685+G702+G704+G707</f>
        <v>20395.688609999997</v>
      </c>
      <c r="H683" s="410">
        <f>H684+H692+H694+H698+H685+H702+H704+H707</f>
        <v>11791.041999999999</v>
      </c>
      <c r="I683" s="410">
        <f>I684+I692+I694+I698+I685+I702+I704+I707</f>
        <v>11741.041999999999</v>
      </c>
    </row>
    <row r="684" spans="1:9" ht="48.6" customHeight="1" x14ac:dyDescent="0.25">
      <c r="A684" s="2" t="s">
        <v>950</v>
      </c>
      <c r="B684" s="406" t="s">
        <v>227</v>
      </c>
      <c r="C684" s="6" t="s">
        <v>949</v>
      </c>
      <c r="D684" s="6" t="s">
        <v>108</v>
      </c>
      <c r="E684" s="6" t="s">
        <v>287</v>
      </c>
      <c r="F684" s="6" t="s">
        <v>223</v>
      </c>
      <c r="G684" s="19">
        <f>G689</f>
        <v>7883.3519999999999</v>
      </c>
      <c r="H684" s="19">
        <f>H689</f>
        <v>0</v>
      </c>
      <c r="I684" s="19">
        <f>I689</f>
        <v>0</v>
      </c>
    </row>
    <row r="685" spans="1:9" ht="41.4" x14ac:dyDescent="0.25">
      <c r="A685" s="15" t="s">
        <v>951</v>
      </c>
      <c r="B685" s="380" t="s">
        <v>227</v>
      </c>
      <c r="C685" s="29" t="s">
        <v>949</v>
      </c>
      <c r="D685" s="29" t="s">
        <v>108</v>
      </c>
      <c r="E685" s="29" t="s">
        <v>280</v>
      </c>
      <c r="F685" s="29" t="s">
        <v>223</v>
      </c>
      <c r="G685" s="26">
        <f>G686</f>
        <v>11041.041999999999</v>
      </c>
      <c r="H685" s="26">
        <f t="shared" ref="H685:I687" si="147">H686</f>
        <v>0</v>
      </c>
      <c r="I685" s="26">
        <f t="shared" si="147"/>
        <v>0</v>
      </c>
    </row>
    <row r="686" spans="1:9" x14ac:dyDescent="0.25">
      <c r="A686" s="21" t="s">
        <v>776</v>
      </c>
      <c r="B686" s="380" t="s">
        <v>227</v>
      </c>
      <c r="C686" s="8" t="s">
        <v>949</v>
      </c>
      <c r="D686" s="8" t="s">
        <v>108</v>
      </c>
      <c r="E686" s="8" t="s">
        <v>280</v>
      </c>
      <c r="F686" s="8" t="s">
        <v>223</v>
      </c>
      <c r="G686" s="24">
        <f>G687</f>
        <v>11041.041999999999</v>
      </c>
      <c r="H686" s="24">
        <f t="shared" si="147"/>
        <v>0</v>
      </c>
      <c r="I686" s="24">
        <f t="shared" si="147"/>
        <v>0</v>
      </c>
    </row>
    <row r="687" spans="1:9" ht="82.8" x14ac:dyDescent="0.25">
      <c r="A687" s="15" t="s">
        <v>198</v>
      </c>
      <c r="B687" s="380" t="s">
        <v>227</v>
      </c>
      <c r="C687" s="8" t="s">
        <v>949</v>
      </c>
      <c r="D687" s="8" t="s">
        <v>108</v>
      </c>
      <c r="E687" s="8" t="s">
        <v>280</v>
      </c>
      <c r="F687" s="8" t="s">
        <v>223</v>
      </c>
      <c r="G687" s="24">
        <f>G688</f>
        <v>11041.041999999999</v>
      </c>
      <c r="H687" s="24">
        <f t="shared" si="147"/>
        <v>0</v>
      </c>
      <c r="I687" s="24">
        <f t="shared" si="147"/>
        <v>0</v>
      </c>
    </row>
    <row r="688" spans="1:9" x14ac:dyDescent="0.25">
      <c r="A688" s="21" t="s">
        <v>952</v>
      </c>
      <c r="B688" s="380" t="s">
        <v>227</v>
      </c>
      <c r="C688" s="8" t="s">
        <v>949</v>
      </c>
      <c r="D688" s="8" t="s">
        <v>108</v>
      </c>
      <c r="E688" s="8" t="s">
        <v>280</v>
      </c>
      <c r="F688" s="8" t="s">
        <v>953</v>
      </c>
      <c r="G688" s="24">
        <f>'5'!D218</f>
        <v>11041.041999999999</v>
      </c>
      <c r="H688" s="24">
        <f>'5'!E218</f>
        <v>0</v>
      </c>
      <c r="I688" s="24">
        <f>'5'!F218</f>
        <v>0</v>
      </c>
    </row>
    <row r="689" spans="1:9" ht="41.4" x14ac:dyDescent="0.25">
      <c r="A689" s="15" t="s">
        <v>186</v>
      </c>
      <c r="B689" s="380" t="s">
        <v>227</v>
      </c>
      <c r="C689" s="29" t="s">
        <v>949</v>
      </c>
      <c r="D689" s="29" t="s">
        <v>108</v>
      </c>
      <c r="E689" s="29" t="s">
        <v>281</v>
      </c>
      <c r="F689" s="29" t="s">
        <v>223</v>
      </c>
      <c r="G689" s="26">
        <f>G690</f>
        <v>7883.3519999999999</v>
      </c>
      <c r="H689" s="26">
        <f>H690</f>
        <v>0</v>
      </c>
      <c r="I689" s="26">
        <f>I690</f>
        <v>0</v>
      </c>
    </row>
    <row r="690" spans="1:9" x14ac:dyDescent="0.25">
      <c r="A690" s="21" t="s">
        <v>952</v>
      </c>
      <c r="B690" s="380" t="s">
        <v>227</v>
      </c>
      <c r="C690" s="8" t="s">
        <v>949</v>
      </c>
      <c r="D690" s="8" t="s">
        <v>108</v>
      </c>
      <c r="E690" s="8" t="s">
        <v>281</v>
      </c>
      <c r="F690" s="8" t="s">
        <v>953</v>
      </c>
      <c r="G690" s="24">
        <f>'5'!D219</f>
        <v>7883.3519999999999</v>
      </c>
      <c r="H690" s="24">
        <f>'5'!E219</f>
        <v>0</v>
      </c>
      <c r="I690" s="24">
        <f>'5'!F219</f>
        <v>0</v>
      </c>
    </row>
    <row r="691" spans="1:9" ht="41.4" hidden="1" x14ac:dyDescent="0.25">
      <c r="A691" s="21" t="s">
        <v>186</v>
      </c>
      <c r="B691" s="380" t="s">
        <v>227</v>
      </c>
      <c r="C691" s="8" t="s">
        <v>949</v>
      </c>
      <c r="D691" s="8" t="s">
        <v>108</v>
      </c>
      <c r="E691" s="8" t="s">
        <v>12</v>
      </c>
      <c r="F691" s="8" t="s">
        <v>223</v>
      </c>
      <c r="G691" s="24">
        <f>G692</f>
        <v>0</v>
      </c>
      <c r="H691" s="24">
        <f>H692</f>
        <v>0</v>
      </c>
      <c r="I691" s="24">
        <f>I692</f>
        <v>0</v>
      </c>
    </row>
    <row r="692" spans="1:9" hidden="1" x14ac:dyDescent="0.25">
      <c r="A692" s="21" t="s">
        <v>753</v>
      </c>
      <c r="B692" s="380" t="s">
        <v>227</v>
      </c>
      <c r="C692" s="8" t="s">
        <v>949</v>
      </c>
      <c r="D692" s="8" t="s">
        <v>108</v>
      </c>
      <c r="E692" s="8" t="s">
        <v>12</v>
      </c>
      <c r="F692" s="8" t="s">
        <v>953</v>
      </c>
      <c r="G692" s="24"/>
      <c r="H692" s="24"/>
      <c r="I692" s="24"/>
    </row>
    <row r="693" spans="1:9" ht="27.6" x14ac:dyDescent="0.25">
      <c r="A693" s="412" t="s">
        <v>954</v>
      </c>
      <c r="B693" s="411" t="s">
        <v>227</v>
      </c>
      <c r="C693" s="413" t="s">
        <v>949</v>
      </c>
      <c r="D693" s="413" t="s">
        <v>111</v>
      </c>
      <c r="E693" s="413" t="s">
        <v>287</v>
      </c>
      <c r="F693" s="413" t="s">
        <v>223</v>
      </c>
      <c r="G693" s="414">
        <f>G694+G699</f>
        <v>1471.2946099999999</v>
      </c>
      <c r="H693" s="414">
        <f>H694+H699</f>
        <v>0</v>
      </c>
      <c r="I693" s="414">
        <f>I694+I699</f>
        <v>0</v>
      </c>
    </row>
    <row r="694" spans="1:9" ht="27.6" x14ac:dyDescent="0.25">
      <c r="A694" s="21" t="s">
        <v>248</v>
      </c>
      <c r="B694" s="380" t="s">
        <v>227</v>
      </c>
      <c r="C694" s="8" t="s">
        <v>949</v>
      </c>
      <c r="D694" s="8" t="s">
        <v>111</v>
      </c>
      <c r="E694" s="8" t="s">
        <v>282</v>
      </c>
      <c r="F694" s="8" t="s">
        <v>223</v>
      </c>
      <c r="G694" s="24">
        <f>G695</f>
        <v>1471.2946099999999</v>
      </c>
      <c r="H694" s="24">
        <f>H695</f>
        <v>0</v>
      </c>
      <c r="I694" s="24">
        <f>I695</f>
        <v>0</v>
      </c>
    </row>
    <row r="695" spans="1:9" ht="16.5" customHeight="1" x14ac:dyDescent="0.25">
      <c r="A695" s="21" t="s">
        <v>776</v>
      </c>
      <c r="B695" s="380" t="s">
        <v>227</v>
      </c>
      <c r="C695" s="8" t="s">
        <v>949</v>
      </c>
      <c r="D695" s="8" t="s">
        <v>111</v>
      </c>
      <c r="E695" s="8" t="s">
        <v>282</v>
      </c>
      <c r="F695" s="8" t="s">
        <v>777</v>
      </c>
      <c r="G695" s="24">
        <f>G696+G699</f>
        <v>1471.2946099999999</v>
      </c>
      <c r="H695" s="24">
        <f>H696+H699</f>
        <v>0</v>
      </c>
      <c r="I695" s="24">
        <f>I696+I699</f>
        <v>0</v>
      </c>
    </row>
    <row r="696" spans="1:9" ht="17.7" customHeight="1" x14ac:dyDescent="0.25">
      <c r="A696" s="21" t="s">
        <v>175</v>
      </c>
      <c r="B696" s="380" t="s">
        <v>227</v>
      </c>
      <c r="C696" s="8" t="s">
        <v>949</v>
      </c>
      <c r="D696" s="8" t="s">
        <v>111</v>
      </c>
      <c r="E696" s="8" t="s">
        <v>282</v>
      </c>
      <c r="F696" s="8" t="s">
        <v>794</v>
      </c>
      <c r="G696" s="19">
        <f>'5'!D220+'5'!D222</f>
        <v>1471.2946099999999</v>
      </c>
      <c r="H696" s="19">
        <f>'5'!E220+'5'!E222</f>
        <v>0</v>
      </c>
      <c r="I696" s="19">
        <f>'5'!F220+'5'!F222</f>
        <v>0</v>
      </c>
    </row>
    <row r="697" spans="1:9" hidden="1" x14ac:dyDescent="0.25">
      <c r="A697" s="21" t="s">
        <v>776</v>
      </c>
      <c r="B697" s="380" t="s">
        <v>227</v>
      </c>
      <c r="C697" s="8" t="s">
        <v>949</v>
      </c>
      <c r="D697" s="8" t="s">
        <v>111</v>
      </c>
      <c r="E697" s="8" t="s">
        <v>271</v>
      </c>
      <c r="F697" s="8" t="s">
        <v>777</v>
      </c>
      <c r="G697" s="24">
        <f>G698</f>
        <v>0</v>
      </c>
      <c r="H697" s="24">
        <f>H698</f>
        <v>0</v>
      </c>
      <c r="I697" s="24">
        <f>I698</f>
        <v>0</v>
      </c>
    </row>
    <row r="698" spans="1:9" ht="124.2" hidden="1" x14ac:dyDescent="0.25">
      <c r="A698" s="21" t="s">
        <v>272</v>
      </c>
      <c r="B698" s="380" t="s">
        <v>227</v>
      </c>
      <c r="C698" s="8" t="s">
        <v>949</v>
      </c>
      <c r="D698" s="8" t="s">
        <v>111</v>
      </c>
      <c r="E698" s="8" t="s">
        <v>271</v>
      </c>
      <c r="F698" s="8" t="s">
        <v>794</v>
      </c>
      <c r="G698" s="24"/>
      <c r="H698" s="24"/>
      <c r="I698" s="24"/>
    </row>
    <row r="699" spans="1:9" ht="69" hidden="1" x14ac:dyDescent="0.25">
      <c r="A699" s="21" t="s">
        <v>955</v>
      </c>
      <c r="B699" s="380" t="s">
        <v>227</v>
      </c>
      <c r="C699" s="8" t="s">
        <v>949</v>
      </c>
      <c r="D699" s="8" t="s">
        <v>111</v>
      </c>
      <c r="E699" s="8" t="s">
        <v>956</v>
      </c>
      <c r="F699" s="8" t="s">
        <v>794</v>
      </c>
      <c r="G699" s="24"/>
      <c r="H699" s="24"/>
      <c r="I699" s="24"/>
    </row>
    <row r="700" spans="1:9" s="76" customFormat="1" ht="31.2" x14ac:dyDescent="0.25">
      <c r="A700" s="415" t="s">
        <v>827</v>
      </c>
      <c r="B700" s="363" t="s">
        <v>227</v>
      </c>
      <c r="C700" s="364" t="s">
        <v>949</v>
      </c>
      <c r="D700" s="364" t="s">
        <v>108</v>
      </c>
      <c r="E700" s="364" t="s">
        <v>263</v>
      </c>
      <c r="F700" s="364" t="s">
        <v>223</v>
      </c>
      <c r="G700" s="365">
        <f>G701+G704+G706</f>
        <v>0</v>
      </c>
      <c r="H700" s="365">
        <f>H701+H704+H706</f>
        <v>11791.041999999999</v>
      </c>
      <c r="I700" s="365">
        <f>I701+I704+I706</f>
        <v>11741.041999999999</v>
      </c>
    </row>
    <row r="701" spans="1:9" x14ac:dyDescent="0.25">
      <c r="A701" s="21" t="s">
        <v>776</v>
      </c>
      <c r="B701" s="380"/>
      <c r="C701" s="8"/>
      <c r="D701" s="8"/>
      <c r="E701" s="8" t="s">
        <v>263</v>
      </c>
      <c r="F701" s="8" t="s">
        <v>223</v>
      </c>
      <c r="G701" s="24">
        <f t="shared" ref="G701:I702" si="148">G702</f>
        <v>0</v>
      </c>
      <c r="H701" s="24">
        <f t="shared" si="148"/>
        <v>11041.041999999999</v>
      </c>
      <c r="I701" s="24">
        <f t="shared" si="148"/>
        <v>11041.041999999999</v>
      </c>
    </row>
    <row r="702" spans="1:9" ht="82.8" x14ac:dyDescent="0.25">
      <c r="A702" s="15" t="s">
        <v>198</v>
      </c>
      <c r="B702" s="57" t="s">
        <v>227</v>
      </c>
      <c r="C702" s="29" t="s">
        <v>949</v>
      </c>
      <c r="D702" s="29" t="s">
        <v>108</v>
      </c>
      <c r="E702" s="29" t="s">
        <v>263</v>
      </c>
      <c r="F702" s="29" t="s">
        <v>777</v>
      </c>
      <c r="G702" s="26">
        <f t="shared" si="148"/>
        <v>0</v>
      </c>
      <c r="H702" s="26">
        <f t="shared" si="148"/>
        <v>11041.041999999999</v>
      </c>
      <c r="I702" s="26">
        <f t="shared" si="148"/>
        <v>11041.041999999999</v>
      </c>
    </row>
    <row r="703" spans="1:9" x14ac:dyDescent="0.25">
      <c r="A703" s="21" t="s">
        <v>952</v>
      </c>
      <c r="B703" s="380" t="s">
        <v>227</v>
      </c>
      <c r="C703" s="29" t="s">
        <v>949</v>
      </c>
      <c r="D703" s="29" t="s">
        <v>108</v>
      </c>
      <c r="E703" s="8" t="s">
        <v>263</v>
      </c>
      <c r="F703" s="29" t="s">
        <v>953</v>
      </c>
      <c r="G703" s="26">
        <f>'5'!D322</f>
        <v>0</v>
      </c>
      <c r="H703" s="26">
        <f>'5'!E322</f>
        <v>11041.041999999999</v>
      </c>
      <c r="I703" s="26">
        <f>'5'!F322</f>
        <v>11041.041999999999</v>
      </c>
    </row>
    <row r="704" spans="1:9" ht="41.4" x14ac:dyDescent="0.25">
      <c r="A704" s="15" t="s">
        <v>186</v>
      </c>
      <c r="B704" s="380" t="s">
        <v>227</v>
      </c>
      <c r="C704" s="8" t="s">
        <v>949</v>
      </c>
      <c r="D704" s="8" t="s">
        <v>108</v>
      </c>
      <c r="E704" s="8" t="s">
        <v>569</v>
      </c>
      <c r="F704" s="8" t="s">
        <v>777</v>
      </c>
      <c r="G704" s="24">
        <f>G705</f>
        <v>0</v>
      </c>
      <c r="H704" s="24">
        <f>H705</f>
        <v>650</v>
      </c>
      <c r="I704" s="24">
        <f>I705</f>
        <v>600</v>
      </c>
    </row>
    <row r="705" spans="1:14" x14ac:dyDescent="0.25">
      <c r="A705" s="21" t="s">
        <v>952</v>
      </c>
      <c r="B705" s="380" t="s">
        <v>227</v>
      </c>
      <c r="C705" s="8" t="s">
        <v>949</v>
      </c>
      <c r="D705" s="8" t="s">
        <v>108</v>
      </c>
      <c r="E705" s="8" t="s">
        <v>569</v>
      </c>
      <c r="F705" s="8" t="s">
        <v>953</v>
      </c>
      <c r="G705" s="24">
        <f>'5'!D323</f>
        <v>0</v>
      </c>
      <c r="H705" s="24">
        <f>'5'!E323</f>
        <v>650</v>
      </c>
      <c r="I705" s="24">
        <f>'5'!F323</f>
        <v>600</v>
      </c>
    </row>
    <row r="706" spans="1:14" ht="27.6" x14ac:dyDescent="0.25">
      <c r="A706" s="15" t="s">
        <v>954</v>
      </c>
      <c r="B706" s="57" t="s">
        <v>227</v>
      </c>
      <c r="C706" s="29" t="s">
        <v>949</v>
      </c>
      <c r="D706" s="29" t="s">
        <v>111</v>
      </c>
      <c r="E706" s="29" t="s">
        <v>570</v>
      </c>
      <c r="F706" s="29" t="s">
        <v>777</v>
      </c>
      <c r="G706" s="26">
        <f>G707</f>
        <v>0</v>
      </c>
      <c r="H706" s="26">
        <f>H707</f>
        <v>100</v>
      </c>
      <c r="I706" s="26">
        <f>I707</f>
        <v>100</v>
      </c>
    </row>
    <row r="707" spans="1:14" x14ac:dyDescent="0.25">
      <c r="A707" s="21" t="s">
        <v>175</v>
      </c>
      <c r="B707" s="28" t="s">
        <v>227</v>
      </c>
      <c r="C707" s="8" t="s">
        <v>949</v>
      </c>
      <c r="D707" s="8" t="s">
        <v>111</v>
      </c>
      <c r="E707" s="8" t="s">
        <v>570</v>
      </c>
      <c r="F707" s="8" t="s">
        <v>794</v>
      </c>
      <c r="G707" s="24">
        <f>'5'!D324</f>
        <v>0</v>
      </c>
      <c r="H707" s="24">
        <f>'5'!E324</f>
        <v>100</v>
      </c>
      <c r="I707" s="24">
        <f>'5'!F324</f>
        <v>100</v>
      </c>
      <c r="K707" s="50">
        <f>K708-G708</f>
        <v>-92395.126630000072</v>
      </c>
    </row>
    <row r="708" spans="1:14" ht="69" x14ac:dyDescent="0.25">
      <c r="A708" s="355" t="s">
        <v>1018</v>
      </c>
      <c r="B708" s="356" t="s">
        <v>226</v>
      </c>
      <c r="C708" s="356" t="s">
        <v>109</v>
      </c>
      <c r="D708" s="356" t="s">
        <v>109</v>
      </c>
      <c r="E708" s="356" t="s">
        <v>699</v>
      </c>
      <c r="F708" s="356" t="s">
        <v>223</v>
      </c>
      <c r="G708" s="402">
        <f>G709+G932+G951</f>
        <v>635485.09833000007</v>
      </c>
      <c r="H708" s="402">
        <f>H709+H932+H951</f>
        <v>543029.36564000009</v>
      </c>
      <c r="I708" s="402">
        <f>I709+I932+I951</f>
        <v>545845.63581000001</v>
      </c>
      <c r="J708" s="45">
        <f>185551.37797+291254.4145-544</f>
        <v>476261.79246999999</v>
      </c>
      <c r="K708" s="45">
        <v>543089.97169999999</v>
      </c>
      <c r="L708" s="45">
        <v>545906.24187000003</v>
      </c>
      <c r="N708" s="45">
        <v>582121.22947999998</v>
      </c>
    </row>
    <row r="709" spans="1:14" x14ac:dyDescent="0.25">
      <c r="A709" s="381" t="s">
        <v>821</v>
      </c>
      <c r="B709" s="359" t="s">
        <v>226</v>
      </c>
      <c r="C709" s="379" t="s">
        <v>212</v>
      </c>
      <c r="D709" s="379" t="s">
        <v>109</v>
      </c>
      <c r="E709" s="379" t="s">
        <v>699</v>
      </c>
      <c r="F709" s="379" t="s">
        <v>223</v>
      </c>
      <c r="G709" s="393">
        <f>G710+G736+G815+G843+G848+G858+G869+G840</f>
        <v>627771.77133000002</v>
      </c>
      <c r="H709" s="393">
        <f>H710+H736+H815+H843+H848+H858+H869+H840</f>
        <v>535427.7556400001</v>
      </c>
      <c r="I709" s="393">
        <f>I710+I736+I815+I843+I848+I858+I869+I840</f>
        <v>539134.87080999999</v>
      </c>
      <c r="J709" s="50">
        <v>185551.37797</v>
      </c>
      <c r="K709" s="50">
        <f>K708-H708</f>
        <v>60.606059999903664</v>
      </c>
      <c r="L709" s="50">
        <f>L708-I708</f>
        <v>60.606060000020079</v>
      </c>
      <c r="M709" s="45">
        <v>101073.613</v>
      </c>
      <c r="N709" s="50">
        <f>N708-G708</f>
        <v>-53363.868850000086</v>
      </c>
    </row>
    <row r="710" spans="1:14" x14ac:dyDescent="0.25">
      <c r="A710" s="362" t="s">
        <v>822</v>
      </c>
      <c r="B710" s="363" t="s">
        <v>226</v>
      </c>
      <c r="C710" s="364" t="s">
        <v>212</v>
      </c>
      <c r="D710" s="364" t="s">
        <v>108</v>
      </c>
      <c r="E710" s="364" t="s">
        <v>699</v>
      </c>
      <c r="F710" s="364" t="s">
        <v>223</v>
      </c>
      <c r="G710" s="365">
        <f>G711+G721+G724+G731</f>
        <v>97107.775999999998</v>
      </c>
      <c r="H710" s="365">
        <f>H711+H721+H724+H731</f>
        <v>90612.01999999999</v>
      </c>
      <c r="I710" s="365">
        <f>I711+I721+I724+I731</f>
        <v>93821.40400000001</v>
      </c>
      <c r="J710" s="50">
        <f>J708-G708</f>
        <v>-159223.30586000008</v>
      </c>
      <c r="K710" s="50"/>
      <c r="L710" s="50"/>
      <c r="M710" s="50">
        <f>M709-I710</f>
        <v>7252.208999999988</v>
      </c>
    </row>
    <row r="711" spans="1:14" ht="41.4" x14ac:dyDescent="0.25">
      <c r="A711" s="15" t="s">
        <v>757</v>
      </c>
      <c r="B711" s="400" t="s">
        <v>226</v>
      </c>
      <c r="C711" s="29" t="s">
        <v>212</v>
      </c>
      <c r="D711" s="29" t="s">
        <v>108</v>
      </c>
      <c r="E711" s="29" t="s">
        <v>22</v>
      </c>
      <c r="F711" s="29" t="s">
        <v>223</v>
      </c>
      <c r="G711" s="401">
        <f>G712</f>
        <v>45143.356</v>
      </c>
      <c r="H711" s="401">
        <f>H712</f>
        <v>35488.356</v>
      </c>
      <c r="I711" s="401">
        <f>I712</f>
        <v>35488.356</v>
      </c>
      <c r="J711" s="45">
        <f>77041.29697-544</f>
        <v>76497.296969999996</v>
      </c>
      <c r="K711" s="50"/>
    </row>
    <row r="712" spans="1:14" ht="43.95" customHeight="1" x14ac:dyDescent="0.25">
      <c r="A712" s="329" t="s">
        <v>823</v>
      </c>
      <c r="B712" s="380" t="s">
        <v>226</v>
      </c>
      <c r="C712" s="8" t="s">
        <v>212</v>
      </c>
      <c r="D712" s="8" t="s">
        <v>108</v>
      </c>
      <c r="E712" s="8" t="s">
        <v>31</v>
      </c>
      <c r="F712" s="8" t="s">
        <v>223</v>
      </c>
      <c r="G712" s="330">
        <f>G713+G718+G716</f>
        <v>45143.356</v>
      </c>
      <c r="H712" s="330">
        <f>H713+H718+H716</f>
        <v>35488.356</v>
      </c>
      <c r="I712" s="330">
        <f>I713+I718+I716</f>
        <v>35488.356</v>
      </c>
      <c r="J712" s="50">
        <f>J711-G710</f>
        <v>-20610.479030000002</v>
      </c>
      <c r="K712" s="50"/>
      <c r="M712" s="50">
        <f>H709+H324</f>
        <v>552286.05665000016</v>
      </c>
    </row>
    <row r="713" spans="1:14" ht="41.4" x14ac:dyDescent="0.25">
      <c r="A713" s="21" t="s">
        <v>748</v>
      </c>
      <c r="B713" s="380" t="s">
        <v>226</v>
      </c>
      <c r="C713" s="8" t="s">
        <v>212</v>
      </c>
      <c r="D713" s="8" t="s">
        <v>108</v>
      </c>
      <c r="E713" s="8" t="s">
        <v>824</v>
      </c>
      <c r="F713" s="8" t="s">
        <v>747</v>
      </c>
      <c r="G713" s="330">
        <f>G714</f>
        <v>150</v>
      </c>
      <c r="H713" s="330">
        <f>H714</f>
        <v>200</v>
      </c>
      <c r="I713" s="330">
        <f>I714</f>
        <v>200</v>
      </c>
    </row>
    <row r="714" spans="1:14" x14ac:dyDescent="0.25">
      <c r="A714" s="22" t="s">
        <v>124</v>
      </c>
      <c r="B714" s="380" t="s">
        <v>226</v>
      </c>
      <c r="C714" s="8" t="s">
        <v>212</v>
      </c>
      <c r="D714" s="8" t="s">
        <v>108</v>
      </c>
      <c r="E714" s="8" t="s">
        <v>32</v>
      </c>
      <c r="F714" s="8" t="s">
        <v>165</v>
      </c>
      <c r="G714" s="19">
        <f>'5'!D57</f>
        <v>150</v>
      </c>
      <c r="H714" s="19">
        <f>'5'!E57</f>
        <v>200</v>
      </c>
      <c r="I714" s="19">
        <f>'5'!F57</f>
        <v>200</v>
      </c>
    </row>
    <row r="715" spans="1:14" ht="47.4" customHeight="1" x14ac:dyDescent="0.25">
      <c r="A715" s="2" t="s">
        <v>826</v>
      </c>
      <c r="B715" s="3" t="s">
        <v>226</v>
      </c>
      <c r="C715" s="6" t="s">
        <v>212</v>
      </c>
      <c r="D715" s="6" t="s">
        <v>108</v>
      </c>
      <c r="E715" s="6" t="s">
        <v>439</v>
      </c>
      <c r="F715" s="6" t="s">
        <v>223</v>
      </c>
      <c r="G715" s="19">
        <f t="shared" ref="G715:I716" si="149">G716</f>
        <v>305</v>
      </c>
      <c r="H715" s="19">
        <f t="shared" si="149"/>
        <v>0</v>
      </c>
      <c r="I715" s="19">
        <f t="shared" si="149"/>
        <v>0</v>
      </c>
    </row>
    <row r="716" spans="1:14" ht="41.4" customHeight="1" x14ac:dyDescent="0.25">
      <c r="A716" s="2" t="s">
        <v>748</v>
      </c>
      <c r="B716" s="3" t="s">
        <v>226</v>
      </c>
      <c r="C716" s="6" t="s">
        <v>212</v>
      </c>
      <c r="D716" s="6" t="s">
        <v>108</v>
      </c>
      <c r="E716" s="6" t="s">
        <v>439</v>
      </c>
      <c r="F716" s="6" t="s">
        <v>747</v>
      </c>
      <c r="G716" s="19">
        <f t="shared" si="149"/>
        <v>305</v>
      </c>
      <c r="H716" s="19">
        <f t="shared" si="149"/>
        <v>0</v>
      </c>
      <c r="I716" s="19">
        <f t="shared" si="149"/>
        <v>0</v>
      </c>
    </row>
    <row r="717" spans="1:14" ht="19.95" customHeight="1" x14ac:dyDescent="0.25">
      <c r="A717" s="2" t="s">
        <v>116</v>
      </c>
      <c r="B717" s="3" t="s">
        <v>226</v>
      </c>
      <c r="C717" s="6" t="s">
        <v>212</v>
      </c>
      <c r="D717" s="6" t="s">
        <v>108</v>
      </c>
      <c r="E717" s="6" t="s">
        <v>439</v>
      </c>
      <c r="F717" s="6" t="s">
        <v>165</v>
      </c>
      <c r="G717" s="19">
        <f>'5'!D59</f>
        <v>305</v>
      </c>
      <c r="H717" s="19">
        <f>'5'!E59</f>
        <v>0</v>
      </c>
      <c r="I717" s="19">
        <f>'5'!F59</f>
        <v>0</v>
      </c>
    </row>
    <row r="718" spans="1:14" ht="96.6" x14ac:dyDescent="0.25">
      <c r="A718" s="15" t="s">
        <v>825</v>
      </c>
      <c r="B718" s="380" t="s">
        <v>226</v>
      </c>
      <c r="C718" s="8" t="s">
        <v>212</v>
      </c>
      <c r="D718" s="8" t="s">
        <v>108</v>
      </c>
      <c r="E718" s="8" t="s">
        <v>824</v>
      </c>
      <c r="F718" s="8" t="s">
        <v>223</v>
      </c>
      <c r="G718" s="330">
        <f t="shared" ref="G718:I719" si="150">G719</f>
        <v>44688.356</v>
      </c>
      <c r="H718" s="330">
        <f t="shared" si="150"/>
        <v>35288.356</v>
      </c>
      <c r="I718" s="330">
        <f t="shared" si="150"/>
        <v>35288.356</v>
      </c>
      <c r="K718" s="50"/>
    </row>
    <row r="719" spans="1:14" ht="41.4" x14ac:dyDescent="0.25">
      <c r="A719" s="21" t="s">
        <v>748</v>
      </c>
      <c r="B719" s="380" t="s">
        <v>226</v>
      </c>
      <c r="C719" s="8" t="s">
        <v>212</v>
      </c>
      <c r="D719" s="8" t="s">
        <v>108</v>
      </c>
      <c r="E719" s="8" t="s">
        <v>824</v>
      </c>
      <c r="F719" s="8" t="s">
        <v>747</v>
      </c>
      <c r="G719" s="330">
        <f t="shared" si="150"/>
        <v>44688.356</v>
      </c>
      <c r="H719" s="330">
        <f t="shared" si="150"/>
        <v>35288.356</v>
      </c>
      <c r="I719" s="330">
        <f t="shared" si="150"/>
        <v>35288.356</v>
      </c>
    </row>
    <row r="720" spans="1:14" x14ac:dyDescent="0.25">
      <c r="A720" s="21" t="s">
        <v>116</v>
      </c>
      <c r="B720" s="380" t="s">
        <v>226</v>
      </c>
      <c r="C720" s="8" t="s">
        <v>212</v>
      </c>
      <c r="D720" s="8" t="s">
        <v>108</v>
      </c>
      <c r="E720" s="8" t="s">
        <v>33</v>
      </c>
      <c r="F720" s="8" t="s">
        <v>165</v>
      </c>
      <c r="G720" s="19">
        <f>'5'!D61+'5'!D62</f>
        <v>44688.356</v>
      </c>
      <c r="H720" s="19">
        <f>'5'!E61</f>
        <v>35288.356</v>
      </c>
      <c r="I720" s="19">
        <f>'5'!F61</f>
        <v>35288.356</v>
      </c>
    </row>
    <row r="721" spans="1:13" ht="75" customHeight="1" x14ac:dyDescent="0.25">
      <c r="A721" s="15" t="s">
        <v>829</v>
      </c>
      <c r="B721" s="380" t="s">
        <v>226</v>
      </c>
      <c r="C721" s="8" t="s">
        <v>212</v>
      </c>
      <c r="D721" s="28" t="s">
        <v>108</v>
      </c>
      <c r="E721" s="8" t="s">
        <v>34</v>
      </c>
      <c r="F721" s="8" t="s">
        <v>223</v>
      </c>
      <c r="G721" s="330">
        <f t="shared" ref="G721:I722" si="151">G722</f>
        <v>51964.42</v>
      </c>
      <c r="H721" s="330">
        <f t="shared" si="151"/>
        <v>55123.663999999997</v>
      </c>
      <c r="I721" s="330">
        <f t="shared" si="151"/>
        <v>58333.048000000003</v>
      </c>
    </row>
    <row r="722" spans="1:13" ht="41.4" x14ac:dyDescent="0.25">
      <c r="A722" s="21" t="s">
        <v>748</v>
      </c>
      <c r="B722" s="380" t="s">
        <v>226</v>
      </c>
      <c r="C722" s="8" t="s">
        <v>212</v>
      </c>
      <c r="D722" s="8" t="s">
        <v>108</v>
      </c>
      <c r="E722" s="8" t="s">
        <v>34</v>
      </c>
      <c r="F722" s="8" t="s">
        <v>747</v>
      </c>
      <c r="G722" s="24">
        <f t="shared" si="151"/>
        <v>51964.42</v>
      </c>
      <c r="H722" s="24">
        <f t="shared" si="151"/>
        <v>55123.663999999997</v>
      </c>
      <c r="I722" s="24">
        <f t="shared" si="151"/>
        <v>58333.048000000003</v>
      </c>
    </row>
    <row r="723" spans="1:13" x14ac:dyDescent="0.25">
      <c r="A723" s="21" t="s">
        <v>124</v>
      </c>
      <c r="B723" s="380" t="s">
        <v>226</v>
      </c>
      <c r="C723" s="8" t="s">
        <v>212</v>
      </c>
      <c r="D723" s="8" t="s">
        <v>108</v>
      </c>
      <c r="E723" s="8" t="s">
        <v>34</v>
      </c>
      <c r="F723" s="8" t="s">
        <v>165</v>
      </c>
      <c r="G723" s="24">
        <f>'5'!D63</f>
        <v>51964.42</v>
      </c>
      <c r="H723" s="24">
        <f>'5'!E63</f>
        <v>55123.663999999997</v>
      </c>
      <c r="I723" s="24">
        <f>'5'!F63</f>
        <v>58333.048000000003</v>
      </c>
      <c r="J723" s="24">
        <f>'5'!G63</f>
        <v>0</v>
      </c>
    </row>
    <row r="724" spans="1:13" ht="31.5" hidden="1" customHeight="1" x14ac:dyDescent="0.25">
      <c r="A724" s="15" t="s">
        <v>827</v>
      </c>
      <c r="B724" s="380" t="s">
        <v>226</v>
      </c>
      <c r="C724" s="8" t="s">
        <v>212</v>
      </c>
      <c r="D724" s="8" t="s">
        <v>108</v>
      </c>
      <c r="E724" s="29" t="s">
        <v>699</v>
      </c>
      <c r="F724" s="29" t="s">
        <v>223</v>
      </c>
      <c r="G724" s="33">
        <f>G725+G728</f>
        <v>0</v>
      </c>
      <c r="H724" s="33">
        <f>H725+H728</f>
        <v>0</v>
      </c>
      <c r="I724" s="33">
        <f>I725+I728</f>
        <v>0</v>
      </c>
    </row>
    <row r="725" spans="1:13" ht="33" hidden="1" customHeight="1" x14ac:dyDescent="0.25">
      <c r="A725" s="21" t="s">
        <v>828</v>
      </c>
      <c r="B725" s="380" t="s">
        <v>226</v>
      </c>
      <c r="C725" s="8" t="s">
        <v>212</v>
      </c>
      <c r="D725" s="8" t="s">
        <v>108</v>
      </c>
      <c r="E725" s="8" t="s">
        <v>321</v>
      </c>
      <c r="F725" s="8" t="s">
        <v>223</v>
      </c>
      <c r="G725" s="24">
        <f t="shared" ref="G725:I726" si="152">G726</f>
        <v>0</v>
      </c>
      <c r="H725" s="24">
        <f t="shared" si="152"/>
        <v>0</v>
      </c>
      <c r="I725" s="24">
        <f t="shared" si="152"/>
        <v>0</v>
      </c>
    </row>
    <row r="726" spans="1:13" ht="47.25" hidden="1" customHeight="1" x14ac:dyDescent="0.25">
      <c r="A726" s="21" t="s">
        <v>748</v>
      </c>
      <c r="B726" s="380" t="s">
        <v>226</v>
      </c>
      <c r="C726" s="8" t="s">
        <v>212</v>
      </c>
      <c r="D726" s="8" t="s">
        <v>108</v>
      </c>
      <c r="E726" s="8" t="s">
        <v>321</v>
      </c>
      <c r="F726" s="8" t="s">
        <v>747</v>
      </c>
      <c r="G726" s="24">
        <f t="shared" si="152"/>
        <v>0</v>
      </c>
      <c r="H726" s="24">
        <f t="shared" si="152"/>
        <v>0</v>
      </c>
      <c r="I726" s="24">
        <f t="shared" si="152"/>
        <v>0</v>
      </c>
    </row>
    <row r="727" spans="1:13" ht="22.5" hidden="1" customHeight="1" x14ac:dyDescent="0.25">
      <c r="A727" s="21" t="s">
        <v>124</v>
      </c>
      <c r="B727" s="380" t="s">
        <v>226</v>
      </c>
      <c r="C727" s="8" t="s">
        <v>212</v>
      </c>
      <c r="D727" s="8" t="s">
        <v>108</v>
      </c>
      <c r="E727" s="8" t="s">
        <v>321</v>
      </c>
      <c r="F727" s="8" t="s">
        <v>165</v>
      </c>
      <c r="G727" s="24"/>
      <c r="H727" s="24"/>
      <c r="I727" s="24"/>
    </row>
    <row r="728" spans="1:13" ht="33" hidden="1" customHeight="1" x14ac:dyDescent="0.25">
      <c r="A728" s="15" t="s">
        <v>1019</v>
      </c>
      <c r="B728" s="380" t="s">
        <v>226</v>
      </c>
      <c r="C728" s="8" t="s">
        <v>212</v>
      </c>
      <c r="D728" s="8" t="s">
        <v>108</v>
      </c>
      <c r="E728" s="416" t="s">
        <v>6</v>
      </c>
      <c r="F728" s="29" t="s">
        <v>223</v>
      </c>
      <c r="G728" s="26">
        <f t="shared" ref="G728:I729" si="153">G729</f>
        <v>0</v>
      </c>
      <c r="H728" s="26">
        <f t="shared" si="153"/>
        <v>0</v>
      </c>
      <c r="I728" s="26">
        <f t="shared" si="153"/>
        <v>0</v>
      </c>
    </row>
    <row r="729" spans="1:13" ht="50.25" hidden="1" customHeight="1" x14ac:dyDescent="0.25">
      <c r="A729" s="21" t="s">
        <v>748</v>
      </c>
      <c r="B729" s="380" t="s">
        <v>226</v>
      </c>
      <c r="C729" s="8" t="s">
        <v>212</v>
      </c>
      <c r="D729" s="8" t="s">
        <v>108</v>
      </c>
      <c r="E729" s="69" t="s">
        <v>6</v>
      </c>
      <c r="F729" s="8" t="s">
        <v>747</v>
      </c>
      <c r="G729" s="24">
        <f t="shared" si="153"/>
        <v>0</v>
      </c>
      <c r="H729" s="24">
        <f t="shared" si="153"/>
        <v>0</v>
      </c>
      <c r="I729" s="24">
        <f t="shared" si="153"/>
        <v>0</v>
      </c>
    </row>
    <row r="730" spans="1:13" ht="22.5" hidden="1" customHeight="1" x14ac:dyDescent="0.25">
      <c r="A730" s="21" t="s">
        <v>124</v>
      </c>
      <c r="B730" s="380" t="s">
        <v>226</v>
      </c>
      <c r="C730" s="8" t="s">
        <v>212</v>
      </c>
      <c r="D730" s="8" t="s">
        <v>108</v>
      </c>
      <c r="E730" s="69" t="s">
        <v>6</v>
      </c>
      <c r="F730" s="8" t="s">
        <v>165</v>
      </c>
      <c r="G730" s="24"/>
      <c r="H730" s="24"/>
      <c r="I730" s="24"/>
    </row>
    <row r="731" spans="1:13" ht="34.200000000000003" hidden="1" customHeight="1" x14ac:dyDescent="0.25">
      <c r="A731" s="21" t="s">
        <v>702</v>
      </c>
      <c r="B731" s="28" t="s">
        <v>226</v>
      </c>
      <c r="C731" s="8" t="s">
        <v>212</v>
      </c>
      <c r="D731" s="8" t="s">
        <v>108</v>
      </c>
      <c r="E731" s="8" t="s">
        <v>5</v>
      </c>
      <c r="F731" s="8" t="s">
        <v>223</v>
      </c>
      <c r="G731" s="24">
        <f>G732</f>
        <v>0</v>
      </c>
      <c r="H731" s="24">
        <f t="shared" ref="H731:I734" si="154">H732</f>
        <v>0</v>
      </c>
      <c r="I731" s="24">
        <f t="shared" si="154"/>
        <v>0</v>
      </c>
    </row>
    <row r="732" spans="1:13" ht="48.6" hidden="1" customHeight="1" x14ac:dyDescent="0.25">
      <c r="A732" s="21" t="s">
        <v>110</v>
      </c>
      <c r="B732" s="28" t="s">
        <v>226</v>
      </c>
      <c r="C732" s="8" t="s">
        <v>212</v>
      </c>
      <c r="D732" s="8" t="s">
        <v>108</v>
      </c>
      <c r="E732" s="8" t="s">
        <v>6</v>
      </c>
      <c r="F732" s="8" t="s">
        <v>223</v>
      </c>
      <c r="G732" s="24">
        <f>G733</f>
        <v>0</v>
      </c>
      <c r="H732" s="24">
        <f t="shared" si="154"/>
        <v>0</v>
      </c>
      <c r="I732" s="24">
        <f t="shared" si="154"/>
        <v>0</v>
      </c>
    </row>
    <row r="733" spans="1:13" ht="32.4" hidden="1" customHeight="1" x14ac:dyDescent="0.25">
      <c r="A733" s="377" t="s">
        <v>350</v>
      </c>
      <c r="B733" s="28" t="s">
        <v>226</v>
      </c>
      <c r="C733" s="8" t="s">
        <v>212</v>
      </c>
      <c r="D733" s="8" t="s">
        <v>108</v>
      </c>
      <c r="E733" s="8" t="s">
        <v>321</v>
      </c>
      <c r="F733" s="8" t="s">
        <v>223</v>
      </c>
      <c r="G733" s="24">
        <f>G734</f>
        <v>0</v>
      </c>
      <c r="H733" s="24">
        <f t="shared" si="154"/>
        <v>0</v>
      </c>
      <c r="I733" s="24">
        <f t="shared" si="154"/>
        <v>0</v>
      </c>
    </row>
    <row r="734" spans="1:13" ht="43.2" hidden="1" customHeight="1" x14ac:dyDescent="0.25">
      <c r="A734" s="21" t="s">
        <v>748</v>
      </c>
      <c r="B734" s="28" t="s">
        <v>226</v>
      </c>
      <c r="C734" s="8" t="s">
        <v>212</v>
      </c>
      <c r="D734" s="8" t="s">
        <v>108</v>
      </c>
      <c r="E734" s="8" t="s">
        <v>321</v>
      </c>
      <c r="F734" s="8" t="s">
        <v>747</v>
      </c>
      <c r="G734" s="24">
        <f>G735</f>
        <v>0</v>
      </c>
      <c r="H734" s="24">
        <f t="shared" si="154"/>
        <v>0</v>
      </c>
      <c r="I734" s="24">
        <f t="shared" si="154"/>
        <v>0</v>
      </c>
    </row>
    <row r="735" spans="1:13" ht="25.2" hidden="1" customHeight="1" x14ac:dyDescent="0.25">
      <c r="A735" s="21" t="s">
        <v>124</v>
      </c>
      <c r="B735" s="28" t="s">
        <v>226</v>
      </c>
      <c r="C735" s="8" t="s">
        <v>212</v>
      </c>
      <c r="D735" s="8" t="s">
        <v>108</v>
      </c>
      <c r="E735" s="8" t="s">
        <v>321</v>
      </c>
      <c r="F735" s="8" t="s">
        <v>165</v>
      </c>
      <c r="G735" s="24"/>
      <c r="H735" s="24"/>
      <c r="I735" s="24"/>
    </row>
    <row r="736" spans="1:13" x14ac:dyDescent="0.25">
      <c r="A736" s="362" t="s">
        <v>832</v>
      </c>
      <c r="B736" s="363" t="s">
        <v>226</v>
      </c>
      <c r="C736" s="364" t="s">
        <v>212</v>
      </c>
      <c r="D736" s="364" t="s">
        <v>701</v>
      </c>
      <c r="E736" s="364" t="s">
        <v>699</v>
      </c>
      <c r="F736" s="364" t="s">
        <v>223</v>
      </c>
      <c r="G736" s="365">
        <f>G737+G786+G801+G798</f>
        <v>436692.98659000004</v>
      </c>
      <c r="H736" s="365">
        <f>H737+H786+H801+H798</f>
        <v>357725.46946000005</v>
      </c>
      <c r="I736" s="365">
        <f>I737+I786+I801+I798</f>
        <v>362575.96680999995</v>
      </c>
      <c r="J736" s="45">
        <v>314799.30599999998</v>
      </c>
      <c r="K736" s="45">
        <v>405439.28674000001</v>
      </c>
      <c r="L736" s="45">
        <v>362891.90523999999</v>
      </c>
      <c r="M736" s="45">
        <v>369376.57643000002</v>
      </c>
    </row>
    <row r="737" spans="1:13" ht="41.4" x14ac:dyDescent="0.25">
      <c r="A737" s="15" t="s">
        <v>757</v>
      </c>
      <c r="B737" s="400" t="s">
        <v>226</v>
      </c>
      <c r="C737" s="29" t="s">
        <v>212</v>
      </c>
      <c r="D737" s="29" t="s">
        <v>701</v>
      </c>
      <c r="E737" s="29" t="s">
        <v>22</v>
      </c>
      <c r="F737" s="29" t="s">
        <v>223</v>
      </c>
      <c r="G737" s="401">
        <f>G738+G773+G780+G804</f>
        <v>150750.35378999999</v>
      </c>
      <c r="H737" s="401">
        <f t="shared" ref="H737:I737" si="155">H738+H773+H780+H804</f>
        <v>65756.172820000007</v>
      </c>
      <c r="I737" s="401">
        <f t="shared" si="155"/>
        <v>53753.117010000009</v>
      </c>
      <c r="J737" s="50">
        <f>J736-G736</f>
        <v>-121893.68059000006</v>
      </c>
      <c r="K737" s="50">
        <f>K736-G736</f>
        <v>-31253.699850000034</v>
      </c>
      <c r="L737" s="50">
        <f>L736-H736</f>
        <v>5166.4357799999416</v>
      </c>
      <c r="M737" s="50">
        <f>M736-I736</f>
        <v>6800.6096200000611</v>
      </c>
    </row>
    <row r="738" spans="1:13" ht="46.2" customHeight="1" x14ac:dyDescent="0.25">
      <c r="A738" s="329" t="s">
        <v>916</v>
      </c>
      <c r="B738" s="380" t="s">
        <v>226</v>
      </c>
      <c r="C738" s="8" t="s">
        <v>212</v>
      </c>
      <c r="D738" s="8" t="s">
        <v>701</v>
      </c>
      <c r="E738" s="8" t="s">
        <v>35</v>
      </c>
      <c r="F738" s="8" t="s">
        <v>223</v>
      </c>
      <c r="G738" s="330">
        <f>G739+G742+G749+G746+G752+G759+G766</f>
        <v>130394.59379</v>
      </c>
      <c r="H738" s="330">
        <f t="shared" ref="H738:I738" si="156">H739+H742+H749+H746+H752+H759+H766</f>
        <v>36503.372820000004</v>
      </c>
      <c r="I738" s="330">
        <f t="shared" si="156"/>
        <v>24847.117010000009</v>
      </c>
    </row>
    <row r="739" spans="1:13" ht="27.6" x14ac:dyDescent="0.25">
      <c r="A739" s="21" t="s">
        <v>141</v>
      </c>
      <c r="B739" s="380" t="s">
        <v>226</v>
      </c>
      <c r="C739" s="8" t="s">
        <v>212</v>
      </c>
      <c r="D739" s="8" t="s">
        <v>701</v>
      </c>
      <c r="E739" s="8" t="s">
        <v>36</v>
      </c>
      <c r="F739" s="8" t="s">
        <v>223</v>
      </c>
      <c r="G739" s="19">
        <f t="shared" ref="G739:I740" si="157">G740</f>
        <v>997.09400000000005</v>
      </c>
      <c r="H739" s="24">
        <f t="shared" si="157"/>
        <v>500</v>
      </c>
      <c r="I739" s="24">
        <f t="shared" si="157"/>
        <v>500</v>
      </c>
    </row>
    <row r="740" spans="1:13" ht="41.4" x14ac:dyDescent="0.25">
      <c r="A740" s="21" t="s">
        <v>748</v>
      </c>
      <c r="B740" s="380" t="s">
        <v>226</v>
      </c>
      <c r="C740" s="8" t="s">
        <v>212</v>
      </c>
      <c r="D740" s="8" t="s">
        <v>701</v>
      </c>
      <c r="E740" s="8" t="s">
        <v>36</v>
      </c>
      <c r="F740" s="8" t="s">
        <v>747</v>
      </c>
      <c r="G740" s="331">
        <f t="shared" si="157"/>
        <v>997.09400000000005</v>
      </c>
      <c r="H740" s="330">
        <f t="shared" si="157"/>
        <v>500</v>
      </c>
      <c r="I740" s="330">
        <f t="shared" si="157"/>
        <v>500</v>
      </c>
    </row>
    <row r="741" spans="1:13" x14ac:dyDescent="0.25">
      <c r="A741" s="9" t="s">
        <v>124</v>
      </c>
      <c r="B741" s="406" t="s">
        <v>226</v>
      </c>
      <c r="C741" s="6" t="s">
        <v>212</v>
      </c>
      <c r="D741" s="6" t="s">
        <v>701</v>
      </c>
      <c r="E741" s="6" t="s">
        <v>37</v>
      </c>
      <c r="F741" s="6" t="s">
        <v>165</v>
      </c>
      <c r="G741" s="19">
        <f>'5'!D15</f>
        <v>997.09400000000005</v>
      </c>
      <c r="H741" s="19">
        <f>'5'!E15</f>
        <v>500</v>
      </c>
      <c r="I741" s="19">
        <f>'5'!F15</f>
        <v>500</v>
      </c>
    </row>
    <row r="742" spans="1:13" ht="82.8" x14ac:dyDescent="0.25">
      <c r="A742" s="2" t="s">
        <v>834</v>
      </c>
      <c r="B742" s="3" t="s">
        <v>226</v>
      </c>
      <c r="C742" s="6" t="s">
        <v>212</v>
      </c>
      <c r="D742" s="6" t="s">
        <v>701</v>
      </c>
      <c r="E742" s="6" t="s">
        <v>36</v>
      </c>
      <c r="F742" s="6" t="s">
        <v>223</v>
      </c>
      <c r="G742" s="19">
        <f t="shared" ref="G742:I743" si="158">G743</f>
        <v>119409.59075</v>
      </c>
      <c r="H742" s="19">
        <f t="shared" si="158"/>
        <v>36003.372820000004</v>
      </c>
      <c r="I742" s="19">
        <f t="shared" si="158"/>
        <v>24347.117010000009</v>
      </c>
    </row>
    <row r="743" spans="1:13" ht="41.4" x14ac:dyDescent="0.25">
      <c r="A743" s="2" t="s">
        <v>748</v>
      </c>
      <c r="B743" s="406" t="s">
        <v>226</v>
      </c>
      <c r="C743" s="6" t="s">
        <v>212</v>
      </c>
      <c r="D743" s="6" t="s">
        <v>701</v>
      </c>
      <c r="E743" s="6" t="s">
        <v>36</v>
      </c>
      <c r="F743" s="6" t="s">
        <v>747</v>
      </c>
      <c r="G743" s="331">
        <f t="shared" si="158"/>
        <v>119409.59075</v>
      </c>
      <c r="H743" s="331">
        <f t="shared" si="158"/>
        <v>36003.372820000004</v>
      </c>
      <c r="I743" s="331">
        <f t="shared" si="158"/>
        <v>24347.117010000009</v>
      </c>
    </row>
    <row r="744" spans="1:13" ht="22.95" customHeight="1" x14ac:dyDescent="0.25">
      <c r="A744" s="2" t="s">
        <v>124</v>
      </c>
      <c r="B744" s="406" t="s">
        <v>226</v>
      </c>
      <c r="C744" s="6" t="s">
        <v>212</v>
      </c>
      <c r="D744" s="6" t="s">
        <v>701</v>
      </c>
      <c r="E744" s="6" t="s">
        <v>38</v>
      </c>
      <c r="F744" s="6" t="s">
        <v>165</v>
      </c>
      <c r="G744" s="19">
        <f>'5'!D47+'5'!D48</f>
        <v>119409.59075</v>
      </c>
      <c r="H744" s="19">
        <f>'5'!E47</f>
        <v>36003.372820000004</v>
      </c>
      <c r="I744" s="19">
        <f>'5'!F47</f>
        <v>24347.117010000009</v>
      </c>
      <c r="J744" s="19">
        <f>'5'!G47</f>
        <v>0</v>
      </c>
    </row>
    <row r="745" spans="1:13" hidden="1" x14ac:dyDescent="0.25">
      <c r="A745" s="2"/>
      <c r="B745" s="406" t="s">
        <v>226</v>
      </c>
      <c r="C745" s="6" t="s">
        <v>212</v>
      </c>
      <c r="D745" s="6" t="s">
        <v>701</v>
      </c>
      <c r="E745" s="6" t="s">
        <v>38</v>
      </c>
      <c r="F745" s="6" t="s">
        <v>165</v>
      </c>
      <c r="G745" s="19"/>
      <c r="H745" s="19"/>
      <c r="I745" s="19"/>
    </row>
    <row r="746" spans="1:13" ht="69" hidden="1" x14ac:dyDescent="0.25">
      <c r="A746" s="2" t="s">
        <v>385</v>
      </c>
      <c r="B746" s="3" t="s">
        <v>226</v>
      </c>
      <c r="C746" s="6" t="s">
        <v>212</v>
      </c>
      <c r="D746" s="6" t="s">
        <v>701</v>
      </c>
      <c r="E746" s="6" t="s">
        <v>379</v>
      </c>
      <c r="F746" s="6" t="s">
        <v>223</v>
      </c>
      <c r="G746" s="19">
        <f t="shared" ref="G746:I747" si="159">G747</f>
        <v>0</v>
      </c>
      <c r="H746" s="19">
        <f t="shared" si="159"/>
        <v>0</v>
      </c>
      <c r="I746" s="19">
        <f t="shared" si="159"/>
        <v>0</v>
      </c>
    </row>
    <row r="747" spans="1:13" ht="41.4" hidden="1" x14ac:dyDescent="0.25">
      <c r="A747" s="2" t="s">
        <v>748</v>
      </c>
      <c r="B747" s="3" t="s">
        <v>226</v>
      </c>
      <c r="C747" s="6" t="s">
        <v>212</v>
      </c>
      <c r="D747" s="6" t="s">
        <v>701</v>
      </c>
      <c r="E747" s="6" t="s">
        <v>379</v>
      </c>
      <c r="F747" s="6" t="s">
        <v>747</v>
      </c>
      <c r="G747" s="19">
        <f t="shared" si="159"/>
        <v>0</v>
      </c>
      <c r="H747" s="19">
        <f t="shared" si="159"/>
        <v>0</v>
      </c>
      <c r="I747" s="19">
        <f t="shared" si="159"/>
        <v>0</v>
      </c>
    </row>
    <row r="748" spans="1:13" ht="21.75" hidden="1" customHeight="1" x14ac:dyDescent="0.25">
      <c r="A748" s="2" t="s">
        <v>124</v>
      </c>
      <c r="B748" s="3" t="s">
        <v>226</v>
      </c>
      <c r="C748" s="6" t="s">
        <v>212</v>
      </c>
      <c r="D748" s="6" t="s">
        <v>701</v>
      </c>
      <c r="E748" s="6" t="s">
        <v>379</v>
      </c>
      <c r="F748" s="6" t="s">
        <v>165</v>
      </c>
      <c r="G748" s="19"/>
      <c r="H748" s="19"/>
      <c r="I748" s="19"/>
    </row>
    <row r="749" spans="1:13" ht="47.4" customHeight="1" x14ac:dyDescent="0.25">
      <c r="A749" s="2" t="s">
        <v>835</v>
      </c>
      <c r="B749" s="3" t="s">
        <v>226</v>
      </c>
      <c r="C749" s="6" t="s">
        <v>212</v>
      </c>
      <c r="D749" s="6" t="s">
        <v>701</v>
      </c>
      <c r="E749" s="6" t="s">
        <v>438</v>
      </c>
      <c r="F749" s="6" t="s">
        <v>223</v>
      </c>
      <c r="G749" s="19">
        <f>G751</f>
        <v>935</v>
      </c>
      <c r="H749" s="19">
        <f>H751</f>
        <v>0</v>
      </c>
      <c r="I749" s="19">
        <f>I751</f>
        <v>0</v>
      </c>
    </row>
    <row r="750" spans="1:13" ht="43.95" customHeight="1" x14ac:dyDescent="0.25">
      <c r="A750" s="2" t="s">
        <v>748</v>
      </c>
      <c r="B750" s="3" t="s">
        <v>226</v>
      </c>
      <c r="C750" s="6" t="s">
        <v>212</v>
      </c>
      <c r="D750" s="6" t="s">
        <v>701</v>
      </c>
      <c r="E750" s="6" t="s">
        <v>438</v>
      </c>
      <c r="F750" s="6" t="s">
        <v>747</v>
      </c>
      <c r="G750" s="19">
        <f>G751</f>
        <v>935</v>
      </c>
      <c r="H750" s="19">
        <f>H751</f>
        <v>0</v>
      </c>
      <c r="I750" s="19">
        <f>I751</f>
        <v>0</v>
      </c>
    </row>
    <row r="751" spans="1:13" ht="22.95" customHeight="1" x14ac:dyDescent="0.25">
      <c r="A751" s="2" t="s">
        <v>124</v>
      </c>
      <c r="B751" s="3" t="s">
        <v>226</v>
      </c>
      <c r="C751" s="6" t="s">
        <v>212</v>
      </c>
      <c r="D751" s="6" t="s">
        <v>701</v>
      </c>
      <c r="E751" s="6" t="s">
        <v>438</v>
      </c>
      <c r="F751" s="6" t="s">
        <v>165</v>
      </c>
      <c r="G751" s="19">
        <f>'5'!D20</f>
        <v>935</v>
      </c>
      <c r="H751" s="19">
        <f>'5'!E20</f>
        <v>0</v>
      </c>
      <c r="I751" s="19">
        <f>'5'!F20</f>
        <v>0</v>
      </c>
    </row>
    <row r="752" spans="1:13" ht="43.2" x14ac:dyDescent="0.25">
      <c r="A752" s="34" t="s">
        <v>489</v>
      </c>
      <c r="B752" s="31" t="s">
        <v>226</v>
      </c>
      <c r="C752" s="32" t="s">
        <v>212</v>
      </c>
      <c r="D752" s="32" t="s">
        <v>701</v>
      </c>
      <c r="E752" s="32" t="s">
        <v>35</v>
      </c>
      <c r="F752" s="32" t="s">
        <v>223</v>
      </c>
      <c r="G752" s="33">
        <f>G756+G754</f>
        <v>22.605999999999995</v>
      </c>
      <c r="H752" s="33">
        <f>H756+H754</f>
        <v>0</v>
      </c>
      <c r="I752" s="33">
        <f>I756+I754</f>
        <v>0</v>
      </c>
    </row>
    <row r="753" spans="1:10" ht="41.4" hidden="1" x14ac:dyDescent="0.25">
      <c r="A753" s="21" t="s">
        <v>481</v>
      </c>
      <c r="B753" s="28" t="s">
        <v>226</v>
      </c>
      <c r="C753" s="8" t="s">
        <v>212</v>
      </c>
      <c r="D753" s="8" t="s">
        <v>701</v>
      </c>
      <c r="E753" s="8" t="s">
        <v>482</v>
      </c>
      <c r="F753" s="8" t="s">
        <v>223</v>
      </c>
      <c r="G753" s="24">
        <f t="shared" ref="G753:I754" si="160">G754</f>
        <v>0</v>
      </c>
      <c r="H753" s="24">
        <f t="shared" si="160"/>
        <v>0</v>
      </c>
      <c r="I753" s="24">
        <f t="shared" si="160"/>
        <v>0</v>
      </c>
    </row>
    <row r="754" spans="1:10" ht="41.4" hidden="1" x14ac:dyDescent="0.25">
      <c r="A754" s="21" t="s">
        <v>748</v>
      </c>
      <c r="B754" s="380" t="s">
        <v>226</v>
      </c>
      <c r="C754" s="8" t="s">
        <v>212</v>
      </c>
      <c r="D754" s="8" t="s">
        <v>701</v>
      </c>
      <c r="E754" s="8" t="s">
        <v>482</v>
      </c>
      <c r="F754" s="8" t="s">
        <v>747</v>
      </c>
      <c r="G754" s="24">
        <f t="shared" si="160"/>
        <v>0</v>
      </c>
      <c r="H754" s="24">
        <f t="shared" si="160"/>
        <v>0</v>
      </c>
      <c r="I754" s="24">
        <f t="shared" si="160"/>
        <v>0</v>
      </c>
    </row>
    <row r="755" spans="1:10" hidden="1" x14ac:dyDescent="0.25">
      <c r="A755" s="21" t="s">
        <v>124</v>
      </c>
      <c r="B755" s="380" t="s">
        <v>226</v>
      </c>
      <c r="C755" s="8" t="s">
        <v>212</v>
      </c>
      <c r="D755" s="8" t="s">
        <v>701</v>
      </c>
      <c r="E755" s="8" t="s">
        <v>482</v>
      </c>
      <c r="F755" s="8" t="s">
        <v>165</v>
      </c>
      <c r="G755" s="24">
        <v>0</v>
      </c>
      <c r="H755" s="24">
        <v>0</v>
      </c>
      <c r="I755" s="24">
        <v>0</v>
      </c>
    </row>
    <row r="756" spans="1:10" ht="69" x14ac:dyDescent="0.25">
      <c r="A756" s="21" t="s">
        <v>424</v>
      </c>
      <c r="B756" s="380" t="s">
        <v>226</v>
      </c>
      <c r="C756" s="8" t="s">
        <v>212</v>
      </c>
      <c r="D756" s="8" t="s">
        <v>701</v>
      </c>
      <c r="E756" s="28" t="s">
        <v>583</v>
      </c>
      <c r="F756" s="8" t="s">
        <v>223</v>
      </c>
      <c r="G756" s="24">
        <f t="shared" ref="G756:I757" si="161">G757</f>
        <v>22.605999999999995</v>
      </c>
      <c r="H756" s="24">
        <f t="shared" si="161"/>
        <v>0</v>
      </c>
      <c r="I756" s="24">
        <f t="shared" si="161"/>
        <v>0</v>
      </c>
    </row>
    <row r="757" spans="1:10" ht="41.4" x14ac:dyDescent="0.25">
      <c r="A757" s="21" t="s">
        <v>748</v>
      </c>
      <c r="B757" s="380" t="s">
        <v>226</v>
      </c>
      <c r="C757" s="8" t="s">
        <v>212</v>
      </c>
      <c r="D757" s="8" t="s">
        <v>701</v>
      </c>
      <c r="E757" s="28" t="s">
        <v>583</v>
      </c>
      <c r="F757" s="8" t="s">
        <v>747</v>
      </c>
      <c r="G757" s="24">
        <f t="shared" si="161"/>
        <v>22.605999999999995</v>
      </c>
      <c r="H757" s="24">
        <f t="shared" si="161"/>
        <v>0</v>
      </c>
      <c r="I757" s="24">
        <f t="shared" si="161"/>
        <v>0</v>
      </c>
    </row>
    <row r="758" spans="1:10" x14ac:dyDescent="0.25">
      <c r="A758" s="21" t="s">
        <v>124</v>
      </c>
      <c r="B758" s="380" t="s">
        <v>226</v>
      </c>
      <c r="C758" s="8" t="s">
        <v>212</v>
      </c>
      <c r="D758" s="8" t="s">
        <v>701</v>
      </c>
      <c r="E758" s="28" t="s">
        <v>583</v>
      </c>
      <c r="F758" s="8" t="s">
        <v>165</v>
      </c>
      <c r="G758" s="19">
        <f>'5'!D27</f>
        <v>22.605999999999995</v>
      </c>
      <c r="H758" s="19">
        <f>'5'!E27</f>
        <v>0</v>
      </c>
      <c r="I758" s="19">
        <f>'5'!F27</f>
        <v>0</v>
      </c>
      <c r="J758" s="19">
        <f>'5'!G27</f>
        <v>0</v>
      </c>
    </row>
    <row r="759" spans="1:10" ht="41.4" x14ac:dyDescent="0.25">
      <c r="A759" s="130" t="s">
        <v>537</v>
      </c>
      <c r="B759" s="116" t="s">
        <v>226</v>
      </c>
      <c r="C759" s="115" t="s">
        <v>212</v>
      </c>
      <c r="D759" s="115" t="s">
        <v>701</v>
      </c>
      <c r="E759" s="116" t="s">
        <v>35</v>
      </c>
      <c r="F759" s="115" t="s">
        <v>223</v>
      </c>
      <c r="G759" s="20">
        <f>G760+G763</f>
        <v>6000</v>
      </c>
      <c r="H759" s="20">
        <f>H760+H763</f>
        <v>0</v>
      </c>
      <c r="I759" s="20">
        <f>I760+I763</f>
        <v>0</v>
      </c>
    </row>
    <row r="760" spans="1:10" ht="86.25" customHeight="1" x14ac:dyDescent="0.25">
      <c r="A760" s="2" t="s">
        <v>1123</v>
      </c>
      <c r="B760" s="3" t="s">
        <v>226</v>
      </c>
      <c r="C760" s="6" t="s">
        <v>212</v>
      </c>
      <c r="D760" s="6" t="s">
        <v>701</v>
      </c>
      <c r="E760" s="3" t="s">
        <v>1103</v>
      </c>
      <c r="F760" s="6" t="s">
        <v>223</v>
      </c>
      <c r="G760" s="19">
        <f t="shared" ref="G760:I761" si="162">G761</f>
        <v>3000</v>
      </c>
      <c r="H760" s="19">
        <f t="shared" si="162"/>
        <v>0</v>
      </c>
      <c r="I760" s="19">
        <f t="shared" si="162"/>
        <v>0</v>
      </c>
    </row>
    <row r="761" spans="1:10" ht="41.4" x14ac:dyDescent="0.25">
      <c r="A761" s="2" t="s">
        <v>748</v>
      </c>
      <c r="B761" s="3" t="s">
        <v>226</v>
      </c>
      <c r="C761" s="6" t="s">
        <v>212</v>
      </c>
      <c r="D761" s="6" t="s">
        <v>701</v>
      </c>
      <c r="E761" s="3" t="s">
        <v>1103</v>
      </c>
      <c r="F761" s="6" t="s">
        <v>747</v>
      </c>
      <c r="G761" s="19">
        <f t="shared" si="162"/>
        <v>3000</v>
      </c>
      <c r="H761" s="19">
        <f t="shared" si="162"/>
        <v>0</v>
      </c>
      <c r="I761" s="19">
        <f t="shared" si="162"/>
        <v>0</v>
      </c>
    </row>
    <row r="762" spans="1:10" x14ac:dyDescent="0.25">
      <c r="A762" s="2" t="s">
        <v>124</v>
      </c>
      <c r="B762" s="3" t="s">
        <v>226</v>
      </c>
      <c r="C762" s="6" t="s">
        <v>212</v>
      </c>
      <c r="D762" s="6" t="s">
        <v>701</v>
      </c>
      <c r="E762" s="3" t="s">
        <v>1103</v>
      </c>
      <c r="F762" s="6" t="s">
        <v>165</v>
      </c>
      <c r="G762" s="19">
        <f>'5'!D34</f>
        <v>3000</v>
      </c>
      <c r="H762" s="19">
        <f>'5'!E29</f>
        <v>0</v>
      </c>
      <c r="I762" s="19">
        <f>'5'!F29</f>
        <v>0</v>
      </c>
      <c r="J762" s="27">
        <f>'5'!G29</f>
        <v>0</v>
      </c>
    </row>
    <row r="763" spans="1:10" ht="55.2" x14ac:dyDescent="0.25">
      <c r="A763" s="2" t="s">
        <v>1124</v>
      </c>
      <c r="B763" s="3" t="s">
        <v>226</v>
      </c>
      <c r="C763" s="6" t="s">
        <v>212</v>
      </c>
      <c r="D763" s="6" t="s">
        <v>701</v>
      </c>
      <c r="E763" s="3" t="s">
        <v>1107</v>
      </c>
      <c r="F763" s="6" t="s">
        <v>223</v>
      </c>
      <c r="G763" s="19">
        <f t="shared" ref="G763:I764" si="163">G764</f>
        <v>3000</v>
      </c>
      <c r="H763" s="19">
        <f t="shared" si="163"/>
        <v>0</v>
      </c>
      <c r="I763" s="19">
        <f t="shared" si="163"/>
        <v>0</v>
      </c>
    </row>
    <row r="764" spans="1:10" ht="41.4" x14ac:dyDescent="0.25">
      <c r="A764" s="2" t="s">
        <v>748</v>
      </c>
      <c r="B764" s="3" t="s">
        <v>226</v>
      </c>
      <c r="C764" s="6" t="s">
        <v>212</v>
      </c>
      <c r="D764" s="6" t="s">
        <v>701</v>
      </c>
      <c r="E764" s="3" t="s">
        <v>1107</v>
      </c>
      <c r="F764" s="6" t="s">
        <v>747</v>
      </c>
      <c r="G764" s="19">
        <f t="shared" si="163"/>
        <v>3000</v>
      </c>
      <c r="H764" s="19">
        <f t="shared" si="163"/>
        <v>0</v>
      </c>
      <c r="I764" s="19">
        <f t="shared" si="163"/>
        <v>0</v>
      </c>
    </row>
    <row r="765" spans="1:10" x14ac:dyDescent="0.25">
      <c r="A765" s="2" t="s">
        <v>124</v>
      </c>
      <c r="B765" s="3" t="s">
        <v>226</v>
      </c>
      <c r="C765" s="6" t="s">
        <v>212</v>
      </c>
      <c r="D765" s="6" t="s">
        <v>701</v>
      </c>
      <c r="E765" s="3" t="s">
        <v>1107</v>
      </c>
      <c r="F765" s="6" t="s">
        <v>165</v>
      </c>
      <c r="G765" s="19">
        <f>'5'!D34</f>
        <v>3000</v>
      </c>
      <c r="H765" s="19">
        <f>'5'!E30</f>
        <v>0</v>
      </c>
      <c r="I765" s="19">
        <f>'5'!F30</f>
        <v>0</v>
      </c>
    </row>
    <row r="766" spans="1:10" ht="41.4" x14ac:dyDescent="0.25">
      <c r="A766" s="130" t="s">
        <v>1093</v>
      </c>
      <c r="B766" s="3" t="s">
        <v>226</v>
      </c>
      <c r="C766" s="6" t="s">
        <v>212</v>
      </c>
      <c r="D766" s="6" t="s">
        <v>701</v>
      </c>
      <c r="E766" s="3" t="s">
        <v>35</v>
      </c>
      <c r="F766" s="6" t="s">
        <v>223</v>
      </c>
      <c r="G766" s="19">
        <f>G767+G770</f>
        <v>3030.3030399999998</v>
      </c>
      <c r="H766" s="19">
        <f t="shared" ref="H766:I766" si="164">H767+H770</f>
        <v>0</v>
      </c>
      <c r="I766" s="19">
        <f t="shared" si="164"/>
        <v>0</v>
      </c>
    </row>
    <row r="767" spans="1:10" ht="69" x14ac:dyDescent="0.25">
      <c r="A767" s="2" t="s">
        <v>1125</v>
      </c>
      <c r="B767" s="3" t="s">
        <v>226</v>
      </c>
      <c r="C767" s="6" t="s">
        <v>212</v>
      </c>
      <c r="D767" s="6" t="s">
        <v>701</v>
      </c>
      <c r="E767" s="133" t="s">
        <v>1111</v>
      </c>
      <c r="F767" s="6" t="s">
        <v>223</v>
      </c>
      <c r="G767" s="19">
        <f t="shared" ref="G767:I768" si="165">G768</f>
        <v>1515.1515199999999</v>
      </c>
      <c r="H767" s="19">
        <f t="shared" si="165"/>
        <v>0</v>
      </c>
      <c r="I767" s="19">
        <f t="shared" si="165"/>
        <v>0</v>
      </c>
    </row>
    <row r="768" spans="1:10" ht="41.4" x14ac:dyDescent="0.25">
      <c r="A768" s="2" t="s">
        <v>748</v>
      </c>
      <c r="B768" s="3" t="s">
        <v>226</v>
      </c>
      <c r="C768" s="6" t="s">
        <v>212</v>
      </c>
      <c r="D768" s="6" t="s">
        <v>701</v>
      </c>
      <c r="E768" s="133" t="s">
        <v>1111</v>
      </c>
      <c r="F768" s="6" t="s">
        <v>747</v>
      </c>
      <c r="G768" s="19">
        <f t="shared" si="165"/>
        <v>1515.1515199999999</v>
      </c>
      <c r="H768" s="19">
        <f t="shared" si="165"/>
        <v>0</v>
      </c>
      <c r="I768" s="19">
        <f t="shared" si="165"/>
        <v>0</v>
      </c>
    </row>
    <row r="769" spans="1:9" x14ac:dyDescent="0.25">
      <c r="A769" s="2" t="s">
        <v>124</v>
      </c>
      <c r="B769" s="3" t="s">
        <v>226</v>
      </c>
      <c r="C769" s="6" t="s">
        <v>212</v>
      </c>
      <c r="D769" s="6" t="s">
        <v>701</v>
      </c>
      <c r="E769" s="133" t="s">
        <v>1111</v>
      </c>
      <c r="F769" s="6" t="s">
        <v>165</v>
      </c>
      <c r="G769" s="19">
        <f>'5'!D40</f>
        <v>1515.1515199999999</v>
      </c>
      <c r="H769" s="19">
        <f>'5'!E38</f>
        <v>0</v>
      </c>
      <c r="I769" s="19">
        <f>'5'!F38</f>
        <v>0</v>
      </c>
    </row>
    <row r="770" spans="1:9" ht="69" x14ac:dyDescent="0.25">
      <c r="A770" s="2" t="s">
        <v>1126</v>
      </c>
      <c r="B770" s="3" t="s">
        <v>226</v>
      </c>
      <c r="C770" s="6" t="s">
        <v>212</v>
      </c>
      <c r="D770" s="6" t="s">
        <v>701</v>
      </c>
      <c r="E770" s="133" t="s">
        <v>1113</v>
      </c>
      <c r="F770" s="6" t="s">
        <v>223</v>
      </c>
      <c r="G770" s="19">
        <f t="shared" ref="G770:I771" si="166">G771</f>
        <v>1515.1515199999999</v>
      </c>
      <c r="H770" s="19">
        <f t="shared" si="166"/>
        <v>0</v>
      </c>
      <c r="I770" s="19">
        <f t="shared" si="166"/>
        <v>0</v>
      </c>
    </row>
    <row r="771" spans="1:9" ht="41.4" x14ac:dyDescent="0.25">
      <c r="A771" s="2" t="s">
        <v>748</v>
      </c>
      <c r="B771" s="3" t="s">
        <v>226</v>
      </c>
      <c r="C771" s="6" t="s">
        <v>212</v>
      </c>
      <c r="D771" s="6" t="s">
        <v>701</v>
      </c>
      <c r="E771" s="133" t="s">
        <v>1113</v>
      </c>
      <c r="F771" s="6" t="s">
        <v>747</v>
      </c>
      <c r="G771" s="19">
        <f t="shared" si="166"/>
        <v>1515.1515199999999</v>
      </c>
      <c r="H771" s="19">
        <f t="shared" si="166"/>
        <v>0</v>
      </c>
      <c r="I771" s="19">
        <f t="shared" si="166"/>
        <v>0</v>
      </c>
    </row>
    <row r="772" spans="1:9" x14ac:dyDescent="0.25">
      <c r="A772" s="2" t="s">
        <v>124</v>
      </c>
      <c r="B772" s="3" t="s">
        <v>226</v>
      </c>
      <c r="C772" s="6" t="s">
        <v>212</v>
      </c>
      <c r="D772" s="6" t="s">
        <v>701</v>
      </c>
      <c r="E772" s="133" t="s">
        <v>1113</v>
      </c>
      <c r="F772" s="6" t="s">
        <v>165</v>
      </c>
      <c r="G772" s="19">
        <f>'5'!D43</f>
        <v>1515.1515199999999</v>
      </c>
      <c r="H772" s="19">
        <f>'5'!E39</f>
        <v>0</v>
      </c>
      <c r="I772" s="19">
        <f>'5'!F39</f>
        <v>0</v>
      </c>
    </row>
    <row r="773" spans="1:9" ht="31.95" customHeight="1" x14ac:dyDescent="0.25">
      <c r="A773" s="329" t="s">
        <v>836</v>
      </c>
      <c r="B773" s="380" t="s">
        <v>226</v>
      </c>
      <c r="C773" s="8" t="s">
        <v>212</v>
      </c>
      <c r="D773" s="8" t="s">
        <v>701</v>
      </c>
      <c r="E773" s="6" t="s">
        <v>39</v>
      </c>
      <c r="F773" s="6" t="s">
        <v>223</v>
      </c>
      <c r="G773" s="19">
        <f>G774+G777</f>
        <v>1440.96</v>
      </c>
      <c r="H773" s="19">
        <f>H774+H777</f>
        <v>1800</v>
      </c>
      <c r="I773" s="19">
        <f>I774+I777</f>
        <v>1800</v>
      </c>
    </row>
    <row r="774" spans="1:9" ht="27.6" x14ac:dyDescent="0.25">
      <c r="A774" s="15" t="s">
        <v>143</v>
      </c>
      <c r="B774" s="400" t="s">
        <v>226</v>
      </c>
      <c r="C774" s="29" t="s">
        <v>212</v>
      </c>
      <c r="D774" s="29" t="s">
        <v>701</v>
      </c>
      <c r="E774" s="29" t="s">
        <v>837</v>
      </c>
      <c r="F774" s="29" t="s">
        <v>223</v>
      </c>
      <c r="G774" s="401">
        <f>G775</f>
        <v>250</v>
      </c>
      <c r="H774" s="401">
        <f t="shared" ref="G774:I775" si="167">H775</f>
        <v>300</v>
      </c>
      <c r="I774" s="401">
        <f t="shared" si="167"/>
        <v>300</v>
      </c>
    </row>
    <row r="775" spans="1:9" ht="41.4" x14ac:dyDescent="0.25">
      <c r="A775" s="21" t="s">
        <v>748</v>
      </c>
      <c r="B775" s="380" t="s">
        <v>226</v>
      </c>
      <c r="C775" s="8" t="s">
        <v>212</v>
      </c>
      <c r="D775" s="8" t="s">
        <v>701</v>
      </c>
      <c r="E775" s="8" t="s">
        <v>837</v>
      </c>
      <c r="F775" s="8" t="s">
        <v>747</v>
      </c>
      <c r="G775" s="330">
        <f t="shared" si="167"/>
        <v>250</v>
      </c>
      <c r="H775" s="330">
        <f t="shared" si="167"/>
        <v>300</v>
      </c>
      <c r="I775" s="330">
        <f t="shared" si="167"/>
        <v>300</v>
      </c>
    </row>
    <row r="776" spans="1:9" x14ac:dyDescent="0.25">
      <c r="A776" s="22" t="s">
        <v>124</v>
      </c>
      <c r="B776" s="380" t="s">
        <v>226</v>
      </c>
      <c r="C776" s="8" t="s">
        <v>212</v>
      </c>
      <c r="D776" s="8" t="s">
        <v>701</v>
      </c>
      <c r="E776" s="8" t="s">
        <v>40</v>
      </c>
      <c r="F776" s="8" t="s">
        <v>165</v>
      </c>
      <c r="G776" s="24">
        <f>'5'!D66</f>
        <v>250</v>
      </c>
      <c r="H776" s="24">
        <f>'5'!E66</f>
        <v>300</v>
      </c>
      <c r="I776" s="24">
        <f>'5'!F66</f>
        <v>300</v>
      </c>
    </row>
    <row r="777" spans="1:9" ht="27.6" x14ac:dyDescent="0.25">
      <c r="A777" s="15" t="s">
        <v>142</v>
      </c>
      <c r="B777" s="400" t="s">
        <v>226</v>
      </c>
      <c r="C777" s="29" t="s">
        <v>212</v>
      </c>
      <c r="D777" s="29" t="s">
        <v>701</v>
      </c>
      <c r="E777" s="29" t="s">
        <v>837</v>
      </c>
      <c r="F777" s="29" t="s">
        <v>223</v>
      </c>
      <c r="G777" s="401">
        <f t="shared" ref="G777:I778" si="168">G778</f>
        <v>1190.96</v>
      </c>
      <c r="H777" s="401">
        <f t="shared" si="168"/>
        <v>1500</v>
      </c>
      <c r="I777" s="401">
        <f t="shared" si="168"/>
        <v>1500</v>
      </c>
    </row>
    <row r="778" spans="1:9" ht="41.4" x14ac:dyDescent="0.25">
      <c r="A778" s="21" t="s">
        <v>748</v>
      </c>
      <c r="B778" s="380" t="s">
        <v>226</v>
      </c>
      <c r="C778" s="8" t="s">
        <v>212</v>
      </c>
      <c r="D778" s="8" t="s">
        <v>701</v>
      </c>
      <c r="E778" s="8" t="s">
        <v>837</v>
      </c>
      <c r="F778" s="8" t="s">
        <v>747</v>
      </c>
      <c r="G778" s="330">
        <f t="shared" si="168"/>
        <v>1190.96</v>
      </c>
      <c r="H778" s="330">
        <f t="shared" si="168"/>
        <v>1500</v>
      </c>
      <c r="I778" s="330">
        <f t="shared" si="168"/>
        <v>1500</v>
      </c>
    </row>
    <row r="779" spans="1:9" x14ac:dyDescent="0.25">
      <c r="A779" s="22" t="s">
        <v>1020</v>
      </c>
      <c r="B779" s="380" t="s">
        <v>226</v>
      </c>
      <c r="C779" s="8" t="s">
        <v>212</v>
      </c>
      <c r="D779" s="8" t="s">
        <v>701</v>
      </c>
      <c r="E779" s="8" t="s">
        <v>41</v>
      </c>
      <c r="F779" s="8" t="s">
        <v>165</v>
      </c>
      <c r="G779" s="19">
        <f>'5'!D67</f>
        <v>1190.96</v>
      </c>
      <c r="H779" s="19">
        <f>'5'!E67</f>
        <v>1500</v>
      </c>
      <c r="I779" s="19">
        <f>'5'!F67</f>
        <v>1500</v>
      </c>
    </row>
    <row r="780" spans="1:9" ht="27.6" hidden="1" x14ac:dyDescent="0.25">
      <c r="A780" s="329" t="s">
        <v>838</v>
      </c>
      <c r="B780" s="380" t="s">
        <v>226</v>
      </c>
      <c r="C780" s="8" t="s">
        <v>212</v>
      </c>
      <c r="D780" s="8" t="s">
        <v>701</v>
      </c>
      <c r="E780" s="8" t="s">
        <v>42</v>
      </c>
      <c r="F780" s="8" t="s">
        <v>223</v>
      </c>
      <c r="G780" s="330">
        <f>G781</f>
        <v>0</v>
      </c>
      <c r="H780" s="330">
        <f>H781</f>
        <v>0</v>
      </c>
      <c r="I780" s="330">
        <f>I781</f>
        <v>0</v>
      </c>
    </row>
    <row r="781" spans="1:9" ht="41.4" hidden="1" x14ac:dyDescent="0.25">
      <c r="A781" s="21" t="s">
        <v>748</v>
      </c>
      <c r="B781" s="380" t="s">
        <v>226</v>
      </c>
      <c r="C781" s="8" t="s">
        <v>212</v>
      </c>
      <c r="D781" s="8" t="s">
        <v>701</v>
      </c>
      <c r="E781" s="8" t="s">
        <v>840</v>
      </c>
      <c r="F781" s="8" t="s">
        <v>223</v>
      </c>
      <c r="G781" s="24">
        <f>G782+G783</f>
        <v>0</v>
      </c>
      <c r="H781" s="24">
        <f>H782+H783</f>
        <v>0</v>
      </c>
      <c r="I781" s="24">
        <f>I782+I783</f>
        <v>0</v>
      </c>
    </row>
    <row r="782" spans="1:9" ht="27.6" hidden="1" x14ac:dyDescent="0.25">
      <c r="A782" s="21" t="s">
        <v>841</v>
      </c>
      <c r="B782" s="380" t="s">
        <v>226</v>
      </c>
      <c r="C782" s="8" t="s">
        <v>212</v>
      </c>
      <c r="D782" s="8" t="s">
        <v>701</v>
      </c>
      <c r="E782" s="8" t="s">
        <v>43</v>
      </c>
      <c r="F782" s="8" t="s">
        <v>165</v>
      </c>
      <c r="G782" s="24"/>
      <c r="H782" s="24"/>
      <c r="I782" s="24"/>
    </row>
    <row r="783" spans="1:9" ht="27.6" hidden="1" x14ac:dyDescent="0.25">
      <c r="A783" s="21" t="s">
        <v>842</v>
      </c>
      <c r="B783" s="380" t="s">
        <v>226</v>
      </c>
      <c r="C783" s="8" t="s">
        <v>212</v>
      </c>
      <c r="D783" s="8" t="s">
        <v>701</v>
      </c>
      <c r="E783" s="8" t="s">
        <v>44</v>
      </c>
      <c r="F783" s="8" t="s">
        <v>165</v>
      </c>
      <c r="G783" s="24"/>
      <c r="H783" s="24"/>
      <c r="I783" s="24"/>
    </row>
    <row r="784" spans="1:9" ht="41.4" x14ac:dyDescent="0.25">
      <c r="A784" s="15" t="s">
        <v>757</v>
      </c>
      <c r="B784" s="57" t="s">
        <v>226</v>
      </c>
      <c r="C784" s="29" t="s">
        <v>212</v>
      </c>
      <c r="D784" s="29" t="s">
        <v>701</v>
      </c>
      <c r="E784" s="29" t="s">
        <v>22</v>
      </c>
      <c r="F784" s="29" t="s">
        <v>223</v>
      </c>
      <c r="G784" s="26">
        <f t="shared" ref="G784:I785" si="169">G785</f>
        <v>259889.158</v>
      </c>
      <c r="H784" s="26">
        <f t="shared" si="169"/>
        <v>267175.44</v>
      </c>
      <c r="I784" s="26">
        <f t="shared" si="169"/>
        <v>283183.27899999998</v>
      </c>
    </row>
    <row r="785" spans="1:10" ht="48" customHeight="1" x14ac:dyDescent="0.25">
      <c r="A785" s="329" t="s">
        <v>916</v>
      </c>
      <c r="B785" s="380" t="s">
        <v>226</v>
      </c>
      <c r="C785" s="8" t="s">
        <v>212</v>
      </c>
      <c r="D785" s="8" t="s">
        <v>701</v>
      </c>
      <c r="E785" s="8" t="s">
        <v>35</v>
      </c>
      <c r="F785" s="8" t="s">
        <v>223</v>
      </c>
      <c r="G785" s="24">
        <f t="shared" si="169"/>
        <v>259889.158</v>
      </c>
      <c r="H785" s="24">
        <f t="shared" si="169"/>
        <v>267175.44</v>
      </c>
      <c r="I785" s="24">
        <f t="shared" si="169"/>
        <v>283183.27899999998</v>
      </c>
    </row>
    <row r="786" spans="1:10" s="76" customFormat="1" ht="14.4" x14ac:dyDescent="0.25">
      <c r="A786" s="34" t="s">
        <v>737</v>
      </c>
      <c r="B786" s="417" t="s">
        <v>226</v>
      </c>
      <c r="C786" s="32" t="s">
        <v>212</v>
      </c>
      <c r="D786" s="32" t="s">
        <v>701</v>
      </c>
      <c r="E786" s="32" t="s">
        <v>699</v>
      </c>
      <c r="F786" s="32" t="s">
        <v>223</v>
      </c>
      <c r="G786" s="33">
        <f>G789+G792+G795</f>
        <v>259889.158</v>
      </c>
      <c r="H786" s="33">
        <f>H789+H792+H795</f>
        <v>267175.44</v>
      </c>
      <c r="I786" s="33">
        <f>I789+I792+I795</f>
        <v>283183.27899999998</v>
      </c>
    </row>
    <row r="787" spans="1:10" ht="55.5" hidden="1" customHeight="1" x14ac:dyDescent="0.25">
      <c r="A787" s="21" t="s">
        <v>1021</v>
      </c>
      <c r="B787" s="380" t="s">
        <v>226</v>
      </c>
      <c r="C787" s="8" t="s">
        <v>212</v>
      </c>
      <c r="D787" s="8" t="s">
        <v>701</v>
      </c>
      <c r="E787" s="8" t="s">
        <v>1022</v>
      </c>
      <c r="F787" s="8" t="s">
        <v>223</v>
      </c>
      <c r="G787" s="330">
        <f>G788</f>
        <v>0</v>
      </c>
      <c r="H787" s="330">
        <f>H788</f>
        <v>0</v>
      </c>
      <c r="I787" s="330">
        <f>I788</f>
        <v>0</v>
      </c>
    </row>
    <row r="788" spans="1:10" hidden="1" x14ac:dyDescent="0.25">
      <c r="A788" s="21" t="s">
        <v>737</v>
      </c>
      <c r="B788" s="380" t="s">
        <v>226</v>
      </c>
      <c r="C788" s="8" t="s">
        <v>212</v>
      </c>
      <c r="D788" s="8" t="s">
        <v>701</v>
      </c>
      <c r="E788" s="8" t="s">
        <v>1022</v>
      </c>
      <c r="F788" s="8" t="s">
        <v>778</v>
      </c>
      <c r="G788" s="330"/>
      <c r="H788" s="330"/>
      <c r="I788" s="330"/>
    </row>
    <row r="789" spans="1:10" ht="57" customHeight="1" x14ac:dyDescent="0.25">
      <c r="A789" s="15" t="s">
        <v>846</v>
      </c>
      <c r="B789" s="380" t="s">
        <v>226</v>
      </c>
      <c r="C789" s="8" t="s">
        <v>212</v>
      </c>
      <c r="D789" s="8" t="s">
        <v>701</v>
      </c>
      <c r="E789" s="8" t="s">
        <v>35</v>
      </c>
      <c r="F789" s="8" t="s">
        <v>223</v>
      </c>
      <c r="G789" s="330">
        <f t="shared" ref="G789:I790" si="170">G790</f>
        <v>4000</v>
      </c>
      <c r="H789" s="330">
        <f t="shared" si="170"/>
        <v>0</v>
      </c>
      <c r="I789" s="330">
        <f t="shared" si="170"/>
        <v>0</v>
      </c>
    </row>
    <row r="790" spans="1:10" ht="41.4" x14ac:dyDescent="0.25">
      <c r="A790" s="21" t="s">
        <v>748</v>
      </c>
      <c r="B790" s="28" t="s">
        <v>226</v>
      </c>
      <c r="C790" s="8" t="s">
        <v>212</v>
      </c>
      <c r="D790" s="8" t="s">
        <v>701</v>
      </c>
      <c r="E790" s="8" t="s">
        <v>325</v>
      </c>
      <c r="F790" s="8" t="s">
        <v>747</v>
      </c>
      <c r="G790" s="19">
        <f t="shared" si="170"/>
        <v>4000</v>
      </c>
      <c r="H790" s="19">
        <f t="shared" si="170"/>
        <v>0</v>
      </c>
      <c r="I790" s="19">
        <f t="shared" si="170"/>
        <v>0</v>
      </c>
    </row>
    <row r="791" spans="1:10" x14ac:dyDescent="0.25">
      <c r="A791" s="22" t="s">
        <v>124</v>
      </c>
      <c r="B791" s="28" t="s">
        <v>226</v>
      </c>
      <c r="C791" s="8" t="s">
        <v>212</v>
      </c>
      <c r="D791" s="8" t="s">
        <v>701</v>
      </c>
      <c r="E791" s="8" t="s">
        <v>325</v>
      </c>
      <c r="F791" s="8" t="s">
        <v>165</v>
      </c>
      <c r="G791" s="19">
        <f>'5'!D50-200</f>
        <v>4000</v>
      </c>
      <c r="H791" s="19">
        <f>'5'!E50</f>
        <v>0</v>
      </c>
      <c r="I791" s="19">
        <f>'5'!F50</f>
        <v>0</v>
      </c>
    </row>
    <row r="792" spans="1:10" ht="98.25" customHeight="1" x14ac:dyDescent="0.25">
      <c r="A792" s="15" t="s">
        <v>415</v>
      </c>
      <c r="B792" s="57" t="s">
        <v>226</v>
      </c>
      <c r="C792" s="29" t="s">
        <v>212</v>
      </c>
      <c r="D792" s="29" t="s">
        <v>701</v>
      </c>
      <c r="E792" s="29" t="s">
        <v>535</v>
      </c>
      <c r="F792" s="29" t="s">
        <v>223</v>
      </c>
      <c r="G792" s="128">
        <f t="shared" ref="G792:I793" si="171">G793</f>
        <v>4500</v>
      </c>
      <c r="H792" s="128">
        <f t="shared" si="171"/>
        <v>0</v>
      </c>
      <c r="I792" s="128">
        <f t="shared" si="171"/>
        <v>0</v>
      </c>
    </row>
    <row r="793" spans="1:10" ht="41.4" x14ac:dyDescent="0.25">
      <c r="A793" s="21" t="s">
        <v>748</v>
      </c>
      <c r="B793" s="28" t="s">
        <v>226</v>
      </c>
      <c r="C793" s="8" t="s">
        <v>212</v>
      </c>
      <c r="D793" s="8" t="s">
        <v>701</v>
      </c>
      <c r="E793" s="8" t="s">
        <v>535</v>
      </c>
      <c r="F793" s="8" t="s">
        <v>747</v>
      </c>
      <c r="G793" s="19">
        <f t="shared" si="171"/>
        <v>4500</v>
      </c>
      <c r="H793" s="19">
        <f t="shared" si="171"/>
        <v>0</v>
      </c>
      <c r="I793" s="19">
        <f t="shared" si="171"/>
        <v>0</v>
      </c>
    </row>
    <row r="794" spans="1:10" x14ac:dyDescent="0.25">
      <c r="A794" s="21" t="s">
        <v>124</v>
      </c>
      <c r="B794" s="28" t="s">
        <v>226</v>
      </c>
      <c r="C794" s="8" t="s">
        <v>212</v>
      </c>
      <c r="D794" s="8" t="s">
        <v>701</v>
      </c>
      <c r="E794" s="8" t="s">
        <v>535</v>
      </c>
      <c r="F794" s="8" t="s">
        <v>165</v>
      </c>
      <c r="G794" s="19">
        <f>'5'!D52</f>
        <v>4500</v>
      </c>
      <c r="H794" s="19">
        <f>'5'!E52</f>
        <v>0</v>
      </c>
      <c r="I794" s="19">
        <f>'5'!F52</f>
        <v>0</v>
      </c>
    </row>
    <row r="795" spans="1:10" ht="73.95" customHeight="1" x14ac:dyDescent="0.25">
      <c r="A795" s="15" t="s">
        <v>847</v>
      </c>
      <c r="B795" s="380" t="s">
        <v>226</v>
      </c>
      <c r="C795" s="8" t="s">
        <v>212</v>
      </c>
      <c r="D795" s="8" t="s">
        <v>701</v>
      </c>
      <c r="E795" s="8" t="s">
        <v>47</v>
      </c>
      <c r="F795" s="8" t="s">
        <v>223</v>
      </c>
      <c r="G795" s="331">
        <f t="shared" ref="G795:I796" si="172">G796</f>
        <v>251389.158</v>
      </c>
      <c r="H795" s="331">
        <f t="shared" si="172"/>
        <v>267175.44</v>
      </c>
      <c r="I795" s="331">
        <f t="shared" si="172"/>
        <v>283183.27899999998</v>
      </c>
    </row>
    <row r="796" spans="1:10" ht="41.4" x14ac:dyDescent="0.25">
      <c r="A796" s="21" t="s">
        <v>748</v>
      </c>
      <c r="B796" s="380" t="s">
        <v>226</v>
      </c>
      <c r="C796" s="8" t="s">
        <v>212</v>
      </c>
      <c r="D796" s="8" t="s">
        <v>701</v>
      </c>
      <c r="E796" s="8" t="s">
        <v>47</v>
      </c>
      <c r="F796" s="8" t="s">
        <v>747</v>
      </c>
      <c r="G796" s="24">
        <f t="shared" si="172"/>
        <v>251389.158</v>
      </c>
      <c r="H796" s="24">
        <f t="shared" si="172"/>
        <v>267175.44</v>
      </c>
      <c r="I796" s="24">
        <f t="shared" si="172"/>
        <v>283183.27899999998</v>
      </c>
    </row>
    <row r="797" spans="1:10" x14ac:dyDescent="0.25">
      <c r="A797" s="21" t="s">
        <v>124</v>
      </c>
      <c r="B797" s="380" t="s">
        <v>226</v>
      </c>
      <c r="C797" s="8" t="s">
        <v>212</v>
      </c>
      <c r="D797" s="8" t="s">
        <v>701</v>
      </c>
      <c r="E797" s="8" t="s">
        <v>47</v>
      </c>
      <c r="F797" s="8" t="s">
        <v>165</v>
      </c>
      <c r="G797" s="19">
        <f>'5'!D49</f>
        <v>251389.158</v>
      </c>
      <c r="H797" s="19">
        <f>'5'!E49</f>
        <v>267175.44</v>
      </c>
      <c r="I797" s="19">
        <f>'5'!F49</f>
        <v>283183.27899999998</v>
      </c>
      <c r="J797" s="19">
        <f>'5'!G49</f>
        <v>0</v>
      </c>
    </row>
    <row r="798" spans="1:10" s="59" customFormat="1" ht="87" customHeight="1" x14ac:dyDescent="0.3">
      <c r="A798" s="15" t="s">
        <v>412</v>
      </c>
      <c r="B798" s="57" t="s">
        <v>226</v>
      </c>
      <c r="C798" s="29" t="s">
        <v>212</v>
      </c>
      <c r="D798" s="29" t="s">
        <v>701</v>
      </c>
      <c r="E798" s="29" t="s">
        <v>416</v>
      </c>
      <c r="F798" s="29" t="s">
        <v>223</v>
      </c>
      <c r="G798" s="26">
        <f t="shared" ref="G798:I799" si="173">G799</f>
        <v>24804</v>
      </c>
      <c r="H798" s="26">
        <f t="shared" si="173"/>
        <v>21411</v>
      </c>
      <c r="I798" s="26">
        <f t="shared" si="173"/>
        <v>21411</v>
      </c>
    </row>
    <row r="799" spans="1:10" ht="41.4" x14ac:dyDescent="0.25">
      <c r="A799" s="21" t="s">
        <v>748</v>
      </c>
      <c r="B799" s="28" t="s">
        <v>226</v>
      </c>
      <c r="C799" s="8" t="s">
        <v>212</v>
      </c>
      <c r="D799" s="8" t="s">
        <v>701</v>
      </c>
      <c r="E799" s="8" t="s">
        <v>416</v>
      </c>
      <c r="F799" s="8" t="s">
        <v>747</v>
      </c>
      <c r="G799" s="24">
        <f t="shared" si="173"/>
        <v>24804</v>
      </c>
      <c r="H799" s="24">
        <f t="shared" si="173"/>
        <v>21411</v>
      </c>
      <c r="I799" s="24">
        <f t="shared" si="173"/>
        <v>21411</v>
      </c>
    </row>
    <row r="800" spans="1:10" x14ac:dyDescent="0.25">
      <c r="A800" s="21" t="s">
        <v>124</v>
      </c>
      <c r="B800" s="28" t="s">
        <v>226</v>
      </c>
      <c r="C800" s="8" t="s">
        <v>212</v>
      </c>
      <c r="D800" s="8" t="s">
        <v>701</v>
      </c>
      <c r="E800" s="8" t="s">
        <v>416</v>
      </c>
      <c r="F800" s="8" t="s">
        <v>165</v>
      </c>
      <c r="G800" s="19">
        <f>'5'!D53</f>
        <v>24804</v>
      </c>
      <c r="H800" s="19">
        <f>'5'!E53</f>
        <v>21411</v>
      </c>
      <c r="I800" s="19">
        <f>'5'!F53</f>
        <v>21411</v>
      </c>
    </row>
    <row r="801" spans="1:10" ht="96.6" x14ac:dyDescent="0.25">
      <c r="A801" s="12" t="s">
        <v>603</v>
      </c>
      <c r="B801" s="129" t="s">
        <v>226</v>
      </c>
      <c r="C801" s="317" t="s">
        <v>212</v>
      </c>
      <c r="D801" s="317" t="s">
        <v>701</v>
      </c>
      <c r="E801" s="129" t="s">
        <v>604</v>
      </c>
      <c r="F801" s="317" t="s">
        <v>223</v>
      </c>
      <c r="G801" s="128">
        <f t="shared" ref="G801:I802" si="174">G802</f>
        <v>1249.4748</v>
      </c>
      <c r="H801" s="128">
        <f t="shared" si="174"/>
        <v>3382.85664</v>
      </c>
      <c r="I801" s="128">
        <f t="shared" si="174"/>
        <v>4228.5708000000004</v>
      </c>
    </row>
    <row r="802" spans="1:10" ht="41.4" x14ac:dyDescent="0.25">
      <c r="A802" s="2" t="s">
        <v>748</v>
      </c>
      <c r="B802" s="3" t="s">
        <v>226</v>
      </c>
      <c r="C802" s="6" t="s">
        <v>212</v>
      </c>
      <c r="D802" s="6" t="s">
        <v>701</v>
      </c>
      <c r="E802" s="3" t="s">
        <v>604</v>
      </c>
      <c r="F802" s="6" t="s">
        <v>747</v>
      </c>
      <c r="G802" s="19">
        <f t="shared" si="174"/>
        <v>1249.4748</v>
      </c>
      <c r="H802" s="19">
        <f t="shared" si="174"/>
        <v>3382.85664</v>
      </c>
      <c r="I802" s="19">
        <f t="shared" si="174"/>
        <v>4228.5708000000004</v>
      </c>
    </row>
    <row r="803" spans="1:10" ht="19.2" customHeight="1" x14ac:dyDescent="0.25">
      <c r="A803" s="2" t="s">
        <v>124</v>
      </c>
      <c r="B803" s="3" t="s">
        <v>226</v>
      </c>
      <c r="C803" s="6" t="s">
        <v>212</v>
      </c>
      <c r="D803" s="6" t="s">
        <v>701</v>
      </c>
      <c r="E803" s="418" t="s">
        <v>604</v>
      </c>
      <c r="F803" s="6" t="s">
        <v>165</v>
      </c>
      <c r="G803" s="19">
        <f>'5'!D54</f>
        <v>1249.4748</v>
      </c>
      <c r="H803" s="19">
        <f>'5'!E54</f>
        <v>3382.85664</v>
      </c>
      <c r="I803" s="19">
        <f>'5'!F54</f>
        <v>4228.5708000000004</v>
      </c>
    </row>
    <row r="804" spans="1:10" ht="25.2" customHeight="1" x14ac:dyDescent="0.25">
      <c r="A804" s="532" t="s">
        <v>1132</v>
      </c>
      <c r="B804" s="3" t="s">
        <v>226</v>
      </c>
      <c r="C804" s="6" t="s">
        <v>212</v>
      </c>
      <c r="D804" s="6" t="s">
        <v>701</v>
      </c>
      <c r="E804" s="533" t="s">
        <v>54</v>
      </c>
      <c r="F804" s="533" t="s">
        <v>223</v>
      </c>
      <c r="G804" s="534">
        <f>G805</f>
        <v>18914.8</v>
      </c>
      <c r="H804" s="534">
        <f>H805</f>
        <v>27452.799999999999</v>
      </c>
      <c r="I804" s="534">
        <f>I805</f>
        <v>27106</v>
      </c>
    </row>
    <row r="805" spans="1:10" ht="25.2" customHeight="1" x14ac:dyDescent="0.25">
      <c r="A805" s="264" t="s">
        <v>737</v>
      </c>
      <c r="B805" s="3" t="s">
        <v>226</v>
      </c>
      <c r="C805" s="6" t="s">
        <v>212</v>
      </c>
      <c r="D805" s="6" t="s">
        <v>701</v>
      </c>
      <c r="E805" s="13" t="s">
        <v>54</v>
      </c>
      <c r="F805" s="13" t="s">
        <v>223</v>
      </c>
      <c r="G805" s="265">
        <f>G806+G809+G812</f>
        <v>18914.8</v>
      </c>
      <c r="H805" s="265">
        <f>H806+H809+H812</f>
        <v>27452.799999999999</v>
      </c>
      <c r="I805" s="265">
        <f>I806+I809+I812</f>
        <v>27106</v>
      </c>
    </row>
    <row r="806" spans="1:10" ht="25.2" customHeight="1" x14ac:dyDescent="0.25">
      <c r="A806" s="17" t="s">
        <v>846</v>
      </c>
      <c r="B806" s="3" t="s">
        <v>226</v>
      </c>
      <c r="C806" s="6" t="s">
        <v>212</v>
      </c>
      <c r="D806" s="6" t="s">
        <v>701</v>
      </c>
      <c r="E806" s="272" t="s">
        <v>54</v>
      </c>
      <c r="F806" s="272" t="s">
        <v>223</v>
      </c>
      <c r="G806" s="273">
        <f t="shared" ref="G806:I807" si="175">G807</f>
        <v>7534.25</v>
      </c>
      <c r="H806" s="273">
        <f t="shared" si="175"/>
        <v>11534.25</v>
      </c>
      <c r="I806" s="273">
        <f t="shared" si="175"/>
        <v>11534.25</v>
      </c>
    </row>
    <row r="807" spans="1:10" ht="25.2" customHeight="1" x14ac:dyDescent="0.25">
      <c r="A807" s="261" t="s">
        <v>748</v>
      </c>
      <c r="B807" s="3" t="s">
        <v>226</v>
      </c>
      <c r="C807" s="6" t="s">
        <v>212</v>
      </c>
      <c r="D807" s="6" t="s">
        <v>701</v>
      </c>
      <c r="E807" s="262" t="s">
        <v>1133</v>
      </c>
      <c r="F807" s="262" t="s">
        <v>747</v>
      </c>
      <c r="G807" s="542">
        <f t="shared" si="175"/>
        <v>7534.25</v>
      </c>
      <c r="H807" s="542">
        <f t="shared" si="175"/>
        <v>11534.25</v>
      </c>
      <c r="I807" s="542">
        <f t="shared" si="175"/>
        <v>11534.25</v>
      </c>
    </row>
    <row r="808" spans="1:10" ht="25.2" customHeight="1" x14ac:dyDescent="0.25">
      <c r="A808" s="261" t="s">
        <v>124</v>
      </c>
      <c r="B808" s="3" t="s">
        <v>226</v>
      </c>
      <c r="C808" s="6" t="s">
        <v>212</v>
      </c>
      <c r="D808" s="6" t="s">
        <v>701</v>
      </c>
      <c r="E808" s="262" t="s">
        <v>1133</v>
      </c>
      <c r="F808" s="262" t="s">
        <v>165</v>
      </c>
      <c r="G808" s="542">
        <f>'5'!D101</f>
        <v>7534.25</v>
      </c>
      <c r="H808" s="542">
        <f>'5'!E101-200</f>
        <v>11534.25</v>
      </c>
      <c r="I808" s="542">
        <f>'5'!F101-200</f>
        <v>11534.25</v>
      </c>
    </row>
    <row r="809" spans="1:10" ht="25.2" customHeight="1" x14ac:dyDescent="0.25">
      <c r="A809" s="17" t="s">
        <v>415</v>
      </c>
      <c r="B809" s="3" t="s">
        <v>226</v>
      </c>
      <c r="C809" s="6" t="s">
        <v>212</v>
      </c>
      <c r="D809" s="6" t="s">
        <v>701</v>
      </c>
      <c r="E809" s="272" t="s">
        <v>1129</v>
      </c>
      <c r="F809" s="272" t="s">
        <v>223</v>
      </c>
      <c r="G809" s="296">
        <f t="shared" ref="G809:I810" si="176">G810</f>
        <v>11380.55</v>
      </c>
      <c r="H809" s="296">
        <f t="shared" si="176"/>
        <v>15880.55</v>
      </c>
      <c r="I809" s="296">
        <f t="shared" si="176"/>
        <v>15533.75</v>
      </c>
    </row>
    <row r="810" spans="1:10" ht="25.2" customHeight="1" x14ac:dyDescent="0.25">
      <c r="A810" s="261" t="s">
        <v>748</v>
      </c>
      <c r="B810" s="3" t="s">
        <v>226</v>
      </c>
      <c r="C810" s="6" t="s">
        <v>212</v>
      </c>
      <c r="D810" s="6" t="s">
        <v>701</v>
      </c>
      <c r="E810" s="262" t="s">
        <v>1129</v>
      </c>
      <c r="F810" s="262" t="s">
        <v>747</v>
      </c>
      <c r="G810" s="542">
        <f t="shared" si="176"/>
        <v>11380.55</v>
      </c>
      <c r="H810" s="542">
        <f t="shared" si="176"/>
        <v>15880.55</v>
      </c>
      <c r="I810" s="542">
        <f t="shared" si="176"/>
        <v>15533.75</v>
      </c>
    </row>
    <row r="811" spans="1:10" ht="25.2" customHeight="1" x14ac:dyDescent="0.25">
      <c r="A811" s="261" t="s">
        <v>124</v>
      </c>
      <c r="B811" s="3" t="s">
        <v>226</v>
      </c>
      <c r="C811" s="6" t="s">
        <v>212</v>
      </c>
      <c r="D811" s="6" t="s">
        <v>701</v>
      </c>
      <c r="E811" s="262" t="s">
        <v>1129</v>
      </c>
      <c r="F811" s="262" t="s">
        <v>165</v>
      </c>
      <c r="G811" s="542">
        <f>'5'!D102</f>
        <v>11380.55</v>
      </c>
      <c r="H811" s="542">
        <f>'5'!E102</f>
        <v>15880.55</v>
      </c>
      <c r="I811" s="542">
        <f>'5'!F102</f>
        <v>15533.75</v>
      </c>
    </row>
    <row r="812" spans="1:10" ht="25.2" customHeight="1" x14ac:dyDescent="0.25">
      <c r="A812" s="17" t="s">
        <v>1131</v>
      </c>
      <c r="B812" s="3" t="s">
        <v>226</v>
      </c>
      <c r="C812" s="6" t="s">
        <v>212</v>
      </c>
      <c r="D812" s="6" t="s">
        <v>701</v>
      </c>
      <c r="E812" s="272" t="s">
        <v>1130</v>
      </c>
      <c r="F812" s="272" t="s">
        <v>223</v>
      </c>
      <c r="G812" s="296">
        <f>G813</f>
        <v>0</v>
      </c>
      <c r="H812" s="296">
        <f t="shared" ref="H812:I813" si="177">H813</f>
        <v>38</v>
      </c>
      <c r="I812" s="296">
        <f t="shared" si="177"/>
        <v>38</v>
      </c>
    </row>
    <row r="813" spans="1:10" ht="25.2" customHeight="1" x14ac:dyDescent="0.25">
      <c r="A813" s="261" t="s">
        <v>748</v>
      </c>
      <c r="B813" s="3" t="s">
        <v>226</v>
      </c>
      <c r="C813" s="6" t="s">
        <v>212</v>
      </c>
      <c r="D813" s="6" t="s">
        <v>701</v>
      </c>
      <c r="E813" s="262" t="s">
        <v>1130</v>
      </c>
      <c r="F813" s="262" t="s">
        <v>747</v>
      </c>
      <c r="G813" s="531">
        <f>G814</f>
        <v>0</v>
      </c>
      <c r="H813" s="531">
        <f t="shared" si="177"/>
        <v>38</v>
      </c>
      <c r="I813" s="531">
        <f t="shared" si="177"/>
        <v>38</v>
      </c>
    </row>
    <row r="814" spans="1:10" ht="25.2" customHeight="1" x14ac:dyDescent="0.25">
      <c r="A814" s="261" t="s">
        <v>124</v>
      </c>
      <c r="B814" s="3" t="s">
        <v>226</v>
      </c>
      <c r="C814" s="6" t="s">
        <v>212</v>
      </c>
      <c r="D814" s="6" t="s">
        <v>701</v>
      </c>
      <c r="E814" s="262" t="s">
        <v>1130</v>
      </c>
      <c r="F814" s="262" t="s">
        <v>165</v>
      </c>
      <c r="G814" s="531">
        <f>'5'!D103</f>
        <v>0</v>
      </c>
      <c r="H814" s="531">
        <f>'5'!E103</f>
        <v>38</v>
      </c>
      <c r="I814" s="531">
        <f>'5'!F103</f>
        <v>38</v>
      </c>
    </row>
    <row r="815" spans="1:10" ht="15.6" x14ac:dyDescent="0.25">
      <c r="A815" s="256" t="s">
        <v>848</v>
      </c>
      <c r="B815" s="386" t="s">
        <v>226</v>
      </c>
      <c r="C815" s="379" t="s">
        <v>212</v>
      </c>
      <c r="D815" s="379" t="s">
        <v>111</v>
      </c>
      <c r="E815" s="386" t="s">
        <v>699</v>
      </c>
      <c r="F815" s="379" t="s">
        <v>223</v>
      </c>
      <c r="G815" s="360">
        <f>G816</f>
        <v>30471.999999999996</v>
      </c>
      <c r="H815" s="360">
        <f t="shared" ref="H815:I815" si="178">H816</f>
        <v>25579.202000000001</v>
      </c>
      <c r="I815" s="360">
        <f t="shared" si="178"/>
        <v>25387</v>
      </c>
    </row>
    <row r="816" spans="1:10" s="54" customFormat="1" ht="41.4" x14ac:dyDescent="0.25">
      <c r="A816" s="2" t="s">
        <v>757</v>
      </c>
      <c r="B816" s="3" t="s">
        <v>226</v>
      </c>
      <c r="C816" s="6" t="s">
        <v>212</v>
      </c>
      <c r="D816" s="6" t="s">
        <v>111</v>
      </c>
      <c r="E816" s="6" t="s">
        <v>22</v>
      </c>
      <c r="F816" s="6" t="s">
        <v>223</v>
      </c>
      <c r="G816" s="19">
        <f>G818+G822+G826+G833+G819</f>
        <v>30471.999999999996</v>
      </c>
      <c r="H816" s="19">
        <f t="shared" ref="H816:I816" si="179">H818+H822+H826+H833+H819</f>
        <v>25579.202000000001</v>
      </c>
      <c r="I816" s="19">
        <f t="shared" si="179"/>
        <v>25387</v>
      </c>
      <c r="J816" s="54">
        <v>21040.174999999999</v>
      </c>
    </row>
    <row r="817" spans="1:12" ht="33.6" customHeight="1" x14ac:dyDescent="0.25">
      <c r="A817" s="329" t="s">
        <v>838</v>
      </c>
      <c r="B817" s="380" t="s">
        <v>226</v>
      </c>
      <c r="C817" s="8" t="s">
        <v>212</v>
      </c>
      <c r="D817" s="8" t="s">
        <v>111</v>
      </c>
      <c r="E817" s="8" t="s">
        <v>42</v>
      </c>
      <c r="F817" s="8" t="s">
        <v>223</v>
      </c>
      <c r="G817" s="330">
        <f>G818</f>
        <v>26605.766659999998</v>
      </c>
      <c r="H817" s="330">
        <f t="shared" ref="H817:I817" si="180">H818</f>
        <v>23349.132000000001</v>
      </c>
      <c r="I817" s="330">
        <f t="shared" si="180"/>
        <v>23349.132000000001</v>
      </c>
      <c r="J817" s="50">
        <f>J816-G816</f>
        <v>-9431.8249999999971</v>
      </c>
    </row>
    <row r="818" spans="1:12" ht="41.4" x14ac:dyDescent="0.25">
      <c r="A818" s="21" t="s">
        <v>748</v>
      </c>
      <c r="B818" s="28" t="s">
        <v>226</v>
      </c>
      <c r="C818" s="8" t="s">
        <v>212</v>
      </c>
      <c r="D818" s="8" t="s">
        <v>111</v>
      </c>
      <c r="E818" s="8" t="s">
        <v>840</v>
      </c>
      <c r="F818" s="8" t="s">
        <v>747</v>
      </c>
      <c r="G818" s="24">
        <f>G821+G825+G829+G830</f>
        <v>26605.766659999998</v>
      </c>
      <c r="H818" s="24">
        <f t="shared" ref="H818:I818" si="181">H821+H825+H829+H830</f>
        <v>23349.132000000001</v>
      </c>
      <c r="I818" s="24">
        <f t="shared" si="181"/>
        <v>23349.132000000001</v>
      </c>
    </row>
    <row r="819" spans="1:12" ht="46.95" customHeight="1" x14ac:dyDescent="0.25">
      <c r="A819" s="2" t="s">
        <v>1023</v>
      </c>
      <c r="B819" s="3" t="s">
        <v>226</v>
      </c>
      <c r="C819" s="6" t="s">
        <v>212</v>
      </c>
      <c r="D819" s="6" t="s">
        <v>111</v>
      </c>
      <c r="E819" s="6" t="s">
        <v>440</v>
      </c>
      <c r="F819" s="6" t="s">
        <v>165</v>
      </c>
      <c r="G819" s="19">
        <f>'5'!D73</f>
        <v>135</v>
      </c>
      <c r="H819" s="19">
        <f>'5'!E73</f>
        <v>0</v>
      </c>
      <c r="I819" s="19">
        <f>'5'!F73</f>
        <v>0</v>
      </c>
    </row>
    <row r="820" spans="1:12" ht="31.95" hidden="1" customHeight="1" x14ac:dyDescent="0.25">
      <c r="A820" s="21" t="s">
        <v>451</v>
      </c>
      <c r="B820" s="28" t="s">
        <v>226</v>
      </c>
      <c r="C820" s="8" t="s">
        <v>212</v>
      </c>
      <c r="D820" s="8" t="s">
        <v>111</v>
      </c>
      <c r="E820" s="8" t="s">
        <v>452</v>
      </c>
      <c r="F820" s="8" t="s">
        <v>165</v>
      </c>
      <c r="G820" s="27"/>
      <c r="H820" s="24">
        <v>0</v>
      </c>
      <c r="I820" s="24">
        <v>0</v>
      </c>
    </row>
    <row r="821" spans="1:12" ht="34.200000000000003" customHeight="1" x14ac:dyDescent="0.25">
      <c r="A821" s="21" t="s">
        <v>1024</v>
      </c>
      <c r="B821" s="28" t="s">
        <v>226</v>
      </c>
      <c r="C821" s="8" t="s">
        <v>212</v>
      </c>
      <c r="D821" s="8" t="s">
        <v>111</v>
      </c>
      <c r="E821" s="8" t="s">
        <v>43</v>
      </c>
      <c r="F821" s="8" t="s">
        <v>165</v>
      </c>
      <c r="G821" s="19">
        <f>'5'!D74</f>
        <v>9509.4951799999999</v>
      </c>
      <c r="H821" s="19">
        <f>'5'!E74</f>
        <v>7974.3330000000005</v>
      </c>
      <c r="I821" s="19">
        <f>'5'!F74</f>
        <v>7974.3330000000005</v>
      </c>
      <c r="K821" s="45">
        <f>'5'!D74</f>
        <v>9509.4951799999999</v>
      </c>
    </row>
    <row r="822" spans="1:12" ht="44.4" customHeight="1" x14ac:dyDescent="0.25">
      <c r="A822" s="2" t="s">
        <v>641</v>
      </c>
      <c r="B822" s="28" t="s">
        <v>226</v>
      </c>
      <c r="C822" s="8" t="s">
        <v>212</v>
      </c>
      <c r="D822" s="8" t="s">
        <v>111</v>
      </c>
      <c r="E822" s="8" t="s">
        <v>536</v>
      </c>
      <c r="F822" s="8" t="s">
        <v>223</v>
      </c>
      <c r="G822" s="19">
        <f>G823</f>
        <v>725.60482000000002</v>
      </c>
      <c r="H822" s="24">
        <f t="shared" ref="G822:I823" si="182">H823</f>
        <v>860.76700000000005</v>
      </c>
      <c r="I822" s="24">
        <f t="shared" si="182"/>
        <v>860.76700000000005</v>
      </c>
      <c r="K822" s="50">
        <f>K821-G821-G822</f>
        <v>-725.60482000000002</v>
      </c>
    </row>
    <row r="823" spans="1:12" ht="45.6" customHeight="1" x14ac:dyDescent="0.25">
      <c r="A823" s="21" t="s">
        <v>748</v>
      </c>
      <c r="B823" s="28" t="s">
        <v>226</v>
      </c>
      <c r="C823" s="8" t="s">
        <v>212</v>
      </c>
      <c r="D823" s="8" t="s">
        <v>111</v>
      </c>
      <c r="E823" s="8" t="s">
        <v>536</v>
      </c>
      <c r="F823" s="8" t="s">
        <v>747</v>
      </c>
      <c r="G823" s="19">
        <f t="shared" si="182"/>
        <v>725.60482000000002</v>
      </c>
      <c r="H823" s="24">
        <f t="shared" si="182"/>
        <v>860.76700000000005</v>
      </c>
      <c r="I823" s="24">
        <f t="shared" si="182"/>
        <v>860.76700000000005</v>
      </c>
      <c r="L823" s="50">
        <f>G824+G827</f>
        <v>1731.2333400000002</v>
      </c>
    </row>
    <row r="824" spans="1:12" ht="24" customHeight="1" x14ac:dyDescent="0.25">
      <c r="A824" s="21" t="s">
        <v>1025</v>
      </c>
      <c r="B824" s="28" t="s">
        <v>226</v>
      </c>
      <c r="C824" s="8" t="s">
        <v>212</v>
      </c>
      <c r="D824" s="8" t="s">
        <v>111</v>
      </c>
      <c r="E824" s="8" t="s">
        <v>536</v>
      </c>
      <c r="F824" s="8" t="s">
        <v>165</v>
      </c>
      <c r="G824" s="19">
        <f>'3'!F501</f>
        <v>725.60482000000002</v>
      </c>
      <c r="H824" s="19">
        <f>'3'!G501</f>
        <v>860.76700000000005</v>
      </c>
      <c r="I824" s="19">
        <f>'3'!H501</f>
        <v>860.76700000000005</v>
      </c>
    </row>
    <row r="825" spans="1:12" ht="40.5" customHeight="1" x14ac:dyDescent="0.25">
      <c r="A825" s="21" t="s">
        <v>460</v>
      </c>
      <c r="B825" s="28" t="s">
        <v>226</v>
      </c>
      <c r="C825" s="8" t="s">
        <v>212</v>
      </c>
      <c r="D825" s="8" t="s">
        <v>111</v>
      </c>
      <c r="E825" s="8" t="s">
        <v>44</v>
      </c>
      <c r="F825" s="8" t="s">
        <v>165</v>
      </c>
      <c r="G825" s="19">
        <f>'5'!D75</f>
        <v>16252.47148</v>
      </c>
      <c r="H825" s="19">
        <f>'3'!G503</f>
        <v>14580.999</v>
      </c>
      <c r="I825" s="19">
        <f>'3'!H503</f>
        <v>14580.999</v>
      </c>
    </row>
    <row r="826" spans="1:12" ht="56.4" customHeight="1" x14ac:dyDescent="0.25">
      <c r="A826" s="2" t="s">
        <v>641</v>
      </c>
      <c r="B826" s="28" t="s">
        <v>226</v>
      </c>
      <c r="C826" s="8" t="s">
        <v>212</v>
      </c>
      <c r="D826" s="8" t="s">
        <v>111</v>
      </c>
      <c r="E826" s="8" t="s">
        <v>536</v>
      </c>
      <c r="F826" s="8" t="s">
        <v>223</v>
      </c>
      <c r="G826" s="24">
        <f t="shared" ref="G826:I827" si="183">G827</f>
        <v>1005.6285200000001</v>
      </c>
      <c r="H826" s="24">
        <f t="shared" si="183"/>
        <v>1177.1010000000001</v>
      </c>
      <c r="I826" s="24">
        <f t="shared" si="183"/>
        <v>1177.1010000000001</v>
      </c>
      <c r="K826" s="50">
        <f>H828+H824</f>
        <v>2037.8680000000002</v>
      </c>
    </row>
    <row r="827" spans="1:12" ht="45.6" customHeight="1" x14ac:dyDescent="0.25">
      <c r="A827" s="21" t="s">
        <v>748</v>
      </c>
      <c r="B827" s="28" t="s">
        <v>226</v>
      </c>
      <c r="C827" s="8" t="s">
        <v>212</v>
      </c>
      <c r="D827" s="8" t="s">
        <v>111</v>
      </c>
      <c r="E827" s="8" t="s">
        <v>536</v>
      </c>
      <c r="F827" s="8" t="s">
        <v>747</v>
      </c>
      <c r="G827" s="24">
        <f t="shared" si="183"/>
        <v>1005.6285200000001</v>
      </c>
      <c r="H827" s="24">
        <f t="shared" si="183"/>
        <v>1177.1010000000001</v>
      </c>
      <c r="I827" s="24">
        <f t="shared" si="183"/>
        <v>1177.1010000000001</v>
      </c>
    </row>
    <row r="828" spans="1:12" ht="24" customHeight="1" x14ac:dyDescent="0.25">
      <c r="A828" s="21" t="s">
        <v>124</v>
      </c>
      <c r="B828" s="28" t="s">
        <v>226</v>
      </c>
      <c r="C828" s="8" t="s">
        <v>212</v>
      </c>
      <c r="D828" s="8" t="s">
        <v>111</v>
      </c>
      <c r="E828" s="8" t="s">
        <v>536</v>
      </c>
      <c r="F828" s="8" t="s">
        <v>165</v>
      </c>
      <c r="G828" s="19">
        <f>'3'!F507</f>
        <v>1005.6285200000001</v>
      </c>
      <c r="H828" s="19">
        <f>'3'!G507</f>
        <v>1177.1010000000001</v>
      </c>
      <c r="I828" s="19">
        <f>'3'!H507</f>
        <v>1177.1010000000001</v>
      </c>
      <c r="K828" s="50">
        <f>G828+G825</f>
        <v>17258.099999999999</v>
      </c>
    </row>
    <row r="829" spans="1:12" ht="77.400000000000006" customHeight="1" x14ac:dyDescent="0.25">
      <c r="A829" s="21" t="s">
        <v>613</v>
      </c>
      <c r="B829" s="28" t="s">
        <v>226</v>
      </c>
      <c r="C829" s="8" t="s">
        <v>212</v>
      </c>
      <c r="D829" s="8" t="s">
        <v>111</v>
      </c>
      <c r="E829" s="8" t="s">
        <v>461</v>
      </c>
      <c r="F829" s="8" t="s">
        <v>165</v>
      </c>
      <c r="G829" s="19">
        <f>'3'!F508</f>
        <v>793.8</v>
      </c>
      <c r="H829" s="24">
        <f>'3'!G508</f>
        <v>793.8</v>
      </c>
      <c r="I829" s="24">
        <f>'3'!H508</f>
        <v>793.8</v>
      </c>
    </row>
    <row r="830" spans="1:12" ht="31.95" customHeight="1" x14ac:dyDescent="0.25">
      <c r="A830" s="55" t="s">
        <v>451</v>
      </c>
      <c r="B830" s="56" t="s">
        <v>226</v>
      </c>
      <c r="C830" s="36" t="s">
        <v>212</v>
      </c>
      <c r="D830" s="36" t="s">
        <v>111</v>
      </c>
      <c r="E830" s="36" t="s">
        <v>452</v>
      </c>
      <c r="F830" s="36" t="s">
        <v>223</v>
      </c>
      <c r="G830" s="35">
        <f t="shared" ref="G830:I831" si="184">G831</f>
        <v>50</v>
      </c>
      <c r="H830" s="35">
        <f t="shared" si="184"/>
        <v>0</v>
      </c>
      <c r="I830" s="35">
        <f t="shared" si="184"/>
        <v>0</v>
      </c>
    </row>
    <row r="831" spans="1:12" ht="45.6" customHeight="1" x14ac:dyDescent="0.25">
      <c r="A831" s="383" t="s">
        <v>748</v>
      </c>
      <c r="B831" s="28" t="s">
        <v>226</v>
      </c>
      <c r="C831" s="384" t="s">
        <v>212</v>
      </c>
      <c r="D831" s="384" t="s">
        <v>111</v>
      </c>
      <c r="E831" s="384" t="s">
        <v>452</v>
      </c>
      <c r="F831" s="384" t="s">
        <v>747</v>
      </c>
      <c r="G831" s="24">
        <f t="shared" si="184"/>
        <v>50</v>
      </c>
      <c r="H831" s="24">
        <f t="shared" si="184"/>
        <v>0</v>
      </c>
      <c r="I831" s="24">
        <f t="shared" si="184"/>
        <v>0</v>
      </c>
    </row>
    <row r="832" spans="1:12" ht="21" customHeight="1" x14ac:dyDescent="0.25">
      <c r="A832" s="383" t="s">
        <v>124</v>
      </c>
      <c r="B832" s="28" t="s">
        <v>226</v>
      </c>
      <c r="C832" s="384" t="s">
        <v>212</v>
      </c>
      <c r="D832" s="384" t="s">
        <v>111</v>
      </c>
      <c r="E832" s="384" t="s">
        <v>452</v>
      </c>
      <c r="F832" s="384" t="s">
        <v>165</v>
      </c>
      <c r="G832" s="19">
        <f>'5'!D71</f>
        <v>50</v>
      </c>
      <c r="H832" s="19">
        <f>'5'!E71</f>
        <v>0</v>
      </c>
      <c r="I832" s="19">
        <f>'5'!F71</f>
        <v>0</v>
      </c>
    </row>
    <row r="833" spans="1:9" ht="21" customHeight="1" x14ac:dyDescent="0.25">
      <c r="A833" s="17" t="s">
        <v>370</v>
      </c>
      <c r="B833" s="28" t="s">
        <v>226</v>
      </c>
      <c r="C833" s="29" t="s">
        <v>212</v>
      </c>
      <c r="D833" s="29" t="s">
        <v>111</v>
      </c>
      <c r="E833" s="262" t="s">
        <v>699</v>
      </c>
      <c r="F833" s="262" t="s">
        <v>223</v>
      </c>
      <c r="G833" s="134">
        <f>G834+G837</f>
        <v>2000</v>
      </c>
      <c r="H833" s="134">
        <f t="shared" ref="H833:I833" si="185">H834+H837</f>
        <v>192.202</v>
      </c>
      <c r="I833" s="134">
        <f t="shared" si="185"/>
        <v>0</v>
      </c>
    </row>
    <row r="834" spans="1:9" ht="21" customHeight="1" x14ac:dyDescent="0.25">
      <c r="A834" s="261" t="s">
        <v>867</v>
      </c>
      <c r="B834" s="28" t="s">
        <v>226</v>
      </c>
      <c r="C834" s="29" t="s">
        <v>212</v>
      </c>
      <c r="D834" s="29" t="s">
        <v>111</v>
      </c>
      <c r="E834" s="262" t="s">
        <v>868</v>
      </c>
      <c r="F834" s="262" t="s">
        <v>223</v>
      </c>
      <c r="G834" s="19">
        <f>G835</f>
        <v>1980</v>
      </c>
      <c r="H834" s="19">
        <f t="shared" ref="H834:I835" si="186">H835</f>
        <v>0</v>
      </c>
      <c r="I834" s="19">
        <f t="shared" si="186"/>
        <v>0</v>
      </c>
    </row>
    <row r="835" spans="1:9" ht="21" customHeight="1" x14ac:dyDescent="0.25">
      <c r="A835" s="261" t="s">
        <v>748</v>
      </c>
      <c r="B835" s="28" t="s">
        <v>226</v>
      </c>
      <c r="C835" s="29" t="s">
        <v>212</v>
      </c>
      <c r="D835" s="29" t="s">
        <v>111</v>
      </c>
      <c r="E835" s="262" t="s">
        <v>868</v>
      </c>
      <c r="F835" s="262" t="s">
        <v>747</v>
      </c>
      <c r="G835" s="19">
        <f>G836</f>
        <v>1980</v>
      </c>
      <c r="H835" s="19">
        <f t="shared" si="186"/>
        <v>0</v>
      </c>
      <c r="I835" s="19">
        <f t="shared" si="186"/>
        <v>0</v>
      </c>
    </row>
    <row r="836" spans="1:9" ht="21" customHeight="1" x14ac:dyDescent="0.25">
      <c r="A836" s="261" t="s">
        <v>124</v>
      </c>
      <c r="B836" s="28" t="s">
        <v>226</v>
      </c>
      <c r="C836" s="29" t="s">
        <v>212</v>
      </c>
      <c r="D836" s="29" t="s">
        <v>111</v>
      </c>
      <c r="E836" s="262" t="s">
        <v>868</v>
      </c>
      <c r="F836" s="262" t="s">
        <v>165</v>
      </c>
      <c r="G836" s="19">
        <f>'5'!D79</f>
        <v>1980</v>
      </c>
      <c r="H836" s="19">
        <f>'5'!E79</f>
        <v>0</v>
      </c>
      <c r="I836" s="19">
        <f>'5'!F79</f>
        <v>0</v>
      </c>
    </row>
    <row r="837" spans="1:9" ht="56.25" customHeight="1" x14ac:dyDescent="0.25">
      <c r="A837" s="264" t="s">
        <v>1067</v>
      </c>
      <c r="B837" s="28" t="s">
        <v>111</v>
      </c>
      <c r="C837" s="13" t="s">
        <v>212</v>
      </c>
      <c r="D837" s="13" t="s">
        <v>111</v>
      </c>
      <c r="E837" s="13" t="s">
        <v>1066</v>
      </c>
      <c r="F837" s="13" t="s">
        <v>223</v>
      </c>
      <c r="G837" s="19">
        <f>G838</f>
        <v>20</v>
      </c>
      <c r="H837" s="19">
        <f t="shared" ref="H837:I838" si="187">H838</f>
        <v>192.202</v>
      </c>
      <c r="I837" s="19">
        <f t="shared" si="187"/>
        <v>0</v>
      </c>
    </row>
    <row r="838" spans="1:9" ht="21" customHeight="1" x14ac:dyDescent="0.25">
      <c r="A838" s="261" t="s">
        <v>748</v>
      </c>
      <c r="B838" s="28" t="s">
        <v>226</v>
      </c>
      <c r="C838" s="262" t="s">
        <v>212</v>
      </c>
      <c r="D838" s="262" t="s">
        <v>111</v>
      </c>
      <c r="E838" s="262" t="s">
        <v>1066</v>
      </c>
      <c r="F838" s="262" t="s">
        <v>747</v>
      </c>
      <c r="G838" s="24">
        <f>G839</f>
        <v>20</v>
      </c>
      <c r="H838" s="24">
        <f t="shared" si="187"/>
        <v>192.202</v>
      </c>
      <c r="I838" s="24">
        <f t="shared" si="187"/>
        <v>0</v>
      </c>
    </row>
    <row r="839" spans="1:9" ht="25.5" customHeight="1" x14ac:dyDescent="0.25">
      <c r="A839" s="261" t="s">
        <v>124</v>
      </c>
      <c r="B839" s="28" t="s">
        <v>226</v>
      </c>
      <c r="C839" s="262" t="s">
        <v>212</v>
      </c>
      <c r="D839" s="262" t="s">
        <v>111</v>
      </c>
      <c r="E839" s="262" t="s">
        <v>1066</v>
      </c>
      <c r="F839" s="262" t="s">
        <v>165</v>
      </c>
      <c r="G839" s="24">
        <f>'5'!D80</f>
        <v>20</v>
      </c>
      <c r="H839" s="19">
        <f>'5'!E80</f>
        <v>192.202</v>
      </c>
      <c r="I839" s="24">
        <f>'5'!F80</f>
        <v>0</v>
      </c>
    </row>
    <row r="840" spans="1:9" ht="63.75" hidden="1" customHeight="1" x14ac:dyDescent="0.25">
      <c r="A840" s="15" t="s">
        <v>861</v>
      </c>
      <c r="B840" s="57" t="s">
        <v>226</v>
      </c>
      <c r="C840" s="29" t="s">
        <v>212</v>
      </c>
      <c r="D840" s="29" t="s">
        <v>111</v>
      </c>
      <c r="E840" s="29" t="s">
        <v>473</v>
      </c>
      <c r="F840" s="29" t="s">
        <v>223</v>
      </c>
      <c r="G840" s="26">
        <f t="shared" ref="G840:I841" si="188">G841</f>
        <v>0</v>
      </c>
      <c r="H840" s="26">
        <f t="shared" si="188"/>
        <v>0</v>
      </c>
      <c r="I840" s="26">
        <f t="shared" si="188"/>
        <v>0</v>
      </c>
    </row>
    <row r="841" spans="1:9" ht="45.75" hidden="1" customHeight="1" x14ac:dyDescent="0.25">
      <c r="A841" s="383" t="s">
        <v>748</v>
      </c>
      <c r="B841" s="28" t="s">
        <v>226</v>
      </c>
      <c r="C841" s="8" t="s">
        <v>212</v>
      </c>
      <c r="D841" s="8" t="s">
        <v>111</v>
      </c>
      <c r="E841" s="8" t="s">
        <v>473</v>
      </c>
      <c r="F841" s="384" t="s">
        <v>747</v>
      </c>
      <c r="G841" s="24">
        <f t="shared" si="188"/>
        <v>0</v>
      </c>
      <c r="H841" s="24">
        <f t="shared" si="188"/>
        <v>0</v>
      </c>
      <c r="I841" s="24">
        <f t="shared" si="188"/>
        <v>0</v>
      </c>
    </row>
    <row r="842" spans="1:9" ht="21.75" hidden="1" customHeight="1" x14ac:dyDescent="0.25">
      <c r="A842" s="21" t="s">
        <v>633</v>
      </c>
      <c r="B842" s="28" t="s">
        <v>226</v>
      </c>
      <c r="C842" s="8" t="s">
        <v>212</v>
      </c>
      <c r="D842" s="8" t="s">
        <v>111</v>
      </c>
      <c r="E842" s="8" t="s">
        <v>473</v>
      </c>
      <c r="F842" s="384" t="s">
        <v>165</v>
      </c>
      <c r="G842" s="24"/>
      <c r="H842" s="24"/>
      <c r="I842" s="24"/>
    </row>
    <row r="843" spans="1:9" ht="42.6" customHeight="1" x14ac:dyDescent="0.25">
      <c r="A843" s="362" t="s">
        <v>845</v>
      </c>
      <c r="B843" s="363" t="s">
        <v>226</v>
      </c>
      <c r="C843" s="364" t="s">
        <v>212</v>
      </c>
      <c r="D843" s="364" t="s">
        <v>718</v>
      </c>
      <c r="E843" s="364" t="s">
        <v>22</v>
      </c>
      <c r="F843" s="364" t="s">
        <v>223</v>
      </c>
      <c r="G843" s="365">
        <f>G844+G866</f>
        <v>135</v>
      </c>
      <c r="H843" s="365">
        <f>H844+H866</f>
        <v>105</v>
      </c>
      <c r="I843" s="365">
        <f t="shared" ref="I843" si="189">I844+I866</f>
        <v>105</v>
      </c>
    </row>
    <row r="844" spans="1:9" ht="34.200000000000003" customHeight="1" x14ac:dyDescent="0.25">
      <c r="A844" s="329" t="s">
        <v>1026</v>
      </c>
      <c r="B844" s="380" t="s">
        <v>226</v>
      </c>
      <c r="C844" s="8" t="s">
        <v>212</v>
      </c>
      <c r="D844" s="8" t="s">
        <v>718</v>
      </c>
      <c r="E844" s="8" t="s">
        <v>48</v>
      </c>
      <c r="F844" s="8" t="s">
        <v>223</v>
      </c>
      <c r="G844" s="330">
        <f>G845</f>
        <v>80</v>
      </c>
      <c r="H844" s="330">
        <f t="shared" ref="H844:I846" si="190">H845</f>
        <v>50</v>
      </c>
      <c r="I844" s="330">
        <f t="shared" si="190"/>
        <v>50</v>
      </c>
    </row>
    <row r="845" spans="1:9" ht="29.4" customHeight="1" x14ac:dyDescent="0.25">
      <c r="A845" s="21" t="s">
        <v>863</v>
      </c>
      <c r="B845" s="380" t="s">
        <v>226</v>
      </c>
      <c r="C845" s="8" t="s">
        <v>212</v>
      </c>
      <c r="D845" s="8" t="s">
        <v>718</v>
      </c>
      <c r="E845" s="8" t="s">
        <v>49</v>
      </c>
      <c r="F845" s="8" t="s">
        <v>223</v>
      </c>
      <c r="G845" s="330">
        <f>G846</f>
        <v>80</v>
      </c>
      <c r="H845" s="330">
        <f t="shared" si="190"/>
        <v>50</v>
      </c>
      <c r="I845" s="330">
        <f t="shared" si="190"/>
        <v>50</v>
      </c>
    </row>
    <row r="846" spans="1:9" ht="41.4" x14ac:dyDescent="0.25">
      <c r="A846" s="21" t="s">
        <v>748</v>
      </c>
      <c r="B846" s="380" t="s">
        <v>226</v>
      </c>
      <c r="C846" s="8" t="s">
        <v>212</v>
      </c>
      <c r="D846" s="8" t="s">
        <v>718</v>
      </c>
      <c r="E846" s="8" t="s">
        <v>49</v>
      </c>
      <c r="F846" s="8" t="s">
        <v>747</v>
      </c>
      <c r="G846" s="24">
        <f>G847</f>
        <v>80</v>
      </c>
      <c r="H846" s="24">
        <f t="shared" si="190"/>
        <v>50</v>
      </c>
      <c r="I846" s="24">
        <f t="shared" si="190"/>
        <v>50</v>
      </c>
    </row>
    <row r="847" spans="1:9" x14ac:dyDescent="0.25">
      <c r="A847" s="21" t="s">
        <v>124</v>
      </c>
      <c r="B847" s="380" t="s">
        <v>226</v>
      </c>
      <c r="C847" s="8" t="s">
        <v>212</v>
      </c>
      <c r="D847" s="8" t="s">
        <v>718</v>
      </c>
      <c r="E847" s="8" t="s">
        <v>49</v>
      </c>
      <c r="F847" s="8" t="s">
        <v>165</v>
      </c>
      <c r="G847" s="331">
        <f>'5'!D88</f>
        <v>80</v>
      </c>
      <c r="H847" s="331">
        <v>50</v>
      </c>
      <c r="I847" s="331">
        <v>50</v>
      </c>
    </row>
    <row r="848" spans="1:9" ht="41.4" hidden="1" x14ac:dyDescent="0.25">
      <c r="A848" s="15" t="s">
        <v>1027</v>
      </c>
      <c r="B848" s="57" t="s">
        <v>226</v>
      </c>
      <c r="C848" s="29" t="s">
        <v>212</v>
      </c>
      <c r="D848" s="29" t="s">
        <v>212</v>
      </c>
      <c r="E848" s="29" t="s">
        <v>22</v>
      </c>
      <c r="F848" s="29" t="s">
        <v>223</v>
      </c>
      <c r="G848" s="26">
        <f>G849+G857</f>
        <v>0</v>
      </c>
      <c r="H848" s="26">
        <f>H849+H857</f>
        <v>0</v>
      </c>
      <c r="I848" s="26">
        <f>I849+I857</f>
        <v>0</v>
      </c>
    </row>
    <row r="849" spans="1:9" ht="34.200000000000003" hidden="1" customHeight="1" x14ac:dyDescent="0.25">
      <c r="A849" s="329" t="s">
        <v>838</v>
      </c>
      <c r="B849" s="28" t="s">
        <v>226</v>
      </c>
      <c r="C849" s="8" t="s">
        <v>212</v>
      </c>
      <c r="D849" s="8" t="s">
        <v>212</v>
      </c>
      <c r="E849" s="8" t="s">
        <v>42</v>
      </c>
      <c r="F849" s="8" t="s">
        <v>223</v>
      </c>
      <c r="G849" s="24">
        <f>G850</f>
        <v>0</v>
      </c>
      <c r="H849" s="24">
        <f>H850</f>
        <v>0</v>
      </c>
      <c r="I849" s="24">
        <f>I850</f>
        <v>0</v>
      </c>
    </row>
    <row r="850" spans="1:9" ht="41.4" hidden="1" x14ac:dyDescent="0.25">
      <c r="A850" s="15" t="s">
        <v>370</v>
      </c>
      <c r="B850" s="57" t="s">
        <v>226</v>
      </c>
      <c r="C850" s="29" t="s">
        <v>212</v>
      </c>
      <c r="D850" s="29" t="s">
        <v>212</v>
      </c>
      <c r="E850" s="29" t="s">
        <v>699</v>
      </c>
      <c r="F850" s="29" t="s">
        <v>223</v>
      </c>
      <c r="G850" s="26">
        <f>G851+G854</f>
        <v>0</v>
      </c>
      <c r="H850" s="26">
        <f>H851+H854</f>
        <v>0</v>
      </c>
      <c r="I850" s="26">
        <f>I851+I854</f>
        <v>0</v>
      </c>
    </row>
    <row r="851" spans="1:9" ht="69" hidden="1" x14ac:dyDescent="0.25">
      <c r="A851" s="21" t="s">
        <v>1028</v>
      </c>
      <c r="B851" s="28" t="s">
        <v>226</v>
      </c>
      <c r="C851" s="8" t="s">
        <v>212</v>
      </c>
      <c r="D851" s="8" t="s">
        <v>212</v>
      </c>
      <c r="E851" s="8" t="s">
        <v>868</v>
      </c>
      <c r="F851" s="8" t="s">
        <v>223</v>
      </c>
      <c r="G851" s="24">
        <f>G852+G854</f>
        <v>0</v>
      </c>
      <c r="H851" s="24">
        <f>H852+H854</f>
        <v>0</v>
      </c>
      <c r="I851" s="24">
        <f>I852+I854</f>
        <v>0</v>
      </c>
    </row>
    <row r="852" spans="1:9" ht="41.4" hidden="1" x14ac:dyDescent="0.25">
      <c r="A852" s="21" t="s">
        <v>748</v>
      </c>
      <c r="B852" s="28" t="s">
        <v>226</v>
      </c>
      <c r="C852" s="8" t="s">
        <v>212</v>
      </c>
      <c r="D852" s="8" t="s">
        <v>212</v>
      </c>
      <c r="E852" s="8" t="s">
        <v>868</v>
      </c>
      <c r="F852" s="8" t="s">
        <v>747</v>
      </c>
      <c r="G852" s="24">
        <f>G853</f>
        <v>0</v>
      </c>
      <c r="H852" s="24">
        <f>H853</f>
        <v>0</v>
      </c>
      <c r="I852" s="24">
        <f>I853</f>
        <v>0</v>
      </c>
    </row>
    <row r="853" spans="1:9" hidden="1" x14ac:dyDescent="0.25">
      <c r="A853" s="21" t="s">
        <v>124</v>
      </c>
      <c r="B853" s="28" t="s">
        <v>226</v>
      </c>
      <c r="C853" s="8" t="s">
        <v>212</v>
      </c>
      <c r="D853" s="8" t="s">
        <v>212</v>
      </c>
      <c r="E853" s="8" t="s">
        <v>868</v>
      </c>
      <c r="F853" s="8" t="s">
        <v>165</v>
      </c>
      <c r="G853" s="24"/>
      <c r="H853" s="24"/>
      <c r="I853" s="24"/>
    </row>
    <row r="854" spans="1:9" ht="82.8" hidden="1" x14ac:dyDescent="0.25">
      <c r="A854" s="21" t="s">
        <v>1029</v>
      </c>
      <c r="B854" s="28" t="s">
        <v>226</v>
      </c>
      <c r="C854" s="8" t="s">
        <v>212</v>
      </c>
      <c r="D854" s="8" t="s">
        <v>212</v>
      </c>
      <c r="E854" s="8" t="s">
        <v>870</v>
      </c>
      <c r="F854" s="8" t="s">
        <v>223</v>
      </c>
      <c r="G854" s="24">
        <f t="shared" ref="G854:I855" si="191">G855</f>
        <v>0</v>
      </c>
      <c r="H854" s="24">
        <f t="shared" si="191"/>
        <v>0</v>
      </c>
      <c r="I854" s="24">
        <f t="shared" si="191"/>
        <v>0</v>
      </c>
    </row>
    <row r="855" spans="1:9" ht="41.4" hidden="1" x14ac:dyDescent="0.25">
      <c r="A855" s="21" t="s">
        <v>748</v>
      </c>
      <c r="B855" s="28" t="s">
        <v>226</v>
      </c>
      <c r="C855" s="8" t="s">
        <v>212</v>
      </c>
      <c r="D855" s="8" t="s">
        <v>212</v>
      </c>
      <c r="E855" s="8" t="s">
        <v>870</v>
      </c>
      <c r="F855" s="8" t="s">
        <v>747</v>
      </c>
      <c r="G855" s="24">
        <f t="shared" si="191"/>
        <v>0</v>
      </c>
      <c r="H855" s="24">
        <f t="shared" si="191"/>
        <v>0</v>
      </c>
      <c r="I855" s="24">
        <f t="shared" si="191"/>
        <v>0</v>
      </c>
    </row>
    <row r="856" spans="1:9" hidden="1" x14ac:dyDescent="0.25">
      <c r="A856" s="21" t="s">
        <v>124</v>
      </c>
      <c r="B856" s="28" t="s">
        <v>226</v>
      </c>
      <c r="C856" s="8" t="s">
        <v>212</v>
      </c>
      <c r="D856" s="8" t="s">
        <v>212</v>
      </c>
      <c r="E856" s="8" t="s">
        <v>870</v>
      </c>
      <c r="F856" s="8" t="s">
        <v>165</v>
      </c>
      <c r="G856" s="24"/>
      <c r="H856" s="24"/>
      <c r="I856" s="24"/>
    </row>
    <row r="857" spans="1:9" ht="33" hidden="1" customHeight="1" x14ac:dyDescent="0.25">
      <c r="A857" s="329" t="s">
        <v>250</v>
      </c>
      <c r="B857" s="28" t="s">
        <v>226</v>
      </c>
      <c r="C857" s="8" t="s">
        <v>212</v>
      </c>
      <c r="D857" s="8" t="s">
        <v>212</v>
      </c>
      <c r="E857" s="8" t="s">
        <v>50</v>
      </c>
      <c r="F857" s="8" t="s">
        <v>223</v>
      </c>
      <c r="G857" s="24">
        <f>G858</f>
        <v>0</v>
      </c>
      <c r="H857" s="24">
        <f>H858</f>
        <v>0</v>
      </c>
      <c r="I857" s="24">
        <f>I858</f>
        <v>0</v>
      </c>
    </row>
    <row r="858" spans="1:9" ht="57.6" hidden="1" customHeight="1" x14ac:dyDescent="0.25">
      <c r="A858" s="55" t="s">
        <v>396</v>
      </c>
      <c r="B858" s="419" t="s">
        <v>226</v>
      </c>
      <c r="C858" s="36" t="s">
        <v>212</v>
      </c>
      <c r="D858" s="36" t="s">
        <v>212</v>
      </c>
      <c r="E858" s="36" t="s">
        <v>50</v>
      </c>
      <c r="F858" s="36" t="s">
        <v>223</v>
      </c>
      <c r="G858" s="420">
        <f>G859+G863</f>
        <v>0</v>
      </c>
      <c r="H858" s="420">
        <f>H859+H863</f>
        <v>0</v>
      </c>
      <c r="I858" s="420">
        <f>I859+I863</f>
        <v>0</v>
      </c>
    </row>
    <row r="859" spans="1:9" ht="41.4" hidden="1" x14ac:dyDescent="0.25">
      <c r="A859" s="22" t="s">
        <v>748</v>
      </c>
      <c r="B859" s="380" t="s">
        <v>226</v>
      </c>
      <c r="C859" s="8" t="s">
        <v>212</v>
      </c>
      <c r="D859" s="8" t="s">
        <v>212</v>
      </c>
      <c r="E859" s="8" t="s">
        <v>51</v>
      </c>
      <c r="F859" s="8" t="s">
        <v>747</v>
      </c>
      <c r="G859" s="330">
        <f>G860</f>
        <v>0</v>
      </c>
      <c r="H859" s="330">
        <f>H860</f>
        <v>0</v>
      </c>
      <c r="I859" s="330">
        <f>I860</f>
        <v>0</v>
      </c>
    </row>
    <row r="860" spans="1:9" hidden="1" x14ac:dyDescent="0.25">
      <c r="A860" s="22" t="s">
        <v>124</v>
      </c>
      <c r="B860" s="380" t="s">
        <v>226</v>
      </c>
      <c r="C860" s="8" t="s">
        <v>212</v>
      </c>
      <c r="D860" s="8" t="s">
        <v>212</v>
      </c>
      <c r="E860" s="8" t="s">
        <v>51</v>
      </c>
      <c r="F860" s="8" t="s">
        <v>165</v>
      </c>
      <c r="G860" s="330"/>
      <c r="H860" s="330"/>
      <c r="I860" s="330"/>
    </row>
    <row r="861" spans="1:9" ht="41.4" hidden="1" x14ac:dyDescent="0.25">
      <c r="A861" s="22" t="s">
        <v>748</v>
      </c>
      <c r="B861" s="380" t="s">
        <v>226</v>
      </c>
      <c r="C861" s="8" t="s">
        <v>212</v>
      </c>
      <c r="D861" s="8" t="s">
        <v>212</v>
      </c>
      <c r="E861" s="8" t="s">
        <v>51</v>
      </c>
      <c r="F861" s="8" t="s">
        <v>747</v>
      </c>
      <c r="G861" s="330">
        <f>G862</f>
        <v>0</v>
      </c>
      <c r="H861" s="330">
        <f>H862</f>
        <v>0</v>
      </c>
      <c r="I861" s="330">
        <f>I862</f>
        <v>0</v>
      </c>
    </row>
    <row r="862" spans="1:9" hidden="1" x14ac:dyDescent="0.25">
      <c r="A862" s="22" t="s">
        <v>124</v>
      </c>
      <c r="B862" s="380" t="s">
        <v>226</v>
      </c>
      <c r="C862" s="8" t="s">
        <v>212</v>
      </c>
      <c r="D862" s="8" t="s">
        <v>212</v>
      </c>
      <c r="E862" s="8" t="s">
        <v>51</v>
      </c>
      <c r="F862" s="8" t="s">
        <v>165</v>
      </c>
      <c r="G862" s="24"/>
      <c r="H862" s="24"/>
      <c r="I862" s="24"/>
    </row>
    <row r="863" spans="1:9" ht="55.2" hidden="1" x14ac:dyDescent="0.25">
      <c r="A863" s="21" t="s">
        <v>458</v>
      </c>
      <c r="B863" s="28" t="s">
        <v>226</v>
      </c>
      <c r="C863" s="8" t="s">
        <v>212</v>
      </c>
      <c r="D863" s="8" t="s">
        <v>212</v>
      </c>
      <c r="E863" s="8" t="s">
        <v>457</v>
      </c>
      <c r="F863" s="8" t="s">
        <v>223</v>
      </c>
      <c r="G863" s="24">
        <f t="shared" ref="G863:I864" si="192">G864</f>
        <v>0</v>
      </c>
      <c r="H863" s="24">
        <f t="shared" si="192"/>
        <v>0</v>
      </c>
      <c r="I863" s="24">
        <f t="shared" si="192"/>
        <v>0</v>
      </c>
    </row>
    <row r="864" spans="1:9" ht="41.4" hidden="1" x14ac:dyDescent="0.25">
      <c r="A864" s="22" t="s">
        <v>748</v>
      </c>
      <c r="B864" s="28" t="s">
        <v>226</v>
      </c>
      <c r="C864" s="8" t="s">
        <v>212</v>
      </c>
      <c r="D864" s="8" t="s">
        <v>212</v>
      </c>
      <c r="E864" s="8" t="s">
        <v>457</v>
      </c>
      <c r="F864" s="8" t="s">
        <v>747</v>
      </c>
      <c r="G864" s="24">
        <f t="shared" si="192"/>
        <v>0</v>
      </c>
      <c r="H864" s="24">
        <f t="shared" si="192"/>
        <v>0</v>
      </c>
      <c r="I864" s="24">
        <f t="shared" si="192"/>
        <v>0</v>
      </c>
    </row>
    <row r="865" spans="1:12" hidden="1" x14ac:dyDescent="0.25">
      <c r="A865" s="22" t="s">
        <v>124</v>
      </c>
      <c r="B865" s="28" t="s">
        <v>226</v>
      </c>
      <c r="C865" s="8" t="s">
        <v>212</v>
      </c>
      <c r="D865" s="8" t="s">
        <v>212</v>
      </c>
      <c r="E865" s="8" t="s">
        <v>457</v>
      </c>
      <c r="F865" s="8" t="s">
        <v>165</v>
      </c>
      <c r="G865" s="24"/>
      <c r="H865" s="24"/>
      <c r="I865" s="24"/>
    </row>
    <row r="866" spans="1:12" ht="62.4" x14ac:dyDescent="0.25">
      <c r="A866" s="261" t="s">
        <v>1064</v>
      </c>
      <c r="B866" s="380" t="s">
        <v>226</v>
      </c>
      <c r="C866" s="8" t="s">
        <v>212</v>
      </c>
      <c r="D866" s="8" t="s">
        <v>718</v>
      </c>
      <c r="E866" s="262" t="s">
        <v>1061</v>
      </c>
      <c r="F866" s="262" t="s">
        <v>223</v>
      </c>
      <c r="G866" s="24">
        <f t="shared" ref="G866:I867" si="193">G867</f>
        <v>55</v>
      </c>
      <c r="H866" s="24">
        <f t="shared" si="193"/>
        <v>55</v>
      </c>
      <c r="I866" s="24">
        <f t="shared" si="193"/>
        <v>55</v>
      </c>
    </row>
    <row r="867" spans="1:12" ht="27.6" x14ac:dyDescent="0.25">
      <c r="A867" s="21" t="s">
        <v>709</v>
      </c>
      <c r="B867" s="380" t="s">
        <v>226</v>
      </c>
      <c r="C867" s="8" t="s">
        <v>212</v>
      </c>
      <c r="D867" s="8" t="s">
        <v>718</v>
      </c>
      <c r="E867" s="262" t="s">
        <v>1061</v>
      </c>
      <c r="F867" s="262" t="s">
        <v>710</v>
      </c>
      <c r="G867" s="24">
        <f t="shared" si="193"/>
        <v>55</v>
      </c>
      <c r="H867" s="24">
        <f t="shared" si="193"/>
        <v>55</v>
      </c>
      <c r="I867" s="24">
        <f t="shared" si="193"/>
        <v>55</v>
      </c>
    </row>
    <row r="868" spans="1:12" ht="41.4" x14ac:dyDescent="0.25">
      <c r="A868" s="22" t="s">
        <v>711</v>
      </c>
      <c r="B868" s="380" t="s">
        <v>226</v>
      </c>
      <c r="C868" s="8" t="s">
        <v>212</v>
      </c>
      <c r="D868" s="8" t="s">
        <v>718</v>
      </c>
      <c r="E868" s="262" t="s">
        <v>1061</v>
      </c>
      <c r="F868" s="262" t="s">
        <v>712</v>
      </c>
      <c r="G868" s="24">
        <v>55</v>
      </c>
      <c r="H868" s="24">
        <v>55</v>
      </c>
      <c r="I868" s="24">
        <v>55</v>
      </c>
    </row>
    <row r="869" spans="1:12" ht="18.600000000000001" customHeight="1" x14ac:dyDescent="0.25">
      <c r="A869" s="362" t="s">
        <v>871</v>
      </c>
      <c r="B869" s="363" t="s">
        <v>226</v>
      </c>
      <c r="C869" s="364" t="s">
        <v>212</v>
      </c>
      <c r="D869" s="364" t="s">
        <v>780</v>
      </c>
      <c r="E869" s="364" t="s">
        <v>699</v>
      </c>
      <c r="F869" s="364" t="s">
        <v>223</v>
      </c>
      <c r="G869" s="365">
        <f>G887+G902+G909+G913+G918+G923+G878</f>
        <v>63364.008739999997</v>
      </c>
      <c r="H869" s="365">
        <f>H887+H902+H909+H913+H918+H923+H878+H871</f>
        <v>61406.064180000001</v>
      </c>
      <c r="I869" s="365">
        <f>I887+I902+I909+I913+I918+I923+I878+I871</f>
        <v>57245.5</v>
      </c>
      <c r="J869" s="45">
        <v>55111.359499999999</v>
      </c>
    </row>
    <row r="870" spans="1:12" ht="52.5" customHeight="1" x14ac:dyDescent="0.25">
      <c r="A870" s="15" t="s">
        <v>757</v>
      </c>
      <c r="B870" s="57" t="s">
        <v>226</v>
      </c>
      <c r="C870" s="29" t="s">
        <v>212</v>
      </c>
      <c r="D870" s="29" t="s">
        <v>780</v>
      </c>
      <c r="E870" s="29" t="s">
        <v>699</v>
      </c>
      <c r="F870" s="29" t="s">
        <v>223</v>
      </c>
      <c r="G870" s="26">
        <f>G878+G871</f>
        <v>3371.3712</v>
      </c>
      <c r="H870" s="26">
        <f t="shared" ref="H870:J870" si="194">H878+H871</f>
        <v>10003.36418</v>
      </c>
      <c r="I870" s="26">
        <f t="shared" si="194"/>
        <v>5812.8</v>
      </c>
      <c r="J870" s="26">
        <f t="shared" si="194"/>
        <v>8252.6492399999988</v>
      </c>
    </row>
    <row r="871" spans="1:12" ht="52.5" customHeight="1" x14ac:dyDescent="0.25">
      <c r="A871" s="479" t="s">
        <v>1076</v>
      </c>
      <c r="B871" s="57" t="s">
        <v>226</v>
      </c>
      <c r="C871" s="29" t="s">
        <v>212</v>
      </c>
      <c r="D871" s="29" t="s">
        <v>780</v>
      </c>
      <c r="E871" s="292" t="s">
        <v>42</v>
      </c>
      <c r="F871" s="292" t="s">
        <v>223</v>
      </c>
      <c r="G871" s="267">
        <f>G872+G875</f>
        <v>0</v>
      </c>
      <c r="H871" s="267">
        <f>H872+H875</f>
        <v>4190.5641800000003</v>
      </c>
      <c r="I871" s="267">
        <f>I872+I875</f>
        <v>0</v>
      </c>
    </row>
    <row r="872" spans="1:12" ht="52.5" customHeight="1" x14ac:dyDescent="0.25">
      <c r="A872" s="21" t="s">
        <v>1077</v>
      </c>
      <c r="B872" s="57" t="s">
        <v>226</v>
      </c>
      <c r="C872" s="29" t="s">
        <v>212</v>
      </c>
      <c r="D872" s="29" t="s">
        <v>780</v>
      </c>
      <c r="E872" s="3" t="s">
        <v>1075</v>
      </c>
      <c r="F872" s="292" t="s">
        <v>223</v>
      </c>
      <c r="G872" s="485">
        <f t="shared" ref="G872:I873" si="195">G873</f>
        <v>0</v>
      </c>
      <c r="H872" s="485">
        <f t="shared" si="195"/>
        <v>4148.6585400000004</v>
      </c>
      <c r="I872" s="485">
        <f t="shared" si="195"/>
        <v>0</v>
      </c>
    </row>
    <row r="873" spans="1:12" ht="52.5" customHeight="1" x14ac:dyDescent="0.25">
      <c r="A873" s="294" t="s">
        <v>748</v>
      </c>
      <c r="B873" s="57" t="s">
        <v>226</v>
      </c>
      <c r="C873" s="29" t="s">
        <v>212</v>
      </c>
      <c r="D873" s="29" t="s">
        <v>780</v>
      </c>
      <c r="E873" s="3" t="s">
        <v>1075</v>
      </c>
      <c r="F873" s="292" t="s">
        <v>747</v>
      </c>
      <c r="G873" s="485">
        <f t="shared" si="195"/>
        <v>0</v>
      </c>
      <c r="H873" s="485">
        <f t="shared" si="195"/>
        <v>4148.6585400000004</v>
      </c>
      <c r="I873" s="485">
        <f t="shared" si="195"/>
        <v>0</v>
      </c>
    </row>
    <row r="874" spans="1:12" ht="19.5" customHeight="1" x14ac:dyDescent="0.25">
      <c r="A874" s="294" t="s">
        <v>124</v>
      </c>
      <c r="B874" s="57" t="s">
        <v>226</v>
      </c>
      <c r="C874" s="29" t="s">
        <v>212</v>
      </c>
      <c r="D874" s="29" t="s">
        <v>780</v>
      </c>
      <c r="E874" s="3" t="s">
        <v>1075</v>
      </c>
      <c r="F874" s="292" t="s">
        <v>165</v>
      </c>
      <c r="G874" s="485">
        <f>'5'!D85</f>
        <v>0</v>
      </c>
      <c r="H874" s="485">
        <f>'5'!E85</f>
        <v>4148.6585400000004</v>
      </c>
      <c r="I874" s="485">
        <f>'5'!F85</f>
        <v>0</v>
      </c>
    </row>
    <row r="875" spans="1:12" ht="52.5" customHeight="1" x14ac:dyDescent="0.25">
      <c r="A875" s="473" t="s">
        <v>1078</v>
      </c>
      <c r="B875" s="57" t="s">
        <v>226</v>
      </c>
      <c r="C875" s="29" t="s">
        <v>212</v>
      </c>
      <c r="D875" s="29" t="s">
        <v>780</v>
      </c>
      <c r="E875" s="292" t="s">
        <v>1079</v>
      </c>
      <c r="F875" s="292" t="s">
        <v>223</v>
      </c>
      <c r="G875" s="485">
        <f t="shared" ref="G875:I876" si="196">G876</f>
        <v>0</v>
      </c>
      <c r="H875" s="485">
        <f t="shared" si="196"/>
        <v>41.905639999999998</v>
      </c>
      <c r="I875" s="485">
        <f t="shared" si="196"/>
        <v>0</v>
      </c>
    </row>
    <row r="876" spans="1:12" ht="52.5" customHeight="1" x14ac:dyDescent="0.25">
      <c r="A876" s="294" t="s">
        <v>748</v>
      </c>
      <c r="B876" s="57" t="s">
        <v>226</v>
      </c>
      <c r="C876" s="29" t="s">
        <v>212</v>
      </c>
      <c r="D876" s="29" t="s">
        <v>780</v>
      </c>
      <c r="E876" s="292" t="s">
        <v>1079</v>
      </c>
      <c r="F876" s="292" t="s">
        <v>747</v>
      </c>
      <c r="G876" s="485">
        <f t="shared" si="196"/>
        <v>0</v>
      </c>
      <c r="H876" s="485">
        <f t="shared" si="196"/>
        <v>41.905639999999998</v>
      </c>
      <c r="I876" s="485">
        <f t="shared" si="196"/>
        <v>0</v>
      </c>
    </row>
    <row r="877" spans="1:12" ht="21" customHeight="1" x14ac:dyDescent="0.25">
      <c r="A877" s="294" t="s">
        <v>124</v>
      </c>
      <c r="B877" s="57" t="s">
        <v>226</v>
      </c>
      <c r="C877" s="29" t="s">
        <v>212</v>
      </c>
      <c r="D877" s="29" t="s">
        <v>780</v>
      </c>
      <c r="E877" s="292" t="s">
        <v>1079</v>
      </c>
      <c r="F877" s="292" t="s">
        <v>165</v>
      </c>
      <c r="G877" s="485">
        <f>'5'!D86</f>
        <v>0</v>
      </c>
      <c r="H877" s="485">
        <f>'5'!E86</f>
        <v>41.905639999999998</v>
      </c>
      <c r="I877" s="485">
        <f>'5'!F86</f>
        <v>0</v>
      </c>
    </row>
    <row r="878" spans="1:12" ht="31.95" customHeight="1" x14ac:dyDescent="0.25">
      <c r="A878" s="329" t="s">
        <v>250</v>
      </c>
      <c r="B878" s="28" t="s">
        <v>226</v>
      </c>
      <c r="C878" s="8" t="s">
        <v>212</v>
      </c>
      <c r="D878" s="8" t="s">
        <v>780</v>
      </c>
      <c r="E878" s="8" t="s">
        <v>50</v>
      </c>
      <c r="F878" s="8" t="s">
        <v>223</v>
      </c>
      <c r="G878" s="24">
        <f>G879</f>
        <v>3371.3712</v>
      </c>
      <c r="H878" s="24">
        <f t="shared" ref="H878:I878" si="197">H879</f>
        <v>5812.8</v>
      </c>
      <c r="I878" s="24">
        <f t="shared" si="197"/>
        <v>5812.8</v>
      </c>
      <c r="J878" s="50">
        <f>G869-J869</f>
        <v>8252.6492399999988</v>
      </c>
      <c r="K878" s="50"/>
      <c r="L878" s="50"/>
    </row>
    <row r="879" spans="1:12" ht="58.95" customHeight="1" x14ac:dyDescent="0.25">
      <c r="A879" s="21" t="s">
        <v>396</v>
      </c>
      <c r="B879" s="28" t="s">
        <v>226</v>
      </c>
      <c r="C879" s="8" t="s">
        <v>212</v>
      </c>
      <c r="D879" s="8" t="s">
        <v>780</v>
      </c>
      <c r="E879" s="8" t="s">
        <v>50</v>
      </c>
      <c r="F879" s="8" t="s">
        <v>223</v>
      </c>
      <c r="G879" s="24">
        <f>G880+G882+G884</f>
        <v>3371.3712</v>
      </c>
      <c r="H879" s="24">
        <f>H880+H882+H884</f>
        <v>5812.8</v>
      </c>
      <c r="I879" s="24">
        <f>I880+I882+I884</f>
        <v>5812.8</v>
      </c>
    </row>
    <row r="880" spans="1:12" ht="45.6" customHeight="1" x14ac:dyDescent="0.25">
      <c r="A880" s="22" t="s">
        <v>748</v>
      </c>
      <c r="B880" s="380" t="s">
        <v>226</v>
      </c>
      <c r="C880" s="8" t="s">
        <v>212</v>
      </c>
      <c r="D880" s="8" t="s">
        <v>780</v>
      </c>
      <c r="E880" s="8" t="s">
        <v>51</v>
      </c>
      <c r="F880" s="8" t="s">
        <v>747</v>
      </c>
      <c r="G880" s="330">
        <f>G881</f>
        <v>3371.3712</v>
      </c>
      <c r="H880" s="330">
        <f>H881</f>
        <v>5812.8</v>
      </c>
      <c r="I880" s="330">
        <f>I881</f>
        <v>5812.8</v>
      </c>
    </row>
    <row r="881" spans="1:11" ht="18.600000000000001" customHeight="1" x14ac:dyDescent="0.25">
      <c r="A881" s="22" t="s">
        <v>124</v>
      </c>
      <c r="B881" s="380" t="s">
        <v>226</v>
      </c>
      <c r="C881" s="8" t="s">
        <v>212</v>
      </c>
      <c r="D881" s="8" t="s">
        <v>780</v>
      </c>
      <c r="E881" s="8" t="s">
        <v>51</v>
      </c>
      <c r="F881" s="8" t="s">
        <v>165</v>
      </c>
      <c r="G881" s="331">
        <f>'3'!F589</f>
        <v>3371.3712</v>
      </c>
      <c r="H881" s="331">
        <f>'3'!G589</f>
        <v>5812.8</v>
      </c>
      <c r="I881" s="331">
        <f>'3'!H589</f>
        <v>5812.8</v>
      </c>
    </row>
    <row r="882" spans="1:11" ht="18.600000000000001" hidden="1" customHeight="1" x14ac:dyDescent="0.25">
      <c r="A882" s="22" t="s">
        <v>748</v>
      </c>
      <c r="B882" s="380" t="s">
        <v>226</v>
      </c>
      <c r="C882" s="8" t="s">
        <v>212</v>
      </c>
      <c r="D882" s="8" t="s">
        <v>780</v>
      </c>
      <c r="E882" s="8" t="s">
        <v>51</v>
      </c>
      <c r="F882" s="8" t="s">
        <v>747</v>
      </c>
      <c r="G882" s="330">
        <f>G883</f>
        <v>0</v>
      </c>
      <c r="H882" s="330">
        <f>H883</f>
        <v>0</v>
      </c>
      <c r="I882" s="330">
        <f>I883</f>
        <v>0</v>
      </c>
    </row>
    <row r="883" spans="1:11" ht="18.600000000000001" hidden="1" customHeight="1" x14ac:dyDescent="0.25">
      <c r="A883" s="22" t="s">
        <v>124</v>
      </c>
      <c r="B883" s="380" t="s">
        <v>226</v>
      </c>
      <c r="C883" s="8" t="s">
        <v>212</v>
      </c>
      <c r="D883" s="8" t="s">
        <v>780</v>
      </c>
      <c r="E883" s="8" t="s">
        <v>51</v>
      </c>
      <c r="F883" s="8" t="s">
        <v>165</v>
      </c>
      <c r="G883" s="24"/>
      <c r="H883" s="24"/>
      <c r="I883" s="24"/>
    </row>
    <row r="884" spans="1:11" ht="64.5" hidden="1" customHeight="1" x14ac:dyDescent="0.25">
      <c r="A884" s="21" t="s">
        <v>458</v>
      </c>
      <c r="B884" s="28" t="s">
        <v>226</v>
      </c>
      <c r="C884" s="8" t="s">
        <v>212</v>
      </c>
      <c r="D884" s="8" t="s">
        <v>780</v>
      </c>
      <c r="E884" s="8" t="s">
        <v>457</v>
      </c>
      <c r="F884" s="8" t="s">
        <v>223</v>
      </c>
      <c r="G884" s="24">
        <f t="shared" ref="G884:I885" si="198">G885</f>
        <v>0</v>
      </c>
      <c r="H884" s="24">
        <f t="shared" si="198"/>
        <v>0</v>
      </c>
      <c r="I884" s="24">
        <f t="shared" si="198"/>
        <v>0</v>
      </c>
    </row>
    <row r="885" spans="1:11" ht="18.600000000000001" hidden="1" customHeight="1" x14ac:dyDescent="0.25">
      <c r="A885" s="22" t="s">
        <v>748</v>
      </c>
      <c r="B885" s="28" t="s">
        <v>226</v>
      </c>
      <c r="C885" s="8" t="s">
        <v>212</v>
      </c>
      <c r="D885" s="8" t="s">
        <v>780</v>
      </c>
      <c r="E885" s="8" t="s">
        <v>457</v>
      </c>
      <c r="F885" s="8" t="s">
        <v>747</v>
      </c>
      <c r="G885" s="24">
        <f t="shared" si="198"/>
        <v>0</v>
      </c>
      <c r="H885" s="24">
        <f t="shared" si="198"/>
        <v>0</v>
      </c>
      <c r="I885" s="24">
        <f t="shared" si="198"/>
        <v>0</v>
      </c>
    </row>
    <row r="886" spans="1:11" ht="18.600000000000001" hidden="1" customHeight="1" x14ac:dyDescent="0.25">
      <c r="A886" s="22" t="s">
        <v>124</v>
      </c>
      <c r="B886" s="28" t="s">
        <v>226</v>
      </c>
      <c r="C886" s="8" t="s">
        <v>212</v>
      </c>
      <c r="D886" s="8" t="s">
        <v>780</v>
      </c>
      <c r="E886" s="8" t="s">
        <v>457</v>
      </c>
      <c r="F886" s="8" t="s">
        <v>165</v>
      </c>
      <c r="G886" s="24"/>
      <c r="H886" s="24"/>
      <c r="I886" s="24"/>
    </row>
    <row r="887" spans="1:11" ht="45.6" customHeight="1" x14ac:dyDescent="0.25">
      <c r="A887" s="15" t="s">
        <v>757</v>
      </c>
      <c r="B887" s="400" t="s">
        <v>226</v>
      </c>
      <c r="C887" s="29" t="s">
        <v>212</v>
      </c>
      <c r="D887" s="29" t="s">
        <v>780</v>
      </c>
      <c r="E887" s="29" t="s">
        <v>22</v>
      </c>
      <c r="F887" s="29" t="s">
        <v>223</v>
      </c>
      <c r="G887" s="401">
        <f>G888</f>
        <v>57317.637539999996</v>
      </c>
      <c r="H887" s="401">
        <f>H888</f>
        <v>48772.7</v>
      </c>
      <c r="I887" s="401">
        <f>I888</f>
        <v>48772.7</v>
      </c>
    </row>
    <row r="888" spans="1:11" ht="31.95" customHeight="1" x14ac:dyDescent="0.25">
      <c r="A888" s="329" t="s">
        <v>872</v>
      </c>
      <c r="B888" s="380" t="s">
        <v>226</v>
      </c>
      <c r="C888" s="8" t="s">
        <v>212</v>
      </c>
      <c r="D888" s="8" t="s">
        <v>780</v>
      </c>
      <c r="E888" s="8" t="s">
        <v>53</v>
      </c>
      <c r="F888" s="8" t="s">
        <v>223</v>
      </c>
      <c r="G888" s="330">
        <f>G889+G897</f>
        <v>57317.637539999996</v>
      </c>
      <c r="H888" s="330">
        <f>H889+H897</f>
        <v>48772.7</v>
      </c>
      <c r="I888" s="330">
        <f>I889+I897</f>
        <v>48772.7</v>
      </c>
    </row>
    <row r="889" spans="1:11" ht="55.2" customHeight="1" x14ac:dyDescent="0.25">
      <c r="A889" s="21" t="s">
        <v>1030</v>
      </c>
      <c r="B889" s="380" t="s">
        <v>226</v>
      </c>
      <c r="C889" s="8" t="s">
        <v>212</v>
      </c>
      <c r="D889" s="8" t="s">
        <v>780</v>
      </c>
      <c r="E889" s="8" t="s">
        <v>53</v>
      </c>
      <c r="F889" s="8" t="s">
        <v>223</v>
      </c>
      <c r="G889" s="330">
        <f>G890+G892+G894</f>
        <v>57317.637539999996</v>
      </c>
      <c r="H889" s="330">
        <f>H890+H892+H894</f>
        <v>48772.7</v>
      </c>
      <c r="I889" s="330">
        <f>I890+I892+I894</f>
        <v>48772.7</v>
      </c>
    </row>
    <row r="890" spans="1:11" ht="90.75" customHeight="1" x14ac:dyDescent="0.25">
      <c r="A890" s="21" t="s">
        <v>703</v>
      </c>
      <c r="B890" s="380" t="s">
        <v>226</v>
      </c>
      <c r="C890" s="8" t="s">
        <v>212</v>
      </c>
      <c r="D890" s="8" t="s">
        <v>780</v>
      </c>
      <c r="E890" s="8" t="s">
        <v>53</v>
      </c>
      <c r="F890" s="8" t="s">
        <v>704</v>
      </c>
      <c r="G890" s="330">
        <f>G891</f>
        <v>48958.159999999996</v>
      </c>
      <c r="H890" s="330">
        <f>H891</f>
        <v>45292.1</v>
      </c>
      <c r="I890" s="330">
        <f>I891</f>
        <v>45292.1</v>
      </c>
    </row>
    <row r="891" spans="1:11" ht="27.6" x14ac:dyDescent="0.25">
      <c r="A891" s="21" t="s">
        <v>874</v>
      </c>
      <c r="B891" s="380" t="s">
        <v>226</v>
      </c>
      <c r="C891" s="8" t="s">
        <v>212</v>
      </c>
      <c r="D891" s="8" t="s">
        <v>780</v>
      </c>
      <c r="E891" s="8" t="s">
        <v>53</v>
      </c>
      <c r="F891" s="8" t="s">
        <v>875</v>
      </c>
      <c r="G891" s="19">
        <f>'5'!D93-G892-G896</f>
        <v>48958.159999999996</v>
      </c>
      <c r="H891" s="19">
        <f>'5'!E93-H892-H896</f>
        <v>45292.1</v>
      </c>
      <c r="I891" s="19">
        <f>'5'!F93-I892-I896</f>
        <v>45292.1</v>
      </c>
    </row>
    <row r="892" spans="1:11" ht="27.6" x14ac:dyDescent="0.25">
      <c r="A892" s="21" t="s">
        <v>709</v>
      </c>
      <c r="B892" s="380" t="s">
        <v>226</v>
      </c>
      <c r="C892" s="8" t="s">
        <v>212</v>
      </c>
      <c r="D892" s="8" t="s">
        <v>780</v>
      </c>
      <c r="E892" s="8" t="s">
        <v>53</v>
      </c>
      <c r="F892" s="8" t="s">
        <v>710</v>
      </c>
      <c r="G892" s="19">
        <f>G893</f>
        <v>8329.4775399999999</v>
      </c>
      <c r="H892" s="24">
        <f>H893</f>
        <v>3450.6</v>
      </c>
      <c r="I892" s="24">
        <f>I893</f>
        <v>3450.6</v>
      </c>
      <c r="K892" s="50">
        <f>G891+G893+G896</f>
        <v>57317.637539999996</v>
      </c>
    </row>
    <row r="893" spans="1:11" ht="41.4" x14ac:dyDescent="0.25">
      <c r="A893" s="22" t="s">
        <v>711</v>
      </c>
      <c r="B893" s="28" t="s">
        <v>226</v>
      </c>
      <c r="C893" s="8" t="s">
        <v>212</v>
      </c>
      <c r="D893" s="8" t="s">
        <v>780</v>
      </c>
      <c r="E893" s="8" t="s">
        <v>53</v>
      </c>
      <c r="F893" s="8" t="s">
        <v>712</v>
      </c>
      <c r="G893" s="19">
        <f>'3'!F595</f>
        <v>8329.4775399999999</v>
      </c>
      <c r="H893" s="19">
        <f>'3'!G595</f>
        <v>3450.6</v>
      </c>
      <c r="I893" s="19">
        <f>'3'!H595</f>
        <v>3450.6</v>
      </c>
      <c r="K893" s="50">
        <f>K892+G898</f>
        <v>57317.637539999996</v>
      </c>
    </row>
    <row r="894" spans="1:11" x14ac:dyDescent="0.25">
      <c r="A894" s="21" t="s">
        <v>713</v>
      </c>
      <c r="B894" s="28" t="s">
        <v>226</v>
      </c>
      <c r="C894" s="8" t="s">
        <v>212</v>
      </c>
      <c r="D894" s="8" t="s">
        <v>780</v>
      </c>
      <c r="E894" s="8" t="s">
        <v>53</v>
      </c>
      <c r="F894" s="8" t="s">
        <v>714</v>
      </c>
      <c r="G894" s="19">
        <f>G895+G896</f>
        <v>30</v>
      </c>
      <c r="H894" s="19">
        <f>H895+H896</f>
        <v>30</v>
      </c>
      <c r="I894" s="19">
        <f>I895+I896</f>
        <v>30</v>
      </c>
    </row>
    <row r="895" spans="1:11" hidden="1" x14ac:dyDescent="0.25">
      <c r="A895" s="21" t="s">
        <v>753</v>
      </c>
      <c r="B895" s="28" t="s">
        <v>226</v>
      </c>
      <c r="C895" s="8" t="s">
        <v>212</v>
      </c>
      <c r="D895" s="8" t="s">
        <v>780</v>
      </c>
      <c r="E895" s="8" t="s">
        <v>53</v>
      </c>
      <c r="F895" s="8" t="s">
        <v>754</v>
      </c>
      <c r="G895" s="19">
        <v>0</v>
      </c>
      <c r="H895" s="19">
        <v>0</v>
      </c>
      <c r="I895" s="19">
        <v>0</v>
      </c>
    </row>
    <row r="896" spans="1:11" x14ac:dyDescent="0.25">
      <c r="A896" s="21" t="s">
        <v>715</v>
      </c>
      <c r="B896" s="28" t="s">
        <v>226</v>
      </c>
      <c r="C896" s="8" t="s">
        <v>212</v>
      </c>
      <c r="D896" s="8" t="s">
        <v>780</v>
      </c>
      <c r="E896" s="8" t="s">
        <v>53</v>
      </c>
      <c r="F896" s="8" t="s">
        <v>716</v>
      </c>
      <c r="G896" s="19">
        <f>'3'!F598</f>
        <v>30</v>
      </c>
      <c r="H896" s="19">
        <f>'3'!G598</f>
        <v>30</v>
      </c>
      <c r="I896" s="19">
        <f>'3'!H598</f>
        <v>30</v>
      </c>
    </row>
    <row r="897" spans="1:10" ht="49.95" hidden="1" customHeight="1" x14ac:dyDescent="0.25">
      <c r="A897" s="421" t="s">
        <v>591</v>
      </c>
      <c r="B897" s="3" t="s">
        <v>226</v>
      </c>
      <c r="C897" s="6" t="s">
        <v>212</v>
      </c>
      <c r="D897" s="6" t="s">
        <v>780</v>
      </c>
      <c r="E897" s="6" t="s">
        <v>53</v>
      </c>
      <c r="F897" s="6" t="s">
        <v>223</v>
      </c>
      <c r="G897" s="19">
        <f>G898+G900</f>
        <v>0</v>
      </c>
      <c r="H897" s="19">
        <f>H898+H900</f>
        <v>0</v>
      </c>
      <c r="I897" s="19">
        <f>I898+I900</f>
        <v>0</v>
      </c>
    </row>
    <row r="898" spans="1:10" ht="73.95" hidden="1" customHeight="1" x14ac:dyDescent="0.25">
      <c r="A898" s="2" t="s">
        <v>703</v>
      </c>
      <c r="B898" s="3" t="s">
        <v>226</v>
      </c>
      <c r="C898" s="6" t="s">
        <v>212</v>
      </c>
      <c r="D898" s="6" t="s">
        <v>780</v>
      </c>
      <c r="E898" s="6" t="s">
        <v>53</v>
      </c>
      <c r="F898" s="6" t="s">
        <v>704</v>
      </c>
      <c r="G898" s="19">
        <f>G899</f>
        <v>0</v>
      </c>
      <c r="H898" s="19">
        <f>H899</f>
        <v>0</v>
      </c>
      <c r="I898" s="19">
        <f>I899</f>
        <v>0</v>
      </c>
    </row>
    <row r="899" spans="1:10" ht="29.4" hidden="1" customHeight="1" x14ac:dyDescent="0.25">
      <c r="A899" s="2" t="s">
        <v>874</v>
      </c>
      <c r="B899" s="3" t="s">
        <v>226</v>
      </c>
      <c r="C899" s="6" t="s">
        <v>212</v>
      </c>
      <c r="D899" s="6" t="s">
        <v>780</v>
      </c>
      <c r="E899" s="6" t="s">
        <v>53</v>
      </c>
      <c r="F899" s="6" t="s">
        <v>875</v>
      </c>
      <c r="G899" s="19">
        <f>'5'!D94</f>
        <v>0</v>
      </c>
      <c r="H899" s="19">
        <f>'5'!E94</f>
        <v>0</v>
      </c>
      <c r="I899" s="19">
        <f>'5'!F94</f>
        <v>0</v>
      </c>
    </row>
    <row r="900" spans="1:10" ht="27.6" hidden="1" x14ac:dyDescent="0.25">
      <c r="A900" s="21" t="s">
        <v>709</v>
      </c>
      <c r="B900" s="28" t="s">
        <v>226</v>
      </c>
      <c r="C900" s="8" t="s">
        <v>212</v>
      </c>
      <c r="D900" s="8" t="s">
        <v>780</v>
      </c>
      <c r="E900" s="8" t="s">
        <v>53</v>
      </c>
      <c r="F900" s="8" t="s">
        <v>710</v>
      </c>
      <c r="G900" s="19">
        <f>G901</f>
        <v>0</v>
      </c>
      <c r="H900" s="19">
        <f>H901</f>
        <v>0</v>
      </c>
      <c r="I900" s="19">
        <f>I901</f>
        <v>0</v>
      </c>
    </row>
    <row r="901" spans="1:10" ht="41.4" hidden="1" x14ac:dyDescent="0.25">
      <c r="A901" s="22" t="s">
        <v>711</v>
      </c>
      <c r="B901" s="28" t="s">
        <v>226</v>
      </c>
      <c r="C901" s="8" t="s">
        <v>212</v>
      </c>
      <c r="D901" s="8" t="s">
        <v>780</v>
      </c>
      <c r="E901" s="8" t="s">
        <v>53</v>
      </c>
      <c r="F901" s="8" t="s">
        <v>712</v>
      </c>
      <c r="G901" s="19">
        <v>0</v>
      </c>
      <c r="H901" s="19">
        <v>0</v>
      </c>
      <c r="I901" s="19">
        <v>0</v>
      </c>
    </row>
    <row r="902" spans="1:10" ht="55.2" x14ac:dyDescent="0.25">
      <c r="A902" s="15" t="s">
        <v>1031</v>
      </c>
      <c r="B902" s="400" t="s">
        <v>226</v>
      </c>
      <c r="C902" s="29" t="s">
        <v>212</v>
      </c>
      <c r="D902" s="29" t="s">
        <v>780</v>
      </c>
      <c r="E902" s="29" t="s">
        <v>54</v>
      </c>
      <c r="F902" s="29" t="s">
        <v>223</v>
      </c>
      <c r="G902" s="128">
        <f>G903+G907</f>
        <v>1465</v>
      </c>
      <c r="H902" s="128">
        <f>H903+H907</f>
        <v>1048</v>
      </c>
      <c r="I902" s="128">
        <f>I903+I907</f>
        <v>1078</v>
      </c>
    </row>
    <row r="903" spans="1:10" x14ac:dyDescent="0.25">
      <c r="A903" s="21" t="s">
        <v>216</v>
      </c>
      <c r="B903" s="380" t="s">
        <v>226</v>
      </c>
      <c r="C903" s="8" t="s">
        <v>212</v>
      </c>
      <c r="D903" s="8" t="s">
        <v>780</v>
      </c>
      <c r="E903" s="8" t="s">
        <v>877</v>
      </c>
      <c r="F903" s="8" t="s">
        <v>223</v>
      </c>
      <c r="G903" s="331">
        <f>G904+G906</f>
        <v>600</v>
      </c>
      <c r="H903" s="331">
        <f t="shared" ref="H903:J903" si="199">H904+H906</f>
        <v>758</v>
      </c>
      <c r="I903" s="331">
        <f t="shared" si="199"/>
        <v>778</v>
      </c>
      <c r="J903" s="330">
        <f t="shared" si="199"/>
        <v>0</v>
      </c>
    </row>
    <row r="904" spans="1:10" ht="27.6" x14ac:dyDescent="0.25">
      <c r="A904" s="21" t="s">
        <v>709</v>
      </c>
      <c r="B904" s="380" t="s">
        <v>226</v>
      </c>
      <c r="C904" s="8" t="s">
        <v>212</v>
      </c>
      <c r="D904" s="8" t="s">
        <v>780</v>
      </c>
      <c r="E904" s="8" t="s">
        <v>877</v>
      </c>
      <c r="F904" s="8" t="s">
        <v>710</v>
      </c>
      <c r="G904" s="331">
        <f>G905</f>
        <v>3</v>
      </c>
      <c r="H904" s="331">
        <f>H905</f>
        <v>236</v>
      </c>
      <c r="I904" s="331">
        <f>I905</f>
        <v>256</v>
      </c>
    </row>
    <row r="905" spans="1:10" ht="41.4" x14ac:dyDescent="0.25">
      <c r="A905" s="22" t="s">
        <v>711</v>
      </c>
      <c r="B905" s="380" t="s">
        <v>226</v>
      </c>
      <c r="C905" s="8" t="s">
        <v>212</v>
      </c>
      <c r="D905" s="8" t="s">
        <v>780</v>
      </c>
      <c r="E905" s="8" t="s">
        <v>55</v>
      </c>
      <c r="F905" s="8" t="s">
        <v>712</v>
      </c>
      <c r="G905" s="19">
        <f>'5'!D108-522-75</f>
        <v>3</v>
      </c>
      <c r="H905" s="19">
        <f>'5'!E108-522</f>
        <v>236</v>
      </c>
      <c r="I905" s="19">
        <f>'5'!F108-522</f>
        <v>256</v>
      </c>
      <c r="J905" s="24">
        <f>'5'!G108</f>
        <v>0</v>
      </c>
    </row>
    <row r="906" spans="1:10" x14ac:dyDescent="0.25">
      <c r="A906" s="9" t="s">
        <v>1139</v>
      </c>
      <c r="B906" s="406" t="s">
        <v>226</v>
      </c>
      <c r="C906" s="6" t="s">
        <v>212</v>
      </c>
      <c r="D906" s="6" t="s">
        <v>780</v>
      </c>
      <c r="E906" s="6" t="s">
        <v>55</v>
      </c>
      <c r="F906" s="6" t="s">
        <v>875</v>
      </c>
      <c r="G906" s="19">
        <f>522+75</f>
        <v>597</v>
      </c>
      <c r="H906" s="19">
        <v>522</v>
      </c>
      <c r="I906" s="19">
        <v>522</v>
      </c>
      <c r="J906" s="80"/>
    </row>
    <row r="907" spans="1:10" ht="41.4" x14ac:dyDescent="0.25">
      <c r="A907" s="21" t="s">
        <v>748</v>
      </c>
      <c r="B907" s="380" t="s">
        <v>226</v>
      </c>
      <c r="C907" s="8" t="s">
        <v>212</v>
      </c>
      <c r="D907" s="8" t="s">
        <v>780</v>
      </c>
      <c r="E907" s="8" t="s">
        <v>877</v>
      </c>
      <c r="F907" s="8" t="s">
        <v>747</v>
      </c>
      <c r="G907" s="331">
        <f>G908</f>
        <v>865</v>
      </c>
      <c r="H907" s="331">
        <f>H908</f>
        <v>290</v>
      </c>
      <c r="I907" s="331">
        <f>I908</f>
        <v>300</v>
      </c>
    </row>
    <row r="908" spans="1:10" ht="27.6" x14ac:dyDescent="0.25">
      <c r="A908" s="21" t="s">
        <v>839</v>
      </c>
      <c r="B908" s="380" t="s">
        <v>226</v>
      </c>
      <c r="C908" s="8" t="s">
        <v>212</v>
      </c>
      <c r="D908" s="8" t="s">
        <v>780</v>
      </c>
      <c r="E908" s="8" t="s">
        <v>56</v>
      </c>
      <c r="F908" s="8" t="s">
        <v>165</v>
      </c>
      <c r="G908" s="19">
        <f>'5'!D109</f>
        <v>865</v>
      </c>
      <c r="H908" s="19">
        <f>'5'!E109</f>
        <v>290</v>
      </c>
      <c r="I908" s="19">
        <f>'5'!F109</f>
        <v>300</v>
      </c>
    </row>
    <row r="909" spans="1:10" ht="59.4" customHeight="1" x14ac:dyDescent="0.25">
      <c r="A909" s="15" t="s">
        <v>601</v>
      </c>
      <c r="B909" s="400" t="s">
        <v>226</v>
      </c>
      <c r="C909" s="29" t="s">
        <v>212</v>
      </c>
      <c r="D909" s="29" t="s">
        <v>780</v>
      </c>
      <c r="E909" s="29" t="s">
        <v>26</v>
      </c>
      <c r="F909" s="29" t="s">
        <v>223</v>
      </c>
      <c r="G909" s="422">
        <f>G910</f>
        <v>660</v>
      </c>
      <c r="H909" s="422">
        <f t="shared" ref="H909:I911" si="200">H910</f>
        <v>1032</v>
      </c>
      <c r="I909" s="422">
        <f t="shared" si="200"/>
        <v>1032</v>
      </c>
    </row>
    <row r="910" spans="1:10" x14ac:dyDescent="0.25">
      <c r="A910" s="21" t="s">
        <v>216</v>
      </c>
      <c r="B910" s="380" t="s">
        <v>226</v>
      </c>
      <c r="C910" s="8" t="s">
        <v>212</v>
      </c>
      <c r="D910" s="8" t="s">
        <v>780</v>
      </c>
      <c r="E910" s="8" t="s">
        <v>768</v>
      </c>
      <c r="F910" s="8" t="s">
        <v>223</v>
      </c>
      <c r="G910" s="330">
        <f>G911+G916</f>
        <v>660</v>
      </c>
      <c r="H910" s="330">
        <f>H911+H916</f>
        <v>1032</v>
      </c>
      <c r="I910" s="330">
        <f>I911+I916</f>
        <v>1032</v>
      </c>
    </row>
    <row r="911" spans="1:10" ht="27.6" x14ac:dyDescent="0.25">
      <c r="A911" s="21" t="s">
        <v>709</v>
      </c>
      <c r="B911" s="380" t="s">
        <v>226</v>
      </c>
      <c r="C911" s="8" t="s">
        <v>212</v>
      </c>
      <c r="D911" s="8" t="s">
        <v>780</v>
      </c>
      <c r="E911" s="8" t="s">
        <v>57</v>
      </c>
      <c r="F911" s="8" t="s">
        <v>710</v>
      </c>
      <c r="G911" s="330">
        <f>G912</f>
        <v>3</v>
      </c>
      <c r="H911" s="330">
        <f t="shared" si="200"/>
        <v>4</v>
      </c>
      <c r="I911" s="330">
        <f t="shared" si="200"/>
        <v>4</v>
      </c>
    </row>
    <row r="912" spans="1:10" ht="41.4" x14ac:dyDescent="0.25">
      <c r="A912" s="22" t="s">
        <v>711</v>
      </c>
      <c r="B912" s="380" t="s">
        <v>226</v>
      </c>
      <c r="C912" s="8" t="s">
        <v>212</v>
      </c>
      <c r="D912" s="8" t="s">
        <v>780</v>
      </c>
      <c r="E912" s="6" t="s">
        <v>57</v>
      </c>
      <c r="F912" s="6" t="s">
        <v>712</v>
      </c>
      <c r="G912" s="331">
        <f>'5'!D115</f>
        <v>3</v>
      </c>
      <c r="H912" s="331">
        <f>'5'!E115</f>
        <v>4</v>
      </c>
      <c r="I912" s="331">
        <f>'5'!F115</f>
        <v>4</v>
      </c>
    </row>
    <row r="913" spans="1:10" ht="21" hidden="1" customHeight="1" x14ac:dyDescent="0.25">
      <c r="A913" s="15"/>
      <c r="B913" s="380"/>
      <c r="C913" s="8"/>
      <c r="D913" s="8"/>
      <c r="E913" s="6"/>
      <c r="F913" s="317"/>
      <c r="G913" s="422"/>
      <c r="H913" s="422"/>
      <c r="I913" s="422"/>
    </row>
    <row r="914" spans="1:10" hidden="1" x14ac:dyDescent="0.25">
      <c r="A914" s="21"/>
      <c r="B914" s="380"/>
      <c r="C914" s="8"/>
      <c r="D914" s="8"/>
      <c r="E914" s="6"/>
      <c r="F914" s="423"/>
      <c r="G914" s="331"/>
      <c r="H914" s="331"/>
      <c r="I914" s="331"/>
    </row>
    <row r="915" spans="1:10" hidden="1" x14ac:dyDescent="0.25">
      <c r="A915" s="22"/>
      <c r="B915" s="380"/>
      <c r="C915" s="8"/>
      <c r="D915" s="8"/>
      <c r="E915" s="6"/>
      <c r="F915" s="423"/>
      <c r="G915" s="331"/>
      <c r="H915" s="331"/>
      <c r="I915" s="331"/>
    </row>
    <row r="916" spans="1:10" ht="41.4" x14ac:dyDescent="0.25">
      <c r="A916" s="21" t="s">
        <v>748</v>
      </c>
      <c r="B916" s="380" t="s">
        <v>226</v>
      </c>
      <c r="C916" s="8" t="s">
        <v>212</v>
      </c>
      <c r="D916" s="8" t="s">
        <v>780</v>
      </c>
      <c r="E916" s="6" t="s">
        <v>57</v>
      </c>
      <c r="F916" s="423" t="s">
        <v>747</v>
      </c>
      <c r="G916" s="331">
        <f>G917</f>
        <v>657</v>
      </c>
      <c r="H916" s="331">
        <f>H917</f>
        <v>1028</v>
      </c>
      <c r="I916" s="331">
        <f>I917</f>
        <v>1028</v>
      </c>
    </row>
    <row r="917" spans="1:10" x14ac:dyDescent="0.25">
      <c r="A917" s="21" t="s">
        <v>124</v>
      </c>
      <c r="B917" s="380" t="s">
        <v>226</v>
      </c>
      <c r="C917" s="8" t="s">
        <v>212</v>
      </c>
      <c r="D917" s="8" t="s">
        <v>780</v>
      </c>
      <c r="E917" s="6" t="s">
        <v>57</v>
      </c>
      <c r="F917" s="423" t="s">
        <v>165</v>
      </c>
      <c r="G917" s="331">
        <f>'5'!D116</f>
        <v>657</v>
      </c>
      <c r="H917" s="331">
        <f>'5'!E116</f>
        <v>1028</v>
      </c>
      <c r="I917" s="331">
        <f>'5'!F116</f>
        <v>1028</v>
      </c>
    </row>
    <row r="918" spans="1:10" ht="70.95" customHeight="1" x14ac:dyDescent="0.25">
      <c r="A918" s="370" t="s">
        <v>812</v>
      </c>
      <c r="B918" s="57" t="s">
        <v>226</v>
      </c>
      <c r="C918" s="29" t="s">
        <v>212</v>
      </c>
      <c r="D918" s="29" t="s">
        <v>780</v>
      </c>
      <c r="E918" s="29" t="s">
        <v>699</v>
      </c>
      <c r="F918" s="29" t="s">
        <v>223</v>
      </c>
      <c r="G918" s="26">
        <f>G919+G921</f>
        <v>550</v>
      </c>
      <c r="H918" s="26">
        <f>H919+H921</f>
        <v>550</v>
      </c>
      <c r="I918" s="26">
        <f>I919+I921</f>
        <v>550</v>
      </c>
    </row>
    <row r="919" spans="1:10" ht="34.950000000000003" customHeight="1" x14ac:dyDescent="0.25">
      <c r="A919" s="21" t="s">
        <v>709</v>
      </c>
      <c r="B919" s="28" t="s">
        <v>226</v>
      </c>
      <c r="C919" s="8" t="s">
        <v>212</v>
      </c>
      <c r="D919" s="8" t="s">
        <v>780</v>
      </c>
      <c r="E919" s="8" t="s">
        <v>456</v>
      </c>
      <c r="F919" s="8" t="s">
        <v>710</v>
      </c>
      <c r="G919" s="24">
        <f>G920</f>
        <v>10</v>
      </c>
      <c r="H919" s="24">
        <f>H920</f>
        <v>0</v>
      </c>
      <c r="I919" s="24">
        <f>I920</f>
        <v>0</v>
      </c>
    </row>
    <row r="920" spans="1:10" ht="46.2" customHeight="1" x14ac:dyDescent="0.25">
      <c r="A920" s="22" t="s">
        <v>711</v>
      </c>
      <c r="B920" s="28" t="s">
        <v>226</v>
      </c>
      <c r="C920" s="8" t="s">
        <v>212</v>
      </c>
      <c r="D920" s="8" t="s">
        <v>780</v>
      </c>
      <c r="E920" s="8" t="s">
        <v>456</v>
      </c>
      <c r="F920" s="8" t="s">
        <v>712</v>
      </c>
      <c r="G920" s="24">
        <f>'5'!D213</f>
        <v>10</v>
      </c>
      <c r="H920" s="24">
        <f>'5'!E213</f>
        <v>0</v>
      </c>
      <c r="I920" s="24">
        <f>'5'!F213</f>
        <v>0</v>
      </c>
    </row>
    <row r="921" spans="1:10" ht="42" customHeight="1" x14ac:dyDescent="0.25">
      <c r="A921" s="21" t="s">
        <v>748</v>
      </c>
      <c r="B921" s="380" t="s">
        <v>226</v>
      </c>
      <c r="C921" s="384" t="s">
        <v>212</v>
      </c>
      <c r="D921" s="384" t="s">
        <v>780</v>
      </c>
      <c r="E921" s="8" t="s">
        <v>286</v>
      </c>
      <c r="F921" s="8" t="s">
        <v>747</v>
      </c>
      <c r="G921" s="330">
        <f>G922</f>
        <v>540</v>
      </c>
      <c r="H921" s="330">
        <f>H922</f>
        <v>550</v>
      </c>
      <c r="I921" s="330">
        <f>I922</f>
        <v>550</v>
      </c>
    </row>
    <row r="922" spans="1:10" ht="28.95" customHeight="1" x14ac:dyDescent="0.25">
      <c r="A922" s="21" t="s">
        <v>839</v>
      </c>
      <c r="B922" s="380" t="s">
        <v>226</v>
      </c>
      <c r="C922" s="384" t="s">
        <v>212</v>
      </c>
      <c r="D922" s="384" t="s">
        <v>780</v>
      </c>
      <c r="E922" s="8" t="s">
        <v>286</v>
      </c>
      <c r="F922" s="8" t="s">
        <v>165</v>
      </c>
      <c r="G922" s="330">
        <f>'5'!D210</f>
        <v>540</v>
      </c>
      <c r="H922" s="330">
        <f>'5'!E210</f>
        <v>550</v>
      </c>
      <c r="I922" s="330">
        <f>'5'!F210</f>
        <v>550</v>
      </c>
      <c r="J922" s="330">
        <f>'5'!G210</f>
        <v>0</v>
      </c>
    </row>
    <row r="923" spans="1:10" ht="28.95" hidden="1" customHeight="1" x14ac:dyDescent="0.25">
      <c r="A923" s="424" t="s">
        <v>702</v>
      </c>
      <c r="B923" s="406" t="s">
        <v>226</v>
      </c>
      <c r="C923" s="423" t="s">
        <v>212</v>
      </c>
      <c r="D923" s="423" t="s">
        <v>780</v>
      </c>
      <c r="E923" s="423" t="s">
        <v>5</v>
      </c>
      <c r="F923" s="423" t="s">
        <v>223</v>
      </c>
      <c r="G923" s="331">
        <f>G924</f>
        <v>0</v>
      </c>
      <c r="H923" s="331">
        <f t="shared" ref="H923:I926" si="201">H924</f>
        <v>0</v>
      </c>
      <c r="I923" s="331">
        <f t="shared" si="201"/>
        <v>0</v>
      </c>
    </row>
    <row r="924" spans="1:10" ht="42" hidden="1" customHeight="1" x14ac:dyDescent="0.25">
      <c r="A924" s="425" t="s">
        <v>110</v>
      </c>
      <c r="B924" s="406" t="s">
        <v>226</v>
      </c>
      <c r="C924" s="423" t="s">
        <v>212</v>
      </c>
      <c r="D924" s="423" t="s">
        <v>780</v>
      </c>
      <c r="E924" s="423" t="s">
        <v>6</v>
      </c>
      <c r="F924" s="423" t="s">
        <v>223</v>
      </c>
      <c r="G924" s="331">
        <f>G925</f>
        <v>0</v>
      </c>
      <c r="H924" s="331">
        <f t="shared" si="201"/>
        <v>0</v>
      </c>
      <c r="I924" s="331">
        <f t="shared" si="201"/>
        <v>0</v>
      </c>
    </row>
    <row r="925" spans="1:10" ht="16.2" hidden="1" customHeight="1" x14ac:dyDescent="0.25">
      <c r="A925" s="426" t="s">
        <v>453</v>
      </c>
      <c r="B925" s="406" t="s">
        <v>226</v>
      </c>
      <c r="C925" s="423" t="s">
        <v>212</v>
      </c>
      <c r="D925" s="423" t="s">
        <v>780</v>
      </c>
      <c r="E925" s="423" t="s">
        <v>454</v>
      </c>
      <c r="F925" s="423" t="s">
        <v>223</v>
      </c>
      <c r="G925" s="331">
        <f>G926</f>
        <v>0</v>
      </c>
      <c r="H925" s="331">
        <f t="shared" si="201"/>
        <v>0</v>
      </c>
      <c r="I925" s="331">
        <f t="shared" si="201"/>
        <v>0</v>
      </c>
    </row>
    <row r="926" spans="1:10" ht="28.95" hidden="1" customHeight="1" x14ac:dyDescent="0.25">
      <c r="A926" s="425" t="s">
        <v>709</v>
      </c>
      <c r="B926" s="406" t="s">
        <v>226</v>
      </c>
      <c r="C926" s="423" t="s">
        <v>212</v>
      </c>
      <c r="D926" s="423" t="s">
        <v>780</v>
      </c>
      <c r="E926" s="423" t="s">
        <v>454</v>
      </c>
      <c r="F926" s="423" t="s">
        <v>710</v>
      </c>
      <c r="G926" s="331">
        <f>G927</f>
        <v>0</v>
      </c>
      <c r="H926" s="331">
        <f t="shared" si="201"/>
        <v>0</v>
      </c>
      <c r="I926" s="331">
        <f t="shared" si="201"/>
        <v>0</v>
      </c>
    </row>
    <row r="927" spans="1:10" ht="41.4" hidden="1" customHeight="1" x14ac:dyDescent="0.25">
      <c r="A927" s="426" t="s">
        <v>711</v>
      </c>
      <c r="B927" s="406" t="s">
        <v>226</v>
      </c>
      <c r="C927" s="423" t="s">
        <v>212</v>
      </c>
      <c r="D927" s="423" t="s">
        <v>780</v>
      </c>
      <c r="E927" s="423" t="s">
        <v>454</v>
      </c>
      <c r="F927" s="423" t="s">
        <v>712</v>
      </c>
      <c r="G927" s="331">
        <v>0</v>
      </c>
      <c r="H927" s="331">
        <v>0</v>
      </c>
      <c r="I927" s="331">
        <v>0</v>
      </c>
    </row>
    <row r="928" spans="1:10" ht="28.95" hidden="1" customHeight="1" x14ac:dyDescent="0.25">
      <c r="A928" s="385"/>
      <c r="B928" s="380" t="s">
        <v>226</v>
      </c>
      <c r="C928" s="384"/>
      <c r="D928" s="384"/>
      <c r="E928" s="384"/>
      <c r="F928" s="384"/>
      <c r="G928" s="330"/>
      <c r="H928" s="330"/>
      <c r="I928" s="330"/>
    </row>
    <row r="929" spans="1:12" ht="28.95" hidden="1" customHeight="1" x14ac:dyDescent="0.25">
      <c r="A929" s="385"/>
      <c r="B929" s="380"/>
      <c r="C929" s="384"/>
      <c r="D929" s="384"/>
      <c r="E929" s="384"/>
      <c r="F929" s="384"/>
      <c r="G929" s="330"/>
      <c r="H929" s="330"/>
      <c r="I929" s="330"/>
    </row>
    <row r="930" spans="1:12" ht="28.95" hidden="1" customHeight="1" x14ac:dyDescent="0.25">
      <c r="A930" s="385"/>
      <c r="B930" s="380"/>
      <c r="C930" s="384"/>
      <c r="D930" s="384"/>
      <c r="E930" s="384"/>
      <c r="F930" s="384"/>
      <c r="G930" s="330"/>
      <c r="H930" s="330"/>
      <c r="I930" s="330"/>
    </row>
    <row r="931" spans="1:12" ht="28.95" hidden="1" customHeight="1" x14ac:dyDescent="0.25">
      <c r="A931" s="385"/>
      <c r="B931" s="380"/>
      <c r="C931" s="384"/>
      <c r="D931" s="384"/>
      <c r="E931" s="384"/>
      <c r="F931" s="384"/>
      <c r="G931" s="330"/>
      <c r="H931" s="330"/>
      <c r="I931" s="330"/>
    </row>
    <row r="932" spans="1:12" x14ac:dyDescent="0.25">
      <c r="A932" s="378" t="s">
        <v>909</v>
      </c>
      <c r="B932" s="359" t="s">
        <v>226</v>
      </c>
      <c r="C932" s="379" t="s">
        <v>127</v>
      </c>
      <c r="D932" s="379" t="s">
        <v>109</v>
      </c>
      <c r="E932" s="379" t="s">
        <v>699</v>
      </c>
      <c r="F932" s="379" t="s">
        <v>223</v>
      </c>
      <c r="G932" s="393">
        <f>G933+G937</f>
        <v>7713.3270000000002</v>
      </c>
      <c r="H932" s="393">
        <f>H933+H937</f>
        <v>7601.61</v>
      </c>
      <c r="I932" s="393">
        <f>I933+I937</f>
        <v>6710.7650000000003</v>
      </c>
      <c r="J932" s="45">
        <v>8763.6550000000007</v>
      </c>
    </row>
    <row r="933" spans="1:12" x14ac:dyDescent="0.25">
      <c r="A933" s="362" t="s">
        <v>333</v>
      </c>
      <c r="B933" s="363" t="s">
        <v>226</v>
      </c>
      <c r="C933" s="364" t="s">
        <v>127</v>
      </c>
      <c r="D933" s="364" t="s">
        <v>111</v>
      </c>
      <c r="E933" s="364" t="s">
        <v>699</v>
      </c>
      <c r="F933" s="364" t="s">
        <v>223</v>
      </c>
      <c r="G933" s="365">
        <f t="shared" ref="G933:I935" si="202">G934</f>
        <v>1470</v>
      </c>
      <c r="H933" s="365">
        <f t="shared" si="202"/>
        <v>1130</v>
      </c>
      <c r="I933" s="365">
        <f t="shared" si="202"/>
        <v>0</v>
      </c>
      <c r="J933" s="50">
        <f>J932-G932</f>
        <v>1050.3280000000004</v>
      </c>
    </row>
    <row r="934" spans="1:12" ht="85.2" customHeight="1" x14ac:dyDescent="0.25">
      <c r="A934" s="15" t="s">
        <v>334</v>
      </c>
      <c r="B934" s="28" t="s">
        <v>226</v>
      </c>
      <c r="C934" s="8" t="s">
        <v>127</v>
      </c>
      <c r="D934" s="8" t="s">
        <v>111</v>
      </c>
      <c r="E934" s="29" t="s">
        <v>35</v>
      </c>
      <c r="F934" s="29" t="s">
        <v>223</v>
      </c>
      <c r="G934" s="26">
        <f t="shared" si="202"/>
        <v>1470</v>
      </c>
      <c r="H934" s="26">
        <f t="shared" si="202"/>
        <v>1130</v>
      </c>
      <c r="I934" s="26">
        <f t="shared" si="202"/>
        <v>0</v>
      </c>
    </row>
    <row r="935" spans="1:12" ht="27.6" x14ac:dyDescent="0.25">
      <c r="A935" s="21" t="s">
        <v>865</v>
      </c>
      <c r="B935" s="28" t="s">
        <v>226</v>
      </c>
      <c r="C935" s="8" t="s">
        <v>127</v>
      </c>
      <c r="D935" s="8" t="s">
        <v>111</v>
      </c>
      <c r="E935" s="8" t="s">
        <v>463</v>
      </c>
      <c r="F935" s="8" t="s">
        <v>866</v>
      </c>
      <c r="G935" s="24">
        <f t="shared" si="202"/>
        <v>1470</v>
      </c>
      <c r="H935" s="24">
        <f t="shared" si="202"/>
        <v>1130</v>
      </c>
      <c r="I935" s="24">
        <f t="shared" si="202"/>
        <v>0</v>
      </c>
    </row>
    <row r="936" spans="1:12" ht="31.2" customHeight="1" x14ac:dyDescent="0.25">
      <c r="A936" s="21" t="s">
        <v>122</v>
      </c>
      <c r="B936" s="28" t="s">
        <v>226</v>
      </c>
      <c r="C936" s="8" t="s">
        <v>127</v>
      </c>
      <c r="D936" s="8" t="s">
        <v>111</v>
      </c>
      <c r="E936" s="8" t="s">
        <v>463</v>
      </c>
      <c r="F936" s="8" t="s">
        <v>912</v>
      </c>
      <c r="G936" s="24">
        <f>'5'!D51</f>
        <v>1470</v>
      </c>
      <c r="H936" s="24">
        <f>'5'!E51</f>
        <v>1130</v>
      </c>
      <c r="I936" s="24">
        <f>'5'!F51</f>
        <v>0</v>
      </c>
    </row>
    <row r="937" spans="1:12" ht="18" customHeight="1" x14ac:dyDescent="0.25">
      <c r="A937" s="362" t="s">
        <v>217</v>
      </c>
      <c r="B937" s="363" t="s">
        <v>226</v>
      </c>
      <c r="C937" s="364" t="s">
        <v>127</v>
      </c>
      <c r="D937" s="364" t="s">
        <v>113</v>
      </c>
      <c r="E937" s="364" t="s">
        <v>699</v>
      </c>
      <c r="F937" s="364" t="s">
        <v>223</v>
      </c>
      <c r="G937" s="365">
        <f>G938+G946</f>
        <v>6243.3270000000002</v>
      </c>
      <c r="H937" s="365">
        <f>H938+H946+H939</f>
        <v>6471.61</v>
      </c>
      <c r="I937" s="365">
        <f>I938+I946+I939</f>
        <v>6710.7650000000003</v>
      </c>
    </row>
    <row r="938" spans="1:12" ht="41.4" x14ac:dyDescent="0.25">
      <c r="A938" s="15" t="s">
        <v>757</v>
      </c>
      <c r="B938" s="400" t="s">
        <v>226</v>
      </c>
      <c r="C938" s="29" t="s">
        <v>127</v>
      </c>
      <c r="D938" s="29" t="s">
        <v>109</v>
      </c>
      <c r="E938" s="29" t="s">
        <v>22</v>
      </c>
      <c r="F938" s="29" t="s">
        <v>223</v>
      </c>
      <c r="G938" s="330">
        <f>G942+G939</f>
        <v>5943.3270000000002</v>
      </c>
      <c r="H938" s="330">
        <f>H942</f>
        <v>5971.61</v>
      </c>
      <c r="I938" s="330">
        <f>I942</f>
        <v>6210.7650000000003</v>
      </c>
    </row>
    <row r="939" spans="1:12" ht="41.4" x14ac:dyDescent="0.25">
      <c r="A939" s="329" t="s">
        <v>916</v>
      </c>
      <c r="B939" s="380" t="s">
        <v>226</v>
      </c>
      <c r="C939" s="8" t="s">
        <v>127</v>
      </c>
      <c r="D939" s="8" t="s">
        <v>113</v>
      </c>
      <c r="E939" s="29" t="s">
        <v>325</v>
      </c>
      <c r="F939" s="29" t="s">
        <v>223</v>
      </c>
      <c r="G939" s="330">
        <f t="shared" ref="G939:I940" si="203">G940</f>
        <v>200</v>
      </c>
      <c r="H939" s="330">
        <f t="shared" si="203"/>
        <v>200</v>
      </c>
      <c r="I939" s="330">
        <f t="shared" si="203"/>
        <v>200</v>
      </c>
    </row>
    <row r="940" spans="1:12" ht="98.4" customHeight="1" x14ac:dyDescent="0.25">
      <c r="A940" s="15" t="s">
        <v>917</v>
      </c>
      <c r="B940" s="380" t="s">
        <v>226</v>
      </c>
      <c r="C940" s="8" t="s">
        <v>127</v>
      </c>
      <c r="D940" s="8" t="s">
        <v>113</v>
      </c>
      <c r="E940" s="29" t="s">
        <v>325</v>
      </c>
      <c r="F940" s="29" t="s">
        <v>866</v>
      </c>
      <c r="G940" s="330">
        <f t="shared" si="203"/>
        <v>200</v>
      </c>
      <c r="H940" s="330">
        <f t="shared" si="203"/>
        <v>200</v>
      </c>
      <c r="I940" s="330">
        <f t="shared" si="203"/>
        <v>200</v>
      </c>
    </row>
    <row r="941" spans="1:12" ht="32.25" customHeight="1" x14ac:dyDescent="0.25">
      <c r="A941" s="2" t="s">
        <v>122</v>
      </c>
      <c r="B941" s="406" t="s">
        <v>226</v>
      </c>
      <c r="C941" s="6" t="s">
        <v>127</v>
      </c>
      <c r="D941" s="6" t="s">
        <v>113</v>
      </c>
      <c r="E941" s="317" t="s">
        <v>325</v>
      </c>
      <c r="F941" s="317" t="s">
        <v>912</v>
      </c>
      <c r="G941" s="331">
        <f>'3'!F784</f>
        <v>200</v>
      </c>
      <c r="H941" s="331">
        <f>'3'!G784</f>
        <v>200</v>
      </c>
      <c r="I941" s="331">
        <f>'3'!H784</f>
        <v>200</v>
      </c>
    </row>
    <row r="942" spans="1:12" ht="45.6" customHeight="1" x14ac:dyDescent="0.25">
      <c r="A942" s="329" t="s">
        <v>823</v>
      </c>
      <c r="B942" s="380" t="s">
        <v>226</v>
      </c>
      <c r="C942" s="8" t="s">
        <v>127</v>
      </c>
      <c r="D942" s="8" t="s">
        <v>113</v>
      </c>
      <c r="E942" s="8" t="s">
        <v>31</v>
      </c>
      <c r="F942" s="8" t="s">
        <v>223</v>
      </c>
      <c r="G942" s="330">
        <f>G943</f>
        <v>5743.3270000000002</v>
      </c>
      <c r="H942" s="330">
        <f>H943</f>
        <v>5971.61</v>
      </c>
      <c r="I942" s="330">
        <f>I943</f>
        <v>6210.7650000000003</v>
      </c>
    </row>
    <row r="943" spans="1:12" ht="69" x14ac:dyDescent="0.25">
      <c r="A943" s="21" t="s">
        <v>129</v>
      </c>
      <c r="B943" s="28" t="s">
        <v>226</v>
      </c>
      <c r="C943" s="8" t="s">
        <v>127</v>
      </c>
      <c r="D943" s="8" t="s">
        <v>113</v>
      </c>
      <c r="E943" s="8" t="s">
        <v>70</v>
      </c>
      <c r="F943" s="8" t="s">
        <v>223</v>
      </c>
      <c r="G943" s="24">
        <f>G945+G944</f>
        <v>5743.3270000000002</v>
      </c>
      <c r="H943" s="24">
        <f>H945+H944</f>
        <v>5971.61</v>
      </c>
      <c r="I943" s="24">
        <f>I945+I944</f>
        <v>6210.7650000000003</v>
      </c>
    </row>
    <row r="944" spans="1:12" ht="41.4" x14ac:dyDescent="0.25">
      <c r="A944" s="22" t="s">
        <v>711</v>
      </c>
      <c r="B944" s="28" t="s">
        <v>226</v>
      </c>
      <c r="C944" s="8" t="s">
        <v>127</v>
      </c>
      <c r="D944" s="8" t="s">
        <v>113</v>
      </c>
      <c r="E944" s="8" t="s">
        <v>70</v>
      </c>
      <c r="F944" s="8" t="s">
        <v>712</v>
      </c>
      <c r="G944" s="24">
        <f>'3'!F787</f>
        <v>86.15</v>
      </c>
      <c r="H944" s="24">
        <f>'3'!G787</f>
        <v>89.575000000000003</v>
      </c>
      <c r="I944" s="24">
        <f>'3'!H787</f>
        <v>93.162000000000006</v>
      </c>
      <c r="J944" s="77">
        <f>6623.655*1.5%</f>
        <v>99.354824999999991</v>
      </c>
      <c r="K944" s="77"/>
      <c r="L944" s="77"/>
    </row>
    <row r="945" spans="1:12" ht="27.6" x14ac:dyDescent="0.25">
      <c r="A945" s="361" t="s">
        <v>120</v>
      </c>
      <c r="B945" s="28" t="s">
        <v>226</v>
      </c>
      <c r="C945" s="8" t="s">
        <v>127</v>
      </c>
      <c r="D945" s="8" t="s">
        <v>113</v>
      </c>
      <c r="E945" s="8" t="s">
        <v>70</v>
      </c>
      <c r="F945" s="114">
        <v>310</v>
      </c>
      <c r="G945" s="24">
        <f>'3'!F788</f>
        <v>5657.1770000000006</v>
      </c>
      <c r="H945" s="24">
        <f>'3'!G788</f>
        <v>5882.0349999999999</v>
      </c>
      <c r="I945" s="24">
        <f>'3'!H788</f>
        <v>6117.6030000000001</v>
      </c>
      <c r="J945" s="77">
        <f>6623.655-99.35483</f>
        <v>6524.3001699999995</v>
      </c>
      <c r="K945" s="77"/>
      <c r="L945" s="77"/>
    </row>
    <row r="946" spans="1:12" ht="41.4" x14ac:dyDescent="0.25">
      <c r="A946" s="15" t="s">
        <v>845</v>
      </c>
      <c r="B946" s="28" t="s">
        <v>226</v>
      </c>
      <c r="C946" s="8" t="s">
        <v>127</v>
      </c>
      <c r="D946" s="8" t="s">
        <v>113</v>
      </c>
      <c r="E946" s="29" t="s">
        <v>22</v>
      </c>
      <c r="F946" s="29" t="s">
        <v>223</v>
      </c>
      <c r="G946" s="24">
        <f>G947</f>
        <v>300</v>
      </c>
      <c r="H946" s="24">
        <f t="shared" ref="H946:I948" si="204">H947</f>
        <v>300</v>
      </c>
      <c r="I946" s="24">
        <f t="shared" si="204"/>
        <v>300</v>
      </c>
    </row>
    <row r="947" spans="1:12" ht="33" customHeight="1" x14ac:dyDescent="0.25">
      <c r="A947" s="329" t="s">
        <v>250</v>
      </c>
      <c r="B947" s="28" t="s">
        <v>226</v>
      </c>
      <c r="C947" s="8" t="s">
        <v>127</v>
      </c>
      <c r="D947" s="8" t="s">
        <v>113</v>
      </c>
      <c r="E947" s="8" t="s">
        <v>50</v>
      </c>
      <c r="F947" s="8" t="s">
        <v>223</v>
      </c>
      <c r="G947" s="24">
        <f>G948</f>
        <v>300</v>
      </c>
      <c r="H947" s="24">
        <f t="shared" si="204"/>
        <v>300</v>
      </c>
      <c r="I947" s="24">
        <f t="shared" si="204"/>
        <v>300</v>
      </c>
    </row>
    <row r="948" spans="1:12" ht="55.2" x14ac:dyDescent="0.25">
      <c r="A948" s="55" t="s">
        <v>396</v>
      </c>
      <c r="B948" s="419" t="s">
        <v>226</v>
      </c>
      <c r="C948" s="36" t="s">
        <v>127</v>
      </c>
      <c r="D948" s="36" t="s">
        <v>113</v>
      </c>
      <c r="E948" s="36" t="s">
        <v>50</v>
      </c>
      <c r="F948" s="36" t="s">
        <v>223</v>
      </c>
      <c r="G948" s="420">
        <f>G949</f>
        <v>300</v>
      </c>
      <c r="H948" s="420">
        <f t="shared" si="204"/>
        <v>300</v>
      </c>
      <c r="I948" s="420">
        <f t="shared" si="204"/>
        <v>300</v>
      </c>
      <c r="K948" s="50">
        <f>G950+G881</f>
        <v>3671.3712</v>
      </c>
    </row>
    <row r="949" spans="1:12" ht="27.6" x14ac:dyDescent="0.25">
      <c r="A949" s="22" t="s">
        <v>865</v>
      </c>
      <c r="B949" s="380" t="s">
        <v>226</v>
      </c>
      <c r="C949" s="8" t="s">
        <v>127</v>
      </c>
      <c r="D949" s="8" t="s">
        <v>113</v>
      </c>
      <c r="E949" s="8" t="s">
        <v>51</v>
      </c>
      <c r="F949" s="8" t="s">
        <v>866</v>
      </c>
      <c r="G949" s="330">
        <f>G950</f>
        <v>300</v>
      </c>
      <c r="H949" s="330">
        <f>H950</f>
        <v>300</v>
      </c>
      <c r="I949" s="330">
        <f>I950</f>
        <v>300</v>
      </c>
      <c r="K949" s="45">
        <f>'5'!D90</f>
        <v>3671.3712</v>
      </c>
    </row>
    <row r="950" spans="1:12" ht="33.6" customHeight="1" x14ac:dyDescent="0.25">
      <c r="A950" s="22" t="s">
        <v>120</v>
      </c>
      <c r="B950" s="28" t="s">
        <v>226</v>
      </c>
      <c r="C950" s="8" t="s">
        <v>127</v>
      </c>
      <c r="D950" s="8" t="s">
        <v>113</v>
      </c>
      <c r="E950" s="8" t="s">
        <v>51</v>
      </c>
      <c r="F950" s="8" t="s">
        <v>121</v>
      </c>
      <c r="G950" s="19">
        <f>'3'!F793</f>
        <v>300</v>
      </c>
      <c r="H950" s="19">
        <f>'3'!G793</f>
        <v>300</v>
      </c>
      <c r="I950" s="19">
        <f>'3'!H793</f>
        <v>300</v>
      </c>
    </row>
    <row r="951" spans="1:12" ht="17.25" hidden="1" customHeight="1" x14ac:dyDescent="0.25">
      <c r="A951" s="427" t="s">
        <v>920</v>
      </c>
      <c r="B951" s="428" t="s">
        <v>226</v>
      </c>
      <c r="C951" s="429" t="s">
        <v>725</v>
      </c>
      <c r="D951" s="429" t="s">
        <v>109</v>
      </c>
      <c r="E951" s="429" t="s">
        <v>699</v>
      </c>
      <c r="F951" s="429" t="s">
        <v>223</v>
      </c>
      <c r="G951" s="112">
        <f t="shared" ref="G951:I952" si="205">G952</f>
        <v>0</v>
      </c>
      <c r="H951" s="112">
        <f t="shared" si="205"/>
        <v>0</v>
      </c>
      <c r="I951" s="112">
        <f t="shared" si="205"/>
        <v>0</v>
      </c>
    </row>
    <row r="952" spans="1:12" ht="17.25" hidden="1" customHeight="1" x14ac:dyDescent="0.25">
      <c r="A952" s="21" t="s">
        <v>921</v>
      </c>
      <c r="B952" s="28" t="s">
        <v>226</v>
      </c>
      <c r="C952" s="8" t="s">
        <v>725</v>
      </c>
      <c r="D952" s="8" t="s">
        <v>701</v>
      </c>
      <c r="E952" s="8" t="s">
        <v>699</v>
      </c>
      <c r="F952" s="8" t="s">
        <v>223</v>
      </c>
      <c r="G952" s="24">
        <f t="shared" si="205"/>
        <v>0</v>
      </c>
      <c r="H952" s="24">
        <f t="shared" si="205"/>
        <v>0</v>
      </c>
      <c r="I952" s="24">
        <f t="shared" si="205"/>
        <v>0</v>
      </c>
    </row>
    <row r="953" spans="1:12" ht="46.95" hidden="1" customHeight="1" x14ac:dyDescent="0.25">
      <c r="A953" s="15" t="s">
        <v>1032</v>
      </c>
      <c r="B953" s="28" t="s">
        <v>226</v>
      </c>
      <c r="C953" s="8" t="s">
        <v>725</v>
      </c>
      <c r="D953" s="8" t="s">
        <v>701</v>
      </c>
      <c r="E953" s="29" t="s">
        <v>71</v>
      </c>
      <c r="F953" s="8" t="s">
        <v>223</v>
      </c>
      <c r="G953" s="24">
        <f>G954+G957</f>
        <v>0</v>
      </c>
      <c r="H953" s="24">
        <f>H954+H957</f>
        <v>0</v>
      </c>
      <c r="I953" s="24">
        <f>I954+I957</f>
        <v>0</v>
      </c>
    </row>
    <row r="954" spans="1:12" ht="28.95" hidden="1" customHeight="1" x14ac:dyDescent="0.25">
      <c r="A954" s="21" t="s">
        <v>922</v>
      </c>
      <c r="B954" s="28" t="s">
        <v>226</v>
      </c>
      <c r="C954" s="8" t="s">
        <v>725</v>
      </c>
      <c r="D954" s="8" t="s">
        <v>701</v>
      </c>
      <c r="E954" s="8" t="s">
        <v>72</v>
      </c>
      <c r="F954" s="8" t="s">
        <v>223</v>
      </c>
      <c r="G954" s="24">
        <f t="shared" ref="G954:I955" si="206">G955</f>
        <v>0</v>
      </c>
      <c r="H954" s="24">
        <f t="shared" si="206"/>
        <v>0</v>
      </c>
      <c r="I954" s="24">
        <f t="shared" si="206"/>
        <v>0</v>
      </c>
    </row>
    <row r="955" spans="1:12" ht="48" hidden="1" customHeight="1" x14ac:dyDescent="0.25">
      <c r="A955" s="21" t="s">
        <v>925</v>
      </c>
      <c r="B955" s="28" t="s">
        <v>226</v>
      </c>
      <c r="C955" s="8" t="s">
        <v>725</v>
      </c>
      <c r="D955" s="8" t="s">
        <v>701</v>
      </c>
      <c r="E955" s="8" t="s">
        <v>72</v>
      </c>
      <c r="F955" s="8" t="s">
        <v>747</v>
      </c>
      <c r="G955" s="24">
        <f t="shared" si="206"/>
        <v>0</v>
      </c>
      <c r="H955" s="24">
        <f t="shared" si="206"/>
        <v>0</v>
      </c>
      <c r="I955" s="24">
        <f t="shared" si="206"/>
        <v>0</v>
      </c>
    </row>
    <row r="956" spans="1:12" ht="21.6" hidden="1" customHeight="1" x14ac:dyDescent="0.25">
      <c r="A956" s="21" t="s">
        <v>116</v>
      </c>
      <c r="B956" s="28" t="s">
        <v>226</v>
      </c>
      <c r="C956" s="8" t="s">
        <v>725</v>
      </c>
      <c r="D956" s="8" t="s">
        <v>701</v>
      </c>
      <c r="E956" s="8" t="s">
        <v>72</v>
      </c>
      <c r="F956" s="8" t="s">
        <v>165</v>
      </c>
      <c r="G956" s="19">
        <v>0</v>
      </c>
      <c r="H956" s="24">
        <v>0</v>
      </c>
      <c r="I956" s="24">
        <v>0</v>
      </c>
    </row>
    <row r="957" spans="1:12" ht="42.6" hidden="1" customHeight="1" x14ac:dyDescent="0.25">
      <c r="A957" s="55" t="s">
        <v>389</v>
      </c>
      <c r="B957" s="28" t="s">
        <v>226</v>
      </c>
      <c r="C957" s="36" t="s">
        <v>725</v>
      </c>
      <c r="D957" s="36" t="s">
        <v>701</v>
      </c>
      <c r="E957" s="36" t="s">
        <v>71</v>
      </c>
      <c r="F957" s="36" t="s">
        <v>223</v>
      </c>
      <c r="G957" s="35">
        <f>G961+G958</f>
        <v>0</v>
      </c>
      <c r="H957" s="35">
        <f>H961+H958</f>
        <v>0</v>
      </c>
      <c r="I957" s="35">
        <f>I961+I958</f>
        <v>0</v>
      </c>
    </row>
    <row r="958" spans="1:12" ht="76.2" hidden="1" customHeight="1" x14ac:dyDescent="0.25">
      <c r="A958" s="370" t="s">
        <v>1033</v>
      </c>
      <c r="B958" s="57" t="s">
        <v>226</v>
      </c>
      <c r="C958" s="29" t="s">
        <v>725</v>
      </c>
      <c r="D958" s="29" t="s">
        <v>701</v>
      </c>
      <c r="E958" s="29" t="s">
        <v>391</v>
      </c>
      <c r="F958" s="29" t="s">
        <v>223</v>
      </c>
      <c r="G958" s="26">
        <f t="shared" ref="G958:I959" si="207">G959</f>
        <v>0</v>
      </c>
      <c r="H958" s="26">
        <f t="shared" si="207"/>
        <v>0</v>
      </c>
      <c r="I958" s="26">
        <f t="shared" si="207"/>
        <v>0</v>
      </c>
    </row>
    <row r="959" spans="1:12" ht="43.2" hidden="1" customHeight="1" x14ac:dyDescent="0.25">
      <c r="A959" s="21" t="s">
        <v>925</v>
      </c>
      <c r="B959" s="28" t="s">
        <v>226</v>
      </c>
      <c r="C959" s="8" t="s">
        <v>725</v>
      </c>
      <c r="D959" s="8" t="s">
        <v>701</v>
      </c>
      <c r="E959" s="8" t="s">
        <v>391</v>
      </c>
      <c r="F959" s="8" t="s">
        <v>747</v>
      </c>
      <c r="G959" s="24">
        <f t="shared" si="207"/>
        <v>0</v>
      </c>
      <c r="H959" s="24">
        <f t="shared" si="207"/>
        <v>0</v>
      </c>
      <c r="I959" s="24">
        <f t="shared" si="207"/>
        <v>0</v>
      </c>
    </row>
    <row r="960" spans="1:12" ht="18" hidden="1" customHeight="1" x14ac:dyDescent="0.25">
      <c r="A960" s="21" t="s">
        <v>116</v>
      </c>
      <c r="B960" s="28" t="s">
        <v>226</v>
      </c>
      <c r="C960" s="8" t="s">
        <v>725</v>
      </c>
      <c r="D960" s="8" t="s">
        <v>701</v>
      </c>
      <c r="E960" s="8" t="s">
        <v>391</v>
      </c>
      <c r="F960" s="8" t="s">
        <v>165</v>
      </c>
      <c r="G960" s="24"/>
      <c r="H960" s="24"/>
      <c r="I960" s="24"/>
    </row>
    <row r="961" spans="1:11" ht="86.4" hidden="1" customHeight="1" x14ac:dyDescent="0.25">
      <c r="A961" s="370" t="s">
        <v>1034</v>
      </c>
      <c r="B961" s="57" t="s">
        <v>226</v>
      </c>
      <c r="C961" s="29" t="s">
        <v>725</v>
      </c>
      <c r="D961" s="29" t="s">
        <v>701</v>
      </c>
      <c r="E961" s="29" t="s">
        <v>392</v>
      </c>
      <c r="F961" s="29" t="s">
        <v>223</v>
      </c>
      <c r="G961" s="26">
        <f t="shared" ref="G961:I962" si="208">G962</f>
        <v>0</v>
      </c>
      <c r="H961" s="26">
        <f t="shared" si="208"/>
        <v>0</v>
      </c>
      <c r="I961" s="26">
        <f t="shared" si="208"/>
        <v>0</v>
      </c>
    </row>
    <row r="962" spans="1:11" ht="43.95" hidden="1" customHeight="1" x14ac:dyDescent="0.25">
      <c r="A962" s="21" t="s">
        <v>925</v>
      </c>
      <c r="B962" s="28" t="s">
        <v>226</v>
      </c>
      <c r="C962" s="8" t="s">
        <v>725</v>
      </c>
      <c r="D962" s="8" t="s">
        <v>701</v>
      </c>
      <c r="E962" s="8" t="s">
        <v>392</v>
      </c>
      <c r="F962" s="8" t="s">
        <v>747</v>
      </c>
      <c r="G962" s="24">
        <f t="shared" si="208"/>
        <v>0</v>
      </c>
      <c r="H962" s="24">
        <f t="shared" si="208"/>
        <v>0</v>
      </c>
      <c r="I962" s="24">
        <f t="shared" si="208"/>
        <v>0</v>
      </c>
    </row>
    <row r="963" spans="1:11" ht="16.95" hidden="1" customHeight="1" x14ac:dyDescent="0.25">
      <c r="A963" s="21" t="s">
        <v>116</v>
      </c>
      <c r="B963" s="28" t="s">
        <v>226</v>
      </c>
      <c r="C963" s="8" t="s">
        <v>725</v>
      </c>
      <c r="D963" s="8" t="s">
        <v>701</v>
      </c>
      <c r="E963" s="8" t="s">
        <v>392</v>
      </c>
      <c r="F963" s="8" t="s">
        <v>165</v>
      </c>
      <c r="G963" s="24"/>
      <c r="H963" s="24"/>
      <c r="I963" s="24"/>
    </row>
    <row r="964" spans="1:11" ht="44.7" hidden="1" customHeight="1" x14ac:dyDescent="0.25">
      <c r="A964" s="67" t="s">
        <v>335</v>
      </c>
      <c r="B964" s="56" t="s">
        <v>226</v>
      </c>
      <c r="C964" s="36" t="s">
        <v>725</v>
      </c>
      <c r="D964" s="36" t="s">
        <v>701</v>
      </c>
      <c r="E964" s="36" t="s">
        <v>71</v>
      </c>
      <c r="F964" s="36" t="s">
        <v>223</v>
      </c>
      <c r="G964" s="35">
        <f>G965</f>
        <v>0</v>
      </c>
      <c r="H964" s="35">
        <f t="shared" ref="H964:I966" si="209">H965</f>
        <v>0</v>
      </c>
      <c r="I964" s="35">
        <f t="shared" si="209"/>
        <v>0</v>
      </c>
    </row>
    <row r="965" spans="1:11" ht="72.599999999999994" hidden="1" customHeight="1" x14ac:dyDescent="0.25">
      <c r="A965" s="370" t="s">
        <v>1035</v>
      </c>
      <c r="B965" s="57" t="s">
        <v>226</v>
      </c>
      <c r="C965" s="29" t="s">
        <v>725</v>
      </c>
      <c r="D965" s="29" t="s">
        <v>701</v>
      </c>
      <c r="E965" s="29" t="s">
        <v>484</v>
      </c>
      <c r="F965" s="29" t="s">
        <v>223</v>
      </c>
      <c r="G965" s="26">
        <f>G966</f>
        <v>0</v>
      </c>
      <c r="H965" s="26">
        <f t="shared" si="209"/>
        <v>0</v>
      </c>
      <c r="I965" s="26">
        <f t="shared" si="209"/>
        <v>0</v>
      </c>
    </row>
    <row r="966" spans="1:11" ht="43.95" hidden="1" customHeight="1" x14ac:dyDescent="0.25">
      <c r="A966" s="21" t="s">
        <v>925</v>
      </c>
      <c r="B966" s="28" t="s">
        <v>226</v>
      </c>
      <c r="C966" s="8" t="s">
        <v>725</v>
      </c>
      <c r="D966" s="8" t="s">
        <v>701</v>
      </c>
      <c r="E966" s="8" t="s">
        <v>484</v>
      </c>
      <c r="F966" s="8" t="s">
        <v>747</v>
      </c>
      <c r="G966" s="24">
        <f>G967</f>
        <v>0</v>
      </c>
      <c r="H966" s="24">
        <f t="shared" si="209"/>
        <v>0</v>
      </c>
      <c r="I966" s="24">
        <f t="shared" si="209"/>
        <v>0</v>
      </c>
    </row>
    <row r="967" spans="1:11" ht="20.7" hidden="1" customHeight="1" x14ac:dyDescent="0.25">
      <c r="A967" s="21" t="s">
        <v>116</v>
      </c>
      <c r="B967" s="28" t="s">
        <v>226</v>
      </c>
      <c r="C967" s="8" t="s">
        <v>725</v>
      </c>
      <c r="D967" s="8" t="s">
        <v>701</v>
      </c>
      <c r="E967" s="8" t="s">
        <v>484</v>
      </c>
      <c r="F967" s="8" t="s">
        <v>165</v>
      </c>
      <c r="G967" s="24"/>
      <c r="H967" s="24"/>
      <c r="I967" s="24"/>
    </row>
    <row r="968" spans="1:11" ht="98.4" hidden="1" customHeight="1" x14ac:dyDescent="0.25">
      <c r="A968" s="370" t="s">
        <v>1007</v>
      </c>
      <c r="B968" s="57" t="s">
        <v>226</v>
      </c>
      <c r="C968" s="29" t="s">
        <v>725</v>
      </c>
      <c r="D968" s="29" t="s">
        <v>701</v>
      </c>
      <c r="E968" s="29" t="s">
        <v>1036</v>
      </c>
      <c r="F968" s="29" t="s">
        <v>223</v>
      </c>
      <c r="G968" s="26">
        <f t="shared" ref="G968:I969" si="210">G969</f>
        <v>0</v>
      </c>
      <c r="H968" s="26">
        <f t="shared" si="210"/>
        <v>0</v>
      </c>
      <c r="I968" s="26">
        <f t="shared" si="210"/>
        <v>0</v>
      </c>
    </row>
    <row r="969" spans="1:11" ht="42.6" hidden="1" customHeight="1" x14ac:dyDescent="0.25">
      <c r="A969" s="21" t="s">
        <v>925</v>
      </c>
      <c r="B969" s="28" t="s">
        <v>226</v>
      </c>
      <c r="C969" s="8" t="s">
        <v>725</v>
      </c>
      <c r="D969" s="8" t="s">
        <v>701</v>
      </c>
      <c r="E969" s="8" t="s">
        <v>1036</v>
      </c>
      <c r="F969" s="8" t="s">
        <v>747</v>
      </c>
      <c r="G969" s="24">
        <f t="shared" si="210"/>
        <v>0</v>
      </c>
      <c r="H969" s="24">
        <f t="shared" si="210"/>
        <v>0</v>
      </c>
      <c r="I969" s="24">
        <f t="shared" si="210"/>
        <v>0</v>
      </c>
    </row>
    <row r="970" spans="1:11" ht="23.7" hidden="1" customHeight="1" x14ac:dyDescent="0.25">
      <c r="A970" s="21" t="s">
        <v>116</v>
      </c>
      <c r="B970" s="28" t="s">
        <v>226</v>
      </c>
      <c r="C970" s="8" t="s">
        <v>725</v>
      </c>
      <c r="D970" s="8" t="s">
        <v>701</v>
      </c>
      <c r="E970" s="8" t="s">
        <v>1036</v>
      </c>
      <c r="F970" s="8" t="s">
        <v>165</v>
      </c>
      <c r="G970" s="24"/>
      <c r="H970" s="24"/>
      <c r="I970" s="24"/>
    </row>
    <row r="971" spans="1:11" ht="27.6" x14ac:dyDescent="0.25">
      <c r="A971" s="355" t="s">
        <v>1037</v>
      </c>
      <c r="B971" s="356" t="s">
        <v>225</v>
      </c>
      <c r="C971" s="356" t="s">
        <v>109</v>
      </c>
      <c r="D971" s="356" t="s">
        <v>109</v>
      </c>
      <c r="E971" s="356" t="s">
        <v>699</v>
      </c>
      <c r="F971" s="356" t="s">
        <v>223</v>
      </c>
      <c r="G971" s="402">
        <f t="shared" ref="G971:I973" si="211">G972</f>
        <v>3104.1350000000002</v>
      </c>
      <c r="H971" s="402">
        <f t="shared" si="211"/>
        <v>2947.6350000000002</v>
      </c>
      <c r="I971" s="402">
        <f t="shared" si="211"/>
        <v>2947.6350000000002</v>
      </c>
    </row>
    <row r="972" spans="1:11" ht="41.4" x14ac:dyDescent="0.25">
      <c r="A972" s="361" t="s">
        <v>719</v>
      </c>
      <c r="B972" s="380" t="s">
        <v>225</v>
      </c>
      <c r="C972" s="8" t="s">
        <v>108</v>
      </c>
      <c r="D972" s="8" t="s">
        <v>720</v>
      </c>
      <c r="E972" s="8" t="s">
        <v>699</v>
      </c>
      <c r="F972" s="8" t="s">
        <v>223</v>
      </c>
      <c r="G972" s="330">
        <f t="shared" si="211"/>
        <v>3104.1350000000002</v>
      </c>
      <c r="H972" s="330">
        <f t="shared" si="211"/>
        <v>2947.6350000000002</v>
      </c>
      <c r="I972" s="330">
        <f t="shared" si="211"/>
        <v>2947.6350000000002</v>
      </c>
    </row>
    <row r="973" spans="1:11" ht="27.6" x14ac:dyDescent="0.25">
      <c r="A973" s="361" t="s">
        <v>207</v>
      </c>
      <c r="B973" s="380" t="s">
        <v>225</v>
      </c>
      <c r="C973" s="8" t="s">
        <v>108</v>
      </c>
      <c r="D973" s="8" t="s">
        <v>720</v>
      </c>
      <c r="E973" s="8" t="s">
        <v>5</v>
      </c>
      <c r="F973" s="8" t="s">
        <v>223</v>
      </c>
      <c r="G973" s="330">
        <f t="shared" si="211"/>
        <v>3104.1350000000002</v>
      </c>
      <c r="H973" s="330">
        <f t="shared" si="211"/>
        <v>2947.6350000000002</v>
      </c>
      <c r="I973" s="330">
        <f t="shared" si="211"/>
        <v>2947.6350000000002</v>
      </c>
    </row>
    <row r="974" spans="1:11" ht="41.4" x14ac:dyDescent="0.25">
      <c r="A974" s="21" t="s">
        <v>1038</v>
      </c>
      <c r="B974" s="380" t="s">
        <v>225</v>
      </c>
      <c r="C974" s="8" t="s">
        <v>108</v>
      </c>
      <c r="D974" s="8" t="s">
        <v>720</v>
      </c>
      <c r="E974" s="8" t="s">
        <v>6</v>
      </c>
      <c r="F974" s="8" t="s">
        <v>223</v>
      </c>
      <c r="G974" s="330">
        <f>G977+G979+G981+G976</f>
        <v>3104.1350000000002</v>
      </c>
      <c r="H974" s="330">
        <f>H977+H979+H981+H976</f>
        <v>2947.6350000000002</v>
      </c>
      <c r="I974" s="330">
        <f>I977+I979+I981+I976</f>
        <v>2947.6350000000002</v>
      </c>
    </row>
    <row r="975" spans="1:11" ht="75.599999999999994" hidden="1" customHeight="1" x14ac:dyDescent="0.25">
      <c r="A975" s="21" t="s">
        <v>703</v>
      </c>
      <c r="B975" s="380" t="s">
        <v>225</v>
      </c>
      <c r="C975" s="8" t="s">
        <v>108</v>
      </c>
      <c r="D975" s="8" t="s">
        <v>720</v>
      </c>
      <c r="E975" s="8" t="s">
        <v>9</v>
      </c>
      <c r="F975" s="8" t="s">
        <v>704</v>
      </c>
      <c r="G975" s="330">
        <f>G976</f>
        <v>0</v>
      </c>
      <c r="H975" s="330">
        <f>H976</f>
        <v>0</v>
      </c>
      <c r="I975" s="330">
        <f>I976</f>
        <v>0</v>
      </c>
    </row>
    <row r="976" spans="1:11" ht="27.6" hidden="1" x14ac:dyDescent="0.25">
      <c r="A976" s="21" t="s">
        <v>705</v>
      </c>
      <c r="B976" s="380" t="s">
        <v>225</v>
      </c>
      <c r="C976" s="8" t="s">
        <v>108</v>
      </c>
      <c r="D976" s="8" t="s">
        <v>720</v>
      </c>
      <c r="E976" s="8" t="s">
        <v>9</v>
      </c>
      <c r="F976" s="8" t="s">
        <v>706</v>
      </c>
      <c r="G976" s="24">
        <f>'3'!F60</f>
        <v>0</v>
      </c>
      <c r="H976" s="24">
        <f>'3'!G60</f>
        <v>0</v>
      </c>
      <c r="I976" s="24">
        <f>'3'!H60</f>
        <v>0</v>
      </c>
      <c r="J976" s="50"/>
      <c r="K976" s="50"/>
    </row>
    <row r="977" spans="1:9" ht="27.6" x14ac:dyDescent="0.25">
      <c r="A977" s="21" t="s">
        <v>709</v>
      </c>
      <c r="B977" s="380" t="s">
        <v>225</v>
      </c>
      <c r="C977" s="8" t="s">
        <v>108</v>
      </c>
      <c r="D977" s="8" t="s">
        <v>720</v>
      </c>
      <c r="E977" s="8" t="s">
        <v>9</v>
      </c>
      <c r="F977" s="8" t="s">
        <v>710</v>
      </c>
      <c r="G977" s="330">
        <f>G978</f>
        <v>342</v>
      </c>
      <c r="H977" s="330">
        <f>H978</f>
        <v>342</v>
      </c>
      <c r="I977" s="330">
        <f>I978</f>
        <v>342</v>
      </c>
    </row>
    <row r="978" spans="1:9" ht="41.4" x14ac:dyDescent="0.25">
      <c r="A978" s="21" t="s">
        <v>711</v>
      </c>
      <c r="B978" s="380" t="s">
        <v>225</v>
      </c>
      <c r="C978" s="8" t="s">
        <v>108</v>
      </c>
      <c r="D978" s="8" t="s">
        <v>720</v>
      </c>
      <c r="E978" s="8" t="s">
        <v>9</v>
      </c>
      <c r="F978" s="8" t="s">
        <v>712</v>
      </c>
      <c r="G978" s="24">
        <f>'3'!F62</f>
        <v>342</v>
      </c>
      <c r="H978" s="24">
        <f>'3'!G62</f>
        <v>342</v>
      </c>
      <c r="I978" s="24">
        <f>'3'!H62</f>
        <v>342</v>
      </c>
    </row>
    <row r="979" spans="1:9" x14ac:dyDescent="0.25">
      <c r="A979" s="21" t="s">
        <v>713</v>
      </c>
      <c r="B979" s="380" t="s">
        <v>225</v>
      </c>
      <c r="C979" s="8" t="s">
        <v>108</v>
      </c>
      <c r="D979" s="8" t="s">
        <v>720</v>
      </c>
      <c r="E979" s="8" t="s">
        <v>9</v>
      </c>
      <c r="F979" s="8" t="s">
        <v>714</v>
      </c>
      <c r="G979" s="24">
        <f>G980</f>
        <v>2</v>
      </c>
      <c r="H979" s="24">
        <f>H980</f>
        <v>2</v>
      </c>
      <c r="I979" s="24">
        <f>I980</f>
        <v>2</v>
      </c>
    </row>
    <row r="980" spans="1:9" x14ac:dyDescent="0.25">
      <c r="A980" s="21" t="s">
        <v>715</v>
      </c>
      <c r="B980" s="380" t="s">
        <v>225</v>
      </c>
      <c r="C980" s="8" t="s">
        <v>108</v>
      </c>
      <c r="D980" s="8" t="s">
        <v>720</v>
      </c>
      <c r="E980" s="8" t="s">
        <v>9</v>
      </c>
      <c r="F980" s="8" t="s">
        <v>716</v>
      </c>
      <c r="G980" s="24">
        <f>'3'!F64</f>
        <v>2</v>
      </c>
      <c r="H980" s="24">
        <f>'3'!G64</f>
        <v>2</v>
      </c>
      <c r="I980" s="24">
        <f>'3'!H64</f>
        <v>2</v>
      </c>
    </row>
    <row r="981" spans="1:9" x14ac:dyDescent="0.25">
      <c r="A981" s="412" t="s">
        <v>723</v>
      </c>
      <c r="B981" s="430" t="s">
        <v>225</v>
      </c>
      <c r="C981" s="413" t="s">
        <v>108</v>
      </c>
      <c r="D981" s="413" t="s">
        <v>720</v>
      </c>
      <c r="E981" s="413" t="s">
        <v>10</v>
      </c>
      <c r="F981" s="413" t="s">
        <v>223</v>
      </c>
      <c r="G981" s="471">
        <f>G982</f>
        <v>2760.1350000000002</v>
      </c>
      <c r="H981" s="471">
        <f t="shared" ref="G981:I982" si="212">H982</f>
        <v>2603.6350000000002</v>
      </c>
      <c r="I981" s="471">
        <f t="shared" si="212"/>
        <v>2603.6350000000002</v>
      </c>
    </row>
    <row r="982" spans="1:9" ht="73.95" customHeight="1" x14ac:dyDescent="0.25">
      <c r="A982" s="21" t="s">
        <v>703</v>
      </c>
      <c r="B982" s="380" t="s">
        <v>225</v>
      </c>
      <c r="C982" s="8" t="s">
        <v>108</v>
      </c>
      <c r="D982" s="8" t="s">
        <v>720</v>
      </c>
      <c r="E982" s="8" t="s">
        <v>10</v>
      </c>
      <c r="F982" s="8" t="s">
        <v>704</v>
      </c>
      <c r="G982" s="19">
        <f t="shared" si="212"/>
        <v>2760.1350000000002</v>
      </c>
      <c r="H982" s="24">
        <f t="shared" si="212"/>
        <v>2603.6350000000002</v>
      </c>
      <c r="I982" s="24">
        <f t="shared" si="212"/>
        <v>2603.6350000000002</v>
      </c>
    </row>
    <row r="983" spans="1:9" ht="29.7" customHeight="1" x14ac:dyDescent="0.25">
      <c r="A983" s="21" t="s">
        <v>705</v>
      </c>
      <c r="B983" s="380" t="s">
        <v>225</v>
      </c>
      <c r="C983" s="8" t="s">
        <v>108</v>
      </c>
      <c r="D983" s="8" t="s">
        <v>720</v>
      </c>
      <c r="E983" s="8" t="s">
        <v>10</v>
      </c>
      <c r="F983" s="8" t="s">
        <v>706</v>
      </c>
      <c r="G983" s="19">
        <f>'5'!D261</f>
        <v>2760.1350000000002</v>
      </c>
      <c r="H983" s="24">
        <f>'5'!E261</f>
        <v>2603.6350000000002</v>
      </c>
      <c r="I983" s="24">
        <f>'5'!F261</f>
        <v>2603.6350000000002</v>
      </c>
    </row>
    <row r="984" spans="1:9" ht="15.75" customHeight="1" x14ac:dyDescent="0.25">
      <c r="A984" s="431" t="s">
        <v>565</v>
      </c>
      <c r="B984" s="386"/>
      <c r="C984" s="379"/>
      <c r="D984" s="379"/>
      <c r="E984" s="379"/>
      <c r="F984" s="379"/>
      <c r="G984" s="360">
        <v>0</v>
      </c>
      <c r="H984" s="432">
        <f>'5'!E325</f>
        <v>7492.4134500000018</v>
      </c>
      <c r="I984" s="432">
        <f>'5'!F325</f>
        <v>14801.776900000001</v>
      </c>
    </row>
    <row r="985" spans="1:9" s="10" customFormat="1" x14ac:dyDescent="0.25">
      <c r="A985" s="433" t="s">
        <v>1039</v>
      </c>
      <c r="B985" s="434"/>
      <c r="C985" s="434"/>
      <c r="D985" s="434"/>
      <c r="E985" s="434"/>
      <c r="F985" s="434"/>
      <c r="G985" s="35">
        <f>G12+G632+G651+G708+G971+G984</f>
        <v>957216.91413000005</v>
      </c>
      <c r="H985" s="35">
        <f>H12+H632+H651+H708+H971+H984</f>
        <v>757132.78600000008</v>
      </c>
      <c r="I985" s="35">
        <f>I12+I632+I651+I708+I971+I984</f>
        <v>769356.98444000003</v>
      </c>
    </row>
    <row r="986" spans="1:9" x14ac:dyDescent="0.25">
      <c r="E986" s="50"/>
      <c r="G986" s="522">
        <v>957216.91413000005</v>
      </c>
      <c r="H986" s="61"/>
      <c r="I986" s="61">
        <f>I990-I985</f>
        <v>0</v>
      </c>
    </row>
    <row r="987" spans="1:9" ht="15.6" x14ac:dyDescent="0.25">
      <c r="E987" s="337"/>
      <c r="F987" s="338"/>
      <c r="G987" s="37">
        <f>G986-G985</f>
        <v>0</v>
      </c>
      <c r="H987" s="37">
        <f>H990-H985</f>
        <v>0</v>
      </c>
      <c r="I987" s="37">
        <f>I985-I988</f>
        <v>2500</v>
      </c>
    </row>
    <row r="988" spans="1:9" ht="15.6" x14ac:dyDescent="0.25">
      <c r="E988" s="339"/>
      <c r="F988" s="340"/>
      <c r="G988" s="61"/>
      <c r="H988" s="37">
        <v>754632.78599999996</v>
      </c>
      <c r="I988" s="44">
        <v>766856.98444000003</v>
      </c>
    </row>
    <row r="989" spans="1:9" ht="15.6" x14ac:dyDescent="0.3">
      <c r="E989" s="341"/>
      <c r="F989" s="1"/>
      <c r="G989" s="60"/>
      <c r="H989" s="50">
        <v>2500</v>
      </c>
      <c r="I989" s="50">
        <v>2500</v>
      </c>
    </row>
    <row r="990" spans="1:9" ht="16.2" x14ac:dyDescent="0.35">
      <c r="E990" s="343"/>
      <c r="F990" s="343"/>
      <c r="G990" s="435"/>
      <c r="H990" s="60">
        <f>H988+H989</f>
        <v>757132.78599999996</v>
      </c>
      <c r="I990" s="60">
        <f>I988+I989</f>
        <v>769356.98444000003</v>
      </c>
    </row>
    <row r="991" spans="1:9" x14ac:dyDescent="0.25">
      <c r="G991" s="436"/>
      <c r="H991" s="50">
        <f>H990-H986</f>
        <v>757132.78599999996</v>
      </c>
      <c r="I991" s="50">
        <f>I990-I986</f>
        <v>769356.98444000003</v>
      </c>
    </row>
    <row r="993" spans="7:9" x14ac:dyDescent="0.25">
      <c r="H993" s="75"/>
      <c r="I993" s="75"/>
    </row>
    <row r="994" spans="7:9" x14ac:dyDescent="0.25">
      <c r="G994" s="50"/>
    </row>
    <row r="995" spans="7:9" x14ac:dyDescent="0.25">
      <c r="H995" s="50"/>
      <c r="I995" s="50"/>
    </row>
  </sheetData>
  <mergeCells count="15">
    <mergeCell ref="A7:I7"/>
    <mergeCell ref="G10:G11"/>
    <mergeCell ref="H10:H11"/>
    <mergeCell ref="I10:I11"/>
    <mergeCell ref="A10:A11"/>
    <mergeCell ref="B10:B11"/>
    <mergeCell ref="C10:C11"/>
    <mergeCell ref="D10:D11"/>
    <mergeCell ref="E10:E11"/>
    <mergeCell ref="F10:F11"/>
    <mergeCell ref="H1:I1"/>
    <mergeCell ref="A2:I2"/>
    <mergeCell ref="A3:I3"/>
    <mergeCell ref="A4:I4"/>
    <mergeCell ref="A6:I6"/>
  </mergeCells>
  <pageMargins left="0.7" right="0.7" top="0.75" bottom="0.75" header="0.3" footer="0.3"/>
  <pageSetup paperSize="9" scale="65" fitToHeight="0" orientation="portrait" r:id="rId1"/>
  <rowBreaks count="1" manualBreakCount="1">
    <brk id="36" max="8" man="1"/>
  </rowBreaks>
  <colBreaks count="2" manualBreakCount="2">
    <brk id="9"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39"/>
  <sheetViews>
    <sheetView view="pageBreakPreview" topLeftCell="A301" zoomScale="76" zoomScaleSheetLayoutView="76" workbookViewId="0">
      <selection activeCell="E228" sqref="E228:F228"/>
    </sheetView>
  </sheetViews>
  <sheetFormatPr defaultColWidth="8.6640625" defaultRowHeight="13.8" x14ac:dyDescent="0.25"/>
  <cols>
    <col min="1" max="1" width="73.6640625" style="74" customWidth="1"/>
    <col min="2" max="2" width="14.44140625" style="45" customWidth="1"/>
    <col min="3" max="3" width="18.5546875" style="510" customWidth="1"/>
    <col min="4" max="4" width="16.109375" style="511" customWidth="1"/>
    <col min="5" max="5" width="16.109375" style="50" customWidth="1"/>
    <col min="6" max="6" width="18.33203125" style="50" customWidth="1"/>
    <col min="7" max="7" width="18.6640625" style="45" customWidth="1"/>
    <col min="8" max="8" width="16.88671875" style="45" customWidth="1"/>
    <col min="9" max="9" width="20" style="45" customWidth="1"/>
    <col min="10" max="10" width="23.44140625" style="45" customWidth="1"/>
    <col min="11" max="12" width="19.6640625" style="45" customWidth="1"/>
    <col min="13" max="16384" width="8.6640625" style="45"/>
  </cols>
  <sheetData>
    <row r="1" spans="1:13" x14ac:dyDescent="0.25">
      <c r="A1" s="564" t="s">
        <v>516</v>
      </c>
      <c r="B1" s="564"/>
      <c r="C1" s="564"/>
      <c r="D1" s="564"/>
      <c r="E1" s="564"/>
      <c r="F1" s="564"/>
    </row>
    <row r="2" spans="1:13" x14ac:dyDescent="0.25">
      <c r="A2" s="564" t="s">
        <v>220</v>
      </c>
      <c r="B2" s="564"/>
      <c r="C2" s="564"/>
      <c r="D2" s="564"/>
      <c r="E2" s="564"/>
      <c r="F2" s="564"/>
    </row>
    <row r="3" spans="1:13" x14ac:dyDescent="0.25">
      <c r="A3" s="564" t="s">
        <v>240</v>
      </c>
      <c r="B3" s="564"/>
      <c r="C3" s="564"/>
      <c r="D3" s="564"/>
      <c r="E3" s="564"/>
      <c r="F3" s="564"/>
    </row>
    <row r="4" spans="1:13" x14ac:dyDescent="0.25">
      <c r="A4" s="566" t="s">
        <v>1155</v>
      </c>
      <c r="B4" s="566"/>
      <c r="C4" s="566"/>
      <c r="D4" s="566"/>
      <c r="E4" s="566"/>
      <c r="F4" s="566"/>
    </row>
    <row r="5" spans="1:13" ht="5.7" customHeight="1" x14ac:dyDescent="0.25">
      <c r="A5" s="48"/>
      <c r="B5" s="49"/>
      <c r="G5" s="45">
        <v>3</v>
      </c>
    </row>
    <row r="6" spans="1:13" ht="60.75" customHeight="1" x14ac:dyDescent="0.25">
      <c r="A6" s="568" t="s">
        <v>670</v>
      </c>
      <c r="B6" s="568"/>
      <c r="C6" s="568"/>
      <c r="D6" s="568"/>
      <c r="E6" s="568"/>
      <c r="F6" s="568"/>
      <c r="G6" s="50">
        <f>E15+E27+E47+E49+E50+E51+E52+E53+E54+E57+E59+E61+E63+E64+E66+E67++E71+E74+E75+E79+E80+E82+E83+E85+E86+E88+E90+E108+E109+E115+E116+E210+E213+E93+55</f>
        <v>515376.56563999999</v>
      </c>
      <c r="H6" s="50">
        <f>F15+F27+F47+F49+F50+F51+F52+F53+F54+F57+F59+F61+F63+F64+F66+F67++F71+F74+F75+F79+F80+F82+F83+F85+F86+F88+F90+F108+F109+F115+F116+F210+F213+F93+55</f>
        <v>518539.63580999995</v>
      </c>
    </row>
    <row r="7" spans="1:13" ht="4.2" customHeight="1" x14ac:dyDescent="0.25">
      <c r="A7" s="474"/>
      <c r="B7" s="474"/>
      <c r="C7" s="512"/>
      <c r="D7" s="513"/>
      <c r="E7" s="51"/>
      <c r="F7" s="51"/>
    </row>
    <row r="8" spans="1:13" x14ac:dyDescent="0.25">
      <c r="A8" s="48"/>
      <c r="B8" s="52"/>
      <c r="C8" s="514"/>
      <c r="D8" s="515"/>
      <c r="E8" s="53"/>
      <c r="F8" s="53" t="s">
        <v>102</v>
      </c>
    </row>
    <row r="9" spans="1:13" ht="39.75" customHeight="1" x14ac:dyDescent="0.25">
      <c r="A9" s="475" t="s">
        <v>205</v>
      </c>
      <c r="B9" s="475" t="s">
        <v>166</v>
      </c>
      <c r="C9" s="507" t="s">
        <v>206</v>
      </c>
      <c r="D9" s="20" t="s">
        <v>511</v>
      </c>
      <c r="E9" s="35" t="s">
        <v>554</v>
      </c>
      <c r="F9" s="35" t="s">
        <v>671</v>
      </c>
    </row>
    <row r="10" spans="1:13" ht="16.2" customHeight="1" x14ac:dyDescent="0.25">
      <c r="A10" s="475">
        <v>1</v>
      </c>
      <c r="B10" s="475">
        <v>2</v>
      </c>
      <c r="C10" s="507">
        <v>3</v>
      </c>
      <c r="D10" s="516">
        <v>4</v>
      </c>
      <c r="E10" s="117">
        <v>5</v>
      </c>
      <c r="F10" s="117">
        <v>6</v>
      </c>
    </row>
    <row r="11" spans="1:13" s="54" customFormat="1" ht="19.2" customHeight="1" x14ac:dyDescent="0.25">
      <c r="A11" s="574" t="s">
        <v>100</v>
      </c>
      <c r="B11" s="574"/>
      <c r="C11" s="574"/>
      <c r="D11" s="574"/>
    </row>
    <row r="12" spans="1:13" ht="35.25" customHeight="1" x14ac:dyDescent="0.25">
      <c r="A12" s="102" t="s">
        <v>563</v>
      </c>
      <c r="B12" s="103" t="s">
        <v>223</v>
      </c>
      <c r="C12" s="103" t="s">
        <v>22</v>
      </c>
      <c r="D12" s="104">
        <f>D13+D55+D65+D68+D87+D92+D95+D98+D89+D105+D100</f>
        <v>632998.09833000018</v>
      </c>
      <c r="E12" s="104">
        <f>E13+E55+E65+E68+E87+E92+E95+E98+E89+E105+E100</f>
        <v>540664.36563999997</v>
      </c>
      <c r="F12" s="104">
        <f t="shared" ref="F12" si="0">F13+F55+F65+F68+F87+F92+F95+F98+F89+F105+F100</f>
        <v>543500.63580999989</v>
      </c>
    </row>
    <row r="13" spans="1:13" s="59" customFormat="1" ht="30" customHeight="1" x14ac:dyDescent="0.3">
      <c r="A13" s="118" t="s">
        <v>168</v>
      </c>
      <c r="B13" s="119" t="s">
        <v>226</v>
      </c>
      <c r="C13" s="119" t="s">
        <v>35</v>
      </c>
      <c r="D13" s="120">
        <f>D14+D17+D21+D24+D25+D28+D46+D49+D50+D51+D52+D53+D20+D26+D54+D37</f>
        <v>418007.22659000003</v>
      </c>
      <c r="E13" s="120">
        <f>E14+E17+E21+E24+E25+E28+E46+E49+E50+E51+E52+E53+E20+E26+E54+E37</f>
        <v>329602.66946</v>
      </c>
      <c r="F13" s="120">
        <f t="shared" ref="F13" si="1">F14+F17+F21+F24+F25+F28+F46+F49+F50+F51+F52+F53+F20+F26+F54+F37</f>
        <v>333669.96680999995</v>
      </c>
      <c r="G13" s="58"/>
    </row>
    <row r="14" spans="1:13" s="59" customFormat="1" ht="30" customHeight="1" x14ac:dyDescent="0.3">
      <c r="A14" s="130" t="s">
        <v>141</v>
      </c>
      <c r="B14" s="116" t="s">
        <v>226</v>
      </c>
      <c r="C14" s="116" t="s">
        <v>37</v>
      </c>
      <c r="D14" s="134">
        <f>D15+D16</f>
        <v>997.09400000000005</v>
      </c>
      <c r="E14" s="134">
        <f>E15+E16</f>
        <v>500</v>
      </c>
      <c r="F14" s="134">
        <f>F15+F16</f>
        <v>500</v>
      </c>
      <c r="G14" s="58">
        <f>D49+D50+D51+D52+D53+D54</f>
        <v>287612.63280000002</v>
      </c>
      <c r="H14" s="58">
        <f t="shared" ref="H14:I14" si="2">E49+E50+E51+E52+E53+E54</f>
        <v>293099.29664000002</v>
      </c>
      <c r="I14" s="58">
        <f t="shared" si="2"/>
        <v>308822.84979999997</v>
      </c>
    </row>
    <row r="15" spans="1:13" s="54" customFormat="1" ht="38.4" customHeight="1" x14ac:dyDescent="0.25">
      <c r="A15" s="21" t="s">
        <v>625</v>
      </c>
      <c r="B15" s="28" t="s">
        <v>226</v>
      </c>
      <c r="C15" s="3" t="s">
        <v>37</v>
      </c>
      <c r="D15" s="19">
        <f>200+60+17.394+105+116.6+178.1+190+110+20</f>
        <v>997.09400000000005</v>
      </c>
      <c r="E15" s="24">
        <v>500</v>
      </c>
      <c r="F15" s="24">
        <v>500</v>
      </c>
      <c r="J15" s="60"/>
      <c r="K15" s="60"/>
      <c r="L15" s="60"/>
      <c r="M15" s="60"/>
    </row>
    <row r="16" spans="1:13" s="54" customFormat="1" ht="34.200000000000003" hidden="1" customHeight="1" x14ac:dyDescent="0.25">
      <c r="A16" s="21" t="s">
        <v>626</v>
      </c>
      <c r="B16" s="28" t="s">
        <v>226</v>
      </c>
      <c r="C16" s="3" t="s">
        <v>37</v>
      </c>
      <c r="D16" s="19"/>
      <c r="E16" s="19">
        <v>0</v>
      </c>
      <c r="F16" s="19">
        <v>0</v>
      </c>
      <c r="J16" s="60"/>
      <c r="K16" s="60"/>
      <c r="L16" s="60"/>
      <c r="M16" s="60"/>
    </row>
    <row r="17" spans="1:12" s="54" customFormat="1" ht="40.950000000000003" hidden="1" customHeight="1" x14ac:dyDescent="0.25">
      <c r="A17" s="15" t="s">
        <v>322</v>
      </c>
      <c r="B17" s="57" t="s">
        <v>226</v>
      </c>
      <c r="C17" s="129" t="s">
        <v>323</v>
      </c>
      <c r="D17" s="128">
        <f>D18+D19</f>
        <v>0</v>
      </c>
      <c r="E17" s="128"/>
      <c r="F17" s="128"/>
    </row>
    <row r="18" spans="1:12" s="54" customFormat="1" ht="62.25" hidden="1" customHeight="1" x14ac:dyDescent="0.25">
      <c r="A18" s="21" t="s">
        <v>340</v>
      </c>
      <c r="B18" s="28" t="s">
        <v>226</v>
      </c>
      <c r="C18" s="3" t="s">
        <v>324</v>
      </c>
      <c r="D18" s="19"/>
      <c r="E18" s="19"/>
      <c r="F18" s="19"/>
    </row>
    <row r="19" spans="1:12" s="54" customFormat="1" ht="41.4" hidden="1" customHeight="1" x14ac:dyDescent="0.25">
      <c r="A19" s="21" t="s">
        <v>385</v>
      </c>
      <c r="B19" s="28" t="s">
        <v>226</v>
      </c>
      <c r="C19" s="3" t="s">
        <v>379</v>
      </c>
      <c r="D19" s="19"/>
      <c r="E19" s="19"/>
      <c r="F19" s="19"/>
    </row>
    <row r="20" spans="1:12" s="54" customFormat="1" ht="29.4" customHeight="1" x14ac:dyDescent="0.25">
      <c r="A20" s="2" t="s">
        <v>595</v>
      </c>
      <c r="B20" s="3" t="s">
        <v>226</v>
      </c>
      <c r="C20" s="3" t="s">
        <v>438</v>
      </c>
      <c r="D20" s="19">
        <v>935</v>
      </c>
      <c r="E20" s="19">
        <v>0</v>
      </c>
      <c r="F20" s="19">
        <v>0</v>
      </c>
      <c r="G20" s="60"/>
    </row>
    <row r="21" spans="1:12" s="54" customFormat="1" ht="43.5" hidden="1" customHeight="1" x14ac:dyDescent="0.25">
      <c r="A21" s="55" t="s">
        <v>367</v>
      </c>
      <c r="B21" s="28"/>
      <c r="C21" s="116"/>
      <c r="D21" s="20">
        <f>D22+D23</f>
        <v>0</v>
      </c>
      <c r="E21" s="20">
        <f>E22+E23</f>
        <v>0</v>
      </c>
      <c r="F21" s="20">
        <f>F22+F23</f>
        <v>0</v>
      </c>
      <c r="G21" s="60"/>
      <c r="I21" s="60"/>
      <c r="J21" s="60"/>
      <c r="K21" s="60"/>
      <c r="L21" s="60"/>
    </row>
    <row r="22" spans="1:12" s="54" customFormat="1" ht="46.95" hidden="1" customHeight="1" x14ac:dyDescent="0.25">
      <c r="A22" s="21" t="s">
        <v>368</v>
      </c>
      <c r="B22" s="28" t="s">
        <v>462</v>
      </c>
      <c r="C22" s="3" t="s">
        <v>378</v>
      </c>
      <c r="D22" s="19"/>
      <c r="E22" s="19"/>
      <c r="F22" s="19"/>
      <c r="G22" s="60"/>
    </row>
    <row r="23" spans="1:12" s="54" customFormat="1" ht="55.95" hidden="1" customHeight="1" x14ac:dyDescent="0.25">
      <c r="A23" s="2" t="s">
        <v>369</v>
      </c>
      <c r="B23" s="3" t="s">
        <v>117</v>
      </c>
      <c r="C23" s="3" t="s">
        <v>582</v>
      </c>
      <c r="D23" s="19"/>
      <c r="E23" s="19">
        <v>0</v>
      </c>
      <c r="F23" s="19">
        <v>0</v>
      </c>
      <c r="G23" s="60"/>
      <c r="H23" s="60"/>
      <c r="I23" s="60"/>
      <c r="J23" s="60"/>
      <c r="K23" s="60"/>
    </row>
    <row r="24" spans="1:12" s="7" customFormat="1" ht="71.25" hidden="1" customHeight="1" x14ac:dyDescent="0.25">
      <c r="A24" s="2" t="s">
        <v>369</v>
      </c>
      <c r="B24" s="3" t="s">
        <v>117</v>
      </c>
      <c r="C24" s="3" t="s">
        <v>379</v>
      </c>
      <c r="D24" s="19"/>
      <c r="E24" s="19"/>
      <c r="F24" s="19"/>
    </row>
    <row r="25" spans="1:12" s="54" customFormat="1" ht="30.75" customHeight="1" x14ac:dyDescent="0.25">
      <c r="A25" s="55" t="s">
        <v>489</v>
      </c>
      <c r="B25" s="56" t="s">
        <v>226</v>
      </c>
      <c r="C25" s="116"/>
      <c r="D25" s="20">
        <f>D26+D27</f>
        <v>22.605999999999995</v>
      </c>
      <c r="E25" s="20">
        <f>E26+E27</f>
        <v>0</v>
      </c>
      <c r="F25" s="20">
        <f>F26+F27</f>
        <v>0</v>
      </c>
      <c r="I25" s="60">
        <f>D15+D20+D27+D57+D59+D65+D71+D73+D80+D88+D95+D98+D107+D114+D122+D139+D143+D156+D170+D173+D178+D195+D196+D201+D209+D217+D219+D220+D222+D223+D228+D236+D239+D242+D245+D251+D260+D264+D265+D271+D273+D274+D275+D277+D282+D286+D292+D293+D296+D298</f>
        <v>79713.856009999989</v>
      </c>
      <c r="J25" s="60"/>
      <c r="K25" s="60"/>
    </row>
    <row r="26" spans="1:12" s="54" customFormat="1" ht="30" hidden="1" customHeight="1" x14ac:dyDescent="0.25">
      <c r="A26" s="21" t="s">
        <v>481</v>
      </c>
      <c r="B26" s="28" t="s">
        <v>226</v>
      </c>
      <c r="C26" s="3" t="s">
        <v>482</v>
      </c>
      <c r="D26" s="19"/>
      <c r="E26" s="19"/>
      <c r="F26" s="19"/>
      <c r="G26" s="60"/>
      <c r="H26" s="60"/>
    </row>
    <row r="27" spans="1:12" s="54" customFormat="1" ht="45.6" customHeight="1" x14ac:dyDescent="0.25">
      <c r="A27" s="2" t="s">
        <v>424</v>
      </c>
      <c r="B27" s="3" t="s">
        <v>226</v>
      </c>
      <c r="C27" s="3" t="s">
        <v>583</v>
      </c>
      <c r="D27" s="19">
        <f>100-17.394-60</f>
        <v>22.605999999999995</v>
      </c>
      <c r="E27" s="19">
        <v>0</v>
      </c>
      <c r="F27" s="19">
        <v>0</v>
      </c>
      <c r="G27" s="60"/>
      <c r="H27" s="60"/>
      <c r="I27" s="60"/>
      <c r="J27" s="60"/>
      <c r="K27" s="60"/>
      <c r="L27" s="60"/>
    </row>
    <row r="28" spans="1:12" s="54" customFormat="1" ht="32.4" customHeight="1" x14ac:dyDescent="0.25">
      <c r="A28" s="130" t="s">
        <v>537</v>
      </c>
      <c r="B28" s="116" t="s">
        <v>226</v>
      </c>
      <c r="C28" s="116"/>
      <c r="D28" s="20">
        <f>D29+D31+D34</f>
        <v>6000</v>
      </c>
      <c r="E28" s="20">
        <f>E29+E30</f>
        <v>0</v>
      </c>
      <c r="F28" s="20">
        <f>F29+F30</f>
        <v>0</v>
      </c>
      <c r="G28" s="60"/>
      <c r="I28" s="60"/>
      <c r="J28" s="60"/>
      <c r="K28" s="60"/>
      <c r="L28" s="60"/>
    </row>
    <row r="29" spans="1:12" s="54" customFormat="1" ht="45.6" hidden="1" customHeight="1" x14ac:dyDescent="0.25">
      <c r="A29" s="2" t="s">
        <v>538</v>
      </c>
      <c r="B29" s="3" t="s">
        <v>226</v>
      </c>
      <c r="C29" s="3" t="s">
        <v>599</v>
      </c>
      <c r="D29" s="19">
        <f>5940-5940</f>
        <v>0</v>
      </c>
      <c r="E29" s="19">
        <v>0</v>
      </c>
      <c r="F29" s="19">
        <v>0</v>
      </c>
      <c r="G29" s="60"/>
      <c r="I29" s="60"/>
      <c r="J29" s="60"/>
      <c r="K29" s="60"/>
      <c r="L29" s="60"/>
    </row>
    <row r="30" spans="1:12" s="54" customFormat="1" ht="45.6" hidden="1" customHeight="1" x14ac:dyDescent="0.25">
      <c r="A30" s="2" t="s">
        <v>540</v>
      </c>
      <c r="B30" s="3" t="s">
        <v>226</v>
      </c>
      <c r="C30" s="3" t="s">
        <v>600</v>
      </c>
      <c r="D30" s="19">
        <f>60-60</f>
        <v>0</v>
      </c>
      <c r="E30" s="19">
        <v>0</v>
      </c>
      <c r="F30" s="19">
        <v>0</v>
      </c>
      <c r="G30" s="60"/>
      <c r="I30" s="60"/>
      <c r="J30" s="60"/>
      <c r="K30" s="60"/>
      <c r="L30" s="60"/>
    </row>
    <row r="31" spans="1:12" s="76" customFormat="1" ht="45.6" customHeight="1" x14ac:dyDescent="0.25">
      <c r="A31" s="18" t="s">
        <v>1105</v>
      </c>
      <c r="B31" s="121" t="s">
        <v>226</v>
      </c>
      <c r="C31" s="121"/>
      <c r="D31" s="134">
        <f>D32+D33</f>
        <v>3000</v>
      </c>
      <c r="E31" s="134">
        <f t="shared" ref="E31:F31" si="3">E32+E33</f>
        <v>0</v>
      </c>
      <c r="F31" s="134">
        <f t="shared" si="3"/>
        <v>0</v>
      </c>
      <c r="G31" s="75"/>
      <c r="I31" s="75"/>
      <c r="J31" s="75"/>
      <c r="K31" s="75"/>
      <c r="L31" s="75"/>
    </row>
    <row r="32" spans="1:12" s="54" customFormat="1" ht="45.6" customHeight="1" x14ac:dyDescent="0.25">
      <c r="A32" s="2" t="s">
        <v>1102</v>
      </c>
      <c r="B32" s="3" t="s">
        <v>226</v>
      </c>
      <c r="C32" s="3" t="s">
        <v>1103</v>
      </c>
      <c r="D32" s="19">
        <v>2970</v>
      </c>
      <c r="E32" s="19">
        <v>0</v>
      </c>
      <c r="F32" s="19">
        <v>0</v>
      </c>
      <c r="G32" s="60"/>
      <c r="I32" s="60"/>
      <c r="J32" s="60"/>
      <c r="K32" s="60"/>
      <c r="L32" s="60"/>
    </row>
    <row r="33" spans="1:12" s="54" customFormat="1" ht="45.6" customHeight="1" x14ac:dyDescent="0.25">
      <c r="A33" s="2" t="s">
        <v>1104</v>
      </c>
      <c r="B33" s="3" t="s">
        <v>226</v>
      </c>
      <c r="C33" s="3" t="s">
        <v>1103</v>
      </c>
      <c r="D33" s="19">
        <v>30</v>
      </c>
      <c r="E33" s="19">
        <v>0</v>
      </c>
      <c r="F33" s="19">
        <v>0</v>
      </c>
      <c r="G33" s="60"/>
      <c r="I33" s="60"/>
      <c r="J33" s="60"/>
      <c r="K33" s="60"/>
      <c r="L33" s="60"/>
    </row>
    <row r="34" spans="1:12" s="76" customFormat="1" ht="45.6" customHeight="1" x14ac:dyDescent="0.25">
      <c r="A34" s="18" t="s">
        <v>1106</v>
      </c>
      <c r="B34" s="121"/>
      <c r="C34" s="500"/>
      <c r="D34" s="134">
        <f>D35+D36</f>
        <v>3000</v>
      </c>
      <c r="E34" s="134">
        <f t="shared" ref="E34:F34" si="4">E35+E36</f>
        <v>0</v>
      </c>
      <c r="F34" s="134">
        <f t="shared" si="4"/>
        <v>0</v>
      </c>
      <c r="G34" s="75"/>
      <c r="I34" s="75"/>
      <c r="J34" s="75"/>
      <c r="K34" s="75"/>
      <c r="L34" s="75"/>
    </row>
    <row r="35" spans="1:12" s="54" customFormat="1" ht="55.2" customHeight="1" x14ac:dyDescent="0.25">
      <c r="A35" s="2" t="s">
        <v>1108</v>
      </c>
      <c r="B35" s="3" t="s">
        <v>226</v>
      </c>
      <c r="C35" s="3" t="s">
        <v>1107</v>
      </c>
      <c r="D35" s="19">
        <v>2970</v>
      </c>
      <c r="E35" s="19">
        <v>0</v>
      </c>
      <c r="F35" s="19">
        <v>0</v>
      </c>
      <c r="G35" s="60"/>
      <c r="I35" s="60"/>
      <c r="J35" s="60"/>
      <c r="K35" s="60"/>
      <c r="L35" s="60"/>
    </row>
    <row r="36" spans="1:12" s="54" customFormat="1" ht="58.95" customHeight="1" x14ac:dyDescent="0.25">
      <c r="A36" s="2" t="s">
        <v>1109</v>
      </c>
      <c r="B36" s="3" t="s">
        <v>226</v>
      </c>
      <c r="C36" s="3" t="s">
        <v>1107</v>
      </c>
      <c r="D36" s="19">
        <v>30</v>
      </c>
      <c r="E36" s="19">
        <v>0</v>
      </c>
      <c r="F36" s="19">
        <v>0</v>
      </c>
      <c r="G36" s="60"/>
      <c r="I36" s="60"/>
      <c r="J36" s="60"/>
      <c r="K36" s="60"/>
      <c r="L36" s="60"/>
    </row>
    <row r="37" spans="1:12" s="54" customFormat="1" ht="45.6" customHeight="1" x14ac:dyDescent="0.25">
      <c r="A37" s="130" t="s">
        <v>1093</v>
      </c>
      <c r="B37" s="116" t="s">
        <v>226</v>
      </c>
      <c r="C37" s="116"/>
      <c r="D37" s="20">
        <f>D38+D39+D40+D43</f>
        <v>3030.3030399999998</v>
      </c>
      <c r="E37" s="20">
        <f t="shared" ref="E37:F37" si="5">E38+E39</f>
        <v>0</v>
      </c>
      <c r="F37" s="20">
        <f t="shared" si="5"/>
        <v>0</v>
      </c>
      <c r="G37" s="60"/>
      <c r="I37" s="60"/>
      <c r="J37" s="60"/>
      <c r="K37" s="60"/>
      <c r="L37" s="60"/>
    </row>
    <row r="38" spans="1:12" s="54" customFormat="1" ht="45.6" hidden="1" customHeight="1" x14ac:dyDescent="0.25">
      <c r="A38" s="495" t="s">
        <v>1095</v>
      </c>
      <c r="B38" s="3" t="s">
        <v>226</v>
      </c>
      <c r="C38" s="3" t="s">
        <v>1097</v>
      </c>
      <c r="D38" s="517">
        <f>3000-3000</f>
        <v>0</v>
      </c>
      <c r="E38" s="19">
        <v>0</v>
      </c>
      <c r="F38" s="19">
        <v>0</v>
      </c>
      <c r="G38" s="60"/>
      <c r="H38" s="54">
        <v>1500</v>
      </c>
      <c r="I38" s="60">
        <f>H38/99</f>
        <v>15.151515151515152</v>
      </c>
      <c r="J38" s="60"/>
      <c r="K38" s="60"/>
      <c r="L38" s="60"/>
    </row>
    <row r="39" spans="1:12" s="54" customFormat="1" ht="45.6" hidden="1" customHeight="1" x14ac:dyDescent="0.25">
      <c r="A39" s="2" t="s">
        <v>1096</v>
      </c>
      <c r="B39" s="3" t="s">
        <v>226</v>
      </c>
      <c r="C39" s="133" t="s">
        <v>1094</v>
      </c>
      <c r="D39" s="517">
        <f>15.15152*2-30.30304</f>
        <v>0</v>
      </c>
      <c r="E39" s="19">
        <v>0</v>
      </c>
      <c r="F39" s="19">
        <v>0</v>
      </c>
      <c r="G39" s="60"/>
      <c r="I39" s="60"/>
      <c r="J39" s="60"/>
      <c r="K39" s="60"/>
      <c r="L39" s="60"/>
    </row>
    <row r="40" spans="1:12" s="76" customFormat="1" ht="48.6" customHeight="1" x14ac:dyDescent="0.25">
      <c r="A40" s="503" t="s">
        <v>1110</v>
      </c>
      <c r="B40" s="3" t="s">
        <v>226</v>
      </c>
      <c r="C40" s="509"/>
      <c r="D40" s="502">
        <f>D41+D42</f>
        <v>1515.1515199999999</v>
      </c>
      <c r="E40" s="502">
        <f t="shared" ref="E40:F40" si="6">E41+E42</f>
        <v>0</v>
      </c>
      <c r="F40" s="502">
        <f t="shared" si="6"/>
        <v>0</v>
      </c>
      <c r="G40" s="75"/>
      <c r="I40" s="75"/>
      <c r="J40" s="75"/>
      <c r="K40" s="75"/>
      <c r="L40" s="75"/>
    </row>
    <row r="41" spans="1:12" s="54" customFormat="1" ht="45.6" customHeight="1" x14ac:dyDescent="0.25">
      <c r="A41" s="2" t="s">
        <v>1115</v>
      </c>
      <c r="B41" s="3" t="s">
        <v>226</v>
      </c>
      <c r="C41" s="133" t="s">
        <v>1111</v>
      </c>
      <c r="D41" s="517">
        <f>1500</f>
        <v>1500</v>
      </c>
      <c r="E41" s="19">
        <v>0</v>
      </c>
      <c r="F41" s="19">
        <v>0</v>
      </c>
      <c r="G41" s="60"/>
      <c r="I41" s="60"/>
      <c r="J41" s="60"/>
      <c r="K41" s="60"/>
      <c r="L41" s="60"/>
    </row>
    <row r="42" spans="1:12" s="54" customFormat="1" ht="53.4" customHeight="1" x14ac:dyDescent="0.25">
      <c r="A42" s="2" t="s">
        <v>1116</v>
      </c>
      <c r="B42" s="3" t="s">
        <v>226</v>
      </c>
      <c r="C42" s="133" t="s">
        <v>1111</v>
      </c>
      <c r="D42" s="517">
        <v>15.15152</v>
      </c>
      <c r="E42" s="19">
        <v>0</v>
      </c>
      <c r="F42" s="19">
        <v>0</v>
      </c>
      <c r="G42" s="60"/>
      <c r="I42" s="60"/>
      <c r="J42" s="60"/>
      <c r="K42" s="60"/>
      <c r="L42" s="60"/>
    </row>
    <row r="43" spans="1:12" s="76" customFormat="1" ht="51.6" customHeight="1" x14ac:dyDescent="0.25">
      <c r="A43" s="503" t="s">
        <v>1112</v>
      </c>
      <c r="B43" s="121"/>
      <c r="C43" s="501"/>
      <c r="D43" s="502">
        <f>D44+D45</f>
        <v>1515.1515199999999</v>
      </c>
      <c r="E43" s="502">
        <f t="shared" ref="E43:F43" si="7">E44+E45</f>
        <v>0</v>
      </c>
      <c r="F43" s="502">
        <f t="shared" si="7"/>
        <v>0</v>
      </c>
      <c r="G43" s="75"/>
      <c r="I43" s="75"/>
      <c r="J43" s="75"/>
      <c r="K43" s="75"/>
      <c r="L43" s="75"/>
    </row>
    <row r="44" spans="1:12" s="54" customFormat="1" ht="54" customHeight="1" x14ac:dyDescent="0.25">
      <c r="A44" s="504" t="s">
        <v>1117</v>
      </c>
      <c r="B44" s="3" t="s">
        <v>226</v>
      </c>
      <c r="C44" s="133" t="s">
        <v>1113</v>
      </c>
      <c r="D44" s="517">
        <f>1500</f>
        <v>1500</v>
      </c>
      <c r="E44" s="19">
        <v>0</v>
      </c>
      <c r="F44" s="19">
        <v>0</v>
      </c>
      <c r="G44" s="60"/>
      <c r="I44" s="60"/>
      <c r="J44" s="60"/>
      <c r="K44" s="60"/>
      <c r="L44" s="60"/>
    </row>
    <row r="45" spans="1:12" s="54" customFormat="1" ht="51.75" customHeight="1" x14ac:dyDescent="0.25">
      <c r="A45" s="504" t="s">
        <v>1118</v>
      </c>
      <c r="B45" s="3" t="s">
        <v>226</v>
      </c>
      <c r="C45" s="133" t="s">
        <v>1113</v>
      </c>
      <c r="D45" s="517">
        <v>15.15152</v>
      </c>
      <c r="E45" s="19">
        <v>0</v>
      </c>
      <c r="F45" s="19">
        <v>0</v>
      </c>
      <c r="G45" s="60"/>
      <c r="I45" s="60"/>
      <c r="J45" s="60"/>
      <c r="K45" s="60"/>
      <c r="L45" s="60"/>
    </row>
    <row r="46" spans="1:12" ht="41.4" customHeight="1" x14ac:dyDescent="0.25">
      <c r="A46" s="55" t="s">
        <v>546</v>
      </c>
      <c r="B46" s="56" t="s">
        <v>226</v>
      </c>
      <c r="C46" s="518" t="s">
        <v>38</v>
      </c>
      <c r="D46" s="20">
        <f>D47+D48</f>
        <v>119409.59075</v>
      </c>
      <c r="E46" s="20">
        <f>E47+E48</f>
        <v>36003.372820000004</v>
      </c>
      <c r="F46" s="20">
        <f>F47+F48</f>
        <v>24347.117010000009</v>
      </c>
      <c r="I46" s="50"/>
      <c r="J46" s="50"/>
      <c r="K46" s="50"/>
    </row>
    <row r="47" spans="1:12" ht="58.5" customHeight="1" x14ac:dyDescent="0.25">
      <c r="A47" s="21" t="s">
        <v>547</v>
      </c>
      <c r="B47" s="28" t="s">
        <v>226</v>
      </c>
      <c r="C47" s="3" t="s">
        <v>38</v>
      </c>
      <c r="D47" s="19">
        <f>101066.251+0.0769+10000+655.66285+187.6+5000</f>
        <v>116909.59075</v>
      </c>
      <c r="E47" s="19">
        <f>100989.951-64695.77012-38-60.60606-192.202</f>
        <v>36003.372820000004</v>
      </c>
      <c r="F47" s="19">
        <f>100989.951-76544.22793-38-60.60606</f>
        <v>24347.117010000009</v>
      </c>
      <c r="G47" s="5"/>
      <c r="I47" s="50"/>
      <c r="J47" s="50"/>
      <c r="K47" s="50"/>
    </row>
    <row r="48" spans="1:12" ht="47.4" customHeight="1" x14ac:dyDescent="0.25">
      <c r="A48" s="21" t="s">
        <v>548</v>
      </c>
      <c r="B48" s="28" t="s">
        <v>226</v>
      </c>
      <c r="C48" s="3" t="s">
        <v>38</v>
      </c>
      <c r="D48" s="19">
        <v>2500</v>
      </c>
      <c r="E48" s="19">
        <v>0</v>
      </c>
      <c r="F48" s="19">
        <v>0</v>
      </c>
      <c r="G48" s="5"/>
    </row>
    <row r="49" spans="1:13" ht="54.75" customHeight="1" x14ac:dyDescent="0.25">
      <c r="A49" s="21" t="s">
        <v>87</v>
      </c>
      <c r="B49" s="28" t="s">
        <v>226</v>
      </c>
      <c r="C49" s="3" t="s">
        <v>47</v>
      </c>
      <c r="D49" s="19">
        <f>'2  '!D73</f>
        <v>251389.158</v>
      </c>
      <c r="E49" s="19">
        <f>'2  '!E73</f>
        <v>267175.44</v>
      </c>
      <c r="F49" s="19">
        <f>'2  '!F73</f>
        <v>283183.27899999998</v>
      </c>
      <c r="G49" s="5"/>
      <c r="J49" s="50"/>
    </row>
    <row r="50" spans="1:13" ht="57.75" customHeight="1" x14ac:dyDescent="0.25">
      <c r="A50" s="21" t="s">
        <v>341</v>
      </c>
      <c r="B50" s="28" t="s">
        <v>226</v>
      </c>
      <c r="C50" s="3" t="s">
        <v>325</v>
      </c>
      <c r="D50" s="19">
        <f>'2  '!D77-7534.25</f>
        <v>4200</v>
      </c>
      <c r="E50" s="19">
        <f>'2  '!E77-11734.25</f>
        <v>0</v>
      </c>
      <c r="F50" s="19">
        <f>'2  '!F77-11734.25</f>
        <v>0</v>
      </c>
      <c r="G50" s="5"/>
      <c r="J50" s="50"/>
    </row>
    <row r="51" spans="1:13" ht="48" customHeight="1" x14ac:dyDescent="0.25">
      <c r="A51" s="21" t="s">
        <v>334</v>
      </c>
      <c r="B51" s="28" t="s">
        <v>226</v>
      </c>
      <c r="C51" s="3" t="s">
        <v>1068</v>
      </c>
      <c r="D51" s="19">
        <f>'2  '!D71</f>
        <v>1470</v>
      </c>
      <c r="E51" s="24">
        <f>'2  '!E71</f>
        <v>1130</v>
      </c>
      <c r="F51" s="24">
        <f>'2  '!F71</f>
        <v>0</v>
      </c>
    </row>
    <row r="52" spans="1:13" ht="44.7" customHeight="1" x14ac:dyDescent="0.25">
      <c r="A52" s="21" t="s">
        <v>415</v>
      </c>
      <c r="B52" s="28" t="s">
        <v>226</v>
      </c>
      <c r="C52" s="3" t="s">
        <v>535</v>
      </c>
      <c r="D52" s="19">
        <f>'2  '!D87-11380.55</f>
        <v>4500</v>
      </c>
      <c r="E52" s="19">
        <f>'2  '!E87-15880.55</f>
        <v>0</v>
      </c>
      <c r="F52" s="19">
        <f>'2  '!F87-15533.75</f>
        <v>0</v>
      </c>
    </row>
    <row r="53" spans="1:13" ht="43.2" customHeight="1" x14ac:dyDescent="0.25">
      <c r="A53" s="21" t="s">
        <v>412</v>
      </c>
      <c r="B53" s="28" t="s">
        <v>226</v>
      </c>
      <c r="C53" s="3" t="s">
        <v>416</v>
      </c>
      <c r="D53" s="19">
        <f>'2  '!D97</f>
        <v>24804</v>
      </c>
      <c r="E53" s="19">
        <f>'2  '!E97</f>
        <v>21411</v>
      </c>
      <c r="F53" s="19">
        <f>'2  '!F97</f>
        <v>21411</v>
      </c>
    </row>
    <row r="54" spans="1:13" ht="58.95" customHeight="1" x14ac:dyDescent="0.25">
      <c r="A54" s="2" t="s">
        <v>603</v>
      </c>
      <c r="B54" s="3" t="s">
        <v>226</v>
      </c>
      <c r="C54" s="3" t="s">
        <v>1060</v>
      </c>
      <c r="D54" s="81">
        <f>'2  '!D96</f>
        <v>1249.4748</v>
      </c>
      <c r="E54" s="81">
        <f>'2  '!E96</f>
        <v>3382.85664</v>
      </c>
      <c r="F54" s="81">
        <f>'2  '!F96</f>
        <v>4228.5708000000004</v>
      </c>
      <c r="G54" s="50">
        <f>D54+D53+D52+D51+D50+D49</f>
        <v>287612.63280000002</v>
      </c>
      <c r="H54" s="50">
        <f t="shared" ref="H54:I54" si="8">E54+E53+E52+E51+E50+E49</f>
        <v>293099.29664000002</v>
      </c>
      <c r="I54" s="50">
        <f t="shared" si="8"/>
        <v>308822.84979999997</v>
      </c>
    </row>
    <row r="55" spans="1:13" s="59" customFormat="1" ht="33" customHeight="1" x14ac:dyDescent="0.3">
      <c r="A55" s="118" t="s">
        <v>169</v>
      </c>
      <c r="B55" s="119" t="s">
        <v>226</v>
      </c>
      <c r="C55" s="119" t="s">
        <v>31</v>
      </c>
      <c r="D55" s="120">
        <f>D56+D59+D60+D63+D64</f>
        <v>102851.103</v>
      </c>
      <c r="E55" s="120">
        <f>E56+E59+E60+E63+E64</f>
        <v>96583.62999999999</v>
      </c>
      <c r="F55" s="120">
        <f>F56+F59+F60+F63+F64</f>
        <v>100032.16900000001</v>
      </c>
    </row>
    <row r="56" spans="1:13" s="59" customFormat="1" ht="33" customHeight="1" x14ac:dyDescent="0.3">
      <c r="A56" s="55" t="s">
        <v>170</v>
      </c>
      <c r="B56" s="121" t="s">
        <v>226</v>
      </c>
      <c r="C56" s="3" t="s">
        <v>32</v>
      </c>
      <c r="D56" s="134">
        <f>D57+D58</f>
        <v>150</v>
      </c>
      <c r="E56" s="134">
        <f>E57+E58</f>
        <v>200</v>
      </c>
      <c r="F56" s="134">
        <f>F57+F58</f>
        <v>200</v>
      </c>
    </row>
    <row r="57" spans="1:13" s="59" customFormat="1" ht="33" customHeight="1" x14ac:dyDescent="0.3">
      <c r="A57" s="2" t="s">
        <v>627</v>
      </c>
      <c r="B57" s="129" t="s">
        <v>226</v>
      </c>
      <c r="C57" s="3" t="s">
        <v>32</v>
      </c>
      <c r="D57" s="19">
        <v>150</v>
      </c>
      <c r="E57" s="19">
        <v>200</v>
      </c>
      <c r="F57" s="19">
        <v>200</v>
      </c>
    </row>
    <row r="58" spans="1:13" ht="30.6" hidden="1" customHeight="1" x14ac:dyDescent="0.25">
      <c r="A58" s="2" t="s">
        <v>628</v>
      </c>
      <c r="B58" s="28" t="s">
        <v>226</v>
      </c>
      <c r="C58" s="3" t="s">
        <v>32</v>
      </c>
      <c r="D58" s="19"/>
      <c r="E58" s="19"/>
      <c r="F58" s="19"/>
      <c r="G58" s="50"/>
    </row>
    <row r="59" spans="1:13" ht="33.6" customHeight="1" x14ac:dyDescent="0.25">
      <c r="A59" s="2" t="s">
        <v>594</v>
      </c>
      <c r="B59" s="3" t="s">
        <v>226</v>
      </c>
      <c r="C59" s="3" t="s">
        <v>439</v>
      </c>
      <c r="D59" s="19">
        <v>305</v>
      </c>
      <c r="E59" s="19">
        <v>0</v>
      </c>
      <c r="F59" s="19">
        <v>0</v>
      </c>
      <c r="G59" s="50"/>
      <c r="H59" s="50"/>
    </row>
    <row r="60" spans="1:13" ht="59.4" customHeight="1" x14ac:dyDescent="0.25">
      <c r="A60" s="55" t="s">
        <v>549</v>
      </c>
      <c r="B60" s="56" t="s">
        <v>226</v>
      </c>
      <c r="C60" s="116" t="s">
        <v>33</v>
      </c>
      <c r="D60" s="20">
        <f>D61+D62</f>
        <v>44688.356</v>
      </c>
      <c r="E60" s="35">
        <f>E61+E62</f>
        <v>35288.356</v>
      </c>
      <c r="F60" s="35">
        <f>F61+F62</f>
        <v>35288.356</v>
      </c>
      <c r="J60" s="50"/>
      <c r="K60" s="50"/>
      <c r="L60" s="50"/>
      <c r="M60" s="50"/>
    </row>
    <row r="61" spans="1:13" ht="59.4" customHeight="1" x14ac:dyDescent="0.25">
      <c r="A61" s="21" t="s">
        <v>550</v>
      </c>
      <c r="B61" s="28" t="s">
        <v>226</v>
      </c>
      <c r="C61" s="3" t="s">
        <v>33</v>
      </c>
      <c r="D61" s="19">
        <f>35288.356+5000+300+3100</f>
        <v>43688.356</v>
      </c>
      <c r="E61" s="19">
        <v>35288.356</v>
      </c>
      <c r="F61" s="19">
        <v>35288.356</v>
      </c>
      <c r="H61" s="50"/>
    </row>
    <row r="62" spans="1:13" ht="59.4" customHeight="1" x14ac:dyDescent="0.25">
      <c r="A62" s="21" t="s">
        <v>551</v>
      </c>
      <c r="B62" s="28" t="s">
        <v>226</v>
      </c>
      <c r="C62" s="3" t="s">
        <v>33</v>
      </c>
      <c r="D62" s="19">
        <v>1000</v>
      </c>
      <c r="E62" s="24">
        <v>0</v>
      </c>
      <c r="F62" s="24">
        <v>0</v>
      </c>
    </row>
    <row r="63" spans="1:13" ht="45.6" customHeight="1" x14ac:dyDescent="0.25">
      <c r="A63" s="21" t="s">
        <v>88</v>
      </c>
      <c r="B63" s="28" t="s">
        <v>226</v>
      </c>
      <c r="C63" s="3" t="s">
        <v>34</v>
      </c>
      <c r="D63" s="19">
        <f>'2  '!D72</f>
        <v>51964.42</v>
      </c>
      <c r="E63" s="19">
        <f>'2  '!E72</f>
        <v>55123.663999999997</v>
      </c>
      <c r="F63" s="19">
        <f>'2  '!F72</f>
        <v>58333.048000000003</v>
      </c>
    </row>
    <row r="64" spans="1:13" ht="58.5" customHeight="1" x14ac:dyDescent="0.25">
      <c r="A64" s="21" t="s">
        <v>89</v>
      </c>
      <c r="B64" s="28" t="s">
        <v>226</v>
      </c>
      <c r="C64" s="3" t="s">
        <v>70</v>
      </c>
      <c r="D64" s="19">
        <f>'2  '!D84</f>
        <v>5743.3270000000002</v>
      </c>
      <c r="E64" s="24">
        <f>'2  '!E84</f>
        <v>5971.61</v>
      </c>
      <c r="F64" s="24">
        <f>'2  '!F84</f>
        <v>6210.7650000000003</v>
      </c>
      <c r="G64" s="50">
        <f>D64+D63</f>
        <v>57707.746999999996</v>
      </c>
      <c r="H64" s="50">
        <f t="shared" ref="H64:I64" si="9">E64+E63</f>
        <v>61095.273999999998</v>
      </c>
      <c r="I64" s="50">
        <f t="shared" si="9"/>
        <v>64543.813000000002</v>
      </c>
    </row>
    <row r="65" spans="1:7" s="59" customFormat="1" ht="16.5" customHeight="1" x14ac:dyDescent="0.3">
      <c r="A65" s="118" t="s">
        <v>171</v>
      </c>
      <c r="B65" s="119" t="s">
        <v>226</v>
      </c>
      <c r="C65" s="119" t="s">
        <v>39</v>
      </c>
      <c r="D65" s="120">
        <f>D66+D67</f>
        <v>1440.96</v>
      </c>
      <c r="E65" s="120">
        <f>E66+E67</f>
        <v>1800</v>
      </c>
      <c r="F65" s="120">
        <f>F66+F67</f>
        <v>1800</v>
      </c>
    </row>
    <row r="66" spans="1:7" ht="17.100000000000001" customHeight="1" x14ac:dyDescent="0.25">
      <c r="A66" s="21" t="s">
        <v>143</v>
      </c>
      <c r="B66" s="28" t="s">
        <v>226</v>
      </c>
      <c r="C66" s="3" t="s">
        <v>40</v>
      </c>
      <c r="D66" s="19">
        <v>250</v>
      </c>
      <c r="E66" s="19">
        <v>300</v>
      </c>
      <c r="F66" s="19">
        <v>300</v>
      </c>
    </row>
    <row r="67" spans="1:7" ht="19.2" customHeight="1" x14ac:dyDescent="0.25">
      <c r="A67" s="21" t="s">
        <v>142</v>
      </c>
      <c r="B67" s="28" t="s">
        <v>226</v>
      </c>
      <c r="C67" s="3" t="s">
        <v>41</v>
      </c>
      <c r="D67" s="19">
        <f>1000+190.96</f>
        <v>1190.96</v>
      </c>
      <c r="E67" s="19">
        <v>1500</v>
      </c>
      <c r="F67" s="19">
        <v>1500</v>
      </c>
      <c r="G67" s="50"/>
    </row>
    <row r="68" spans="1:7" s="59" customFormat="1" ht="17.25" customHeight="1" x14ac:dyDescent="0.3">
      <c r="A68" s="118" t="s">
        <v>172</v>
      </c>
      <c r="B68" s="119" t="s">
        <v>226</v>
      </c>
      <c r="C68" s="119" t="s">
        <v>42</v>
      </c>
      <c r="D68" s="120">
        <f>D69+D73+D74+D75+D81+D83+D82+D78+D84</f>
        <v>30471.999999999996</v>
      </c>
      <c r="E68" s="120">
        <f>E69+E73+E74+E75+E81+E83+E82+E78+E84</f>
        <v>29769.766180000002</v>
      </c>
      <c r="F68" s="120">
        <f>F69+F73+F74+F75+F81+F83+F82+F78+F84</f>
        <v>25387</v>
      </c>
    </row>
    <row r="69" spans="1:7" s="59" customFormat="1" ht="33" customHeight="1" x14ac:dyDescent="0.3">
      <c r="A69" s="34" t="s">
        <v>631</v>
      </c>
      <c r="B69" s="121"/>
      <c r="C69" s="121" t="s">
        <v>452</v>
      </c>
      <c r="D69" s="128">
        <f>D70+D71+D72</f>
        <v>50</v>
      </c>
      <c r="E69" s="128">
        <f>E70+E71+E72</f>
        <v>0</v>
      </c>
      <c r="F69" s="128">
        <f>F70+F71+F72</f>
        <v>0</v>
      </c>
    </row>
    <row r="70" spans="1:7" ht="43.95" hidden="1" customHeight="1" x14ac:dyDescent="0.25">
      <c r="A70" s="21" t="s">
        <v>630</v>
      </c>
      <c r="B70" s="28" t="s">
        <v>117</v>
      </c>
      <c r="C70" s="3" t="s">
        <v>452</v>
      </c>
      <c r="D70" s="19"/>
      <c r="E70" s="24">
        <v>0</v>
      </c>
      <c r="F70" s="24">
        <v>0</v>
      </c>
    </row>
    <row r="71" spans="1:7" ht="37.200000000000003" customHeight="1" x14ac:dyDescent="0.25">
      <c r="A71" s="21" t="s">
        <v>629</v>
      </c>
      <c r="B71" s="28" t="s">
        <v>226</v>
      </c>
      <c r="C71" s="3" t="s">
        <v>452</v>
      </c>
      <c r="D71" s="19">
        <f>25+25</f>
        <v>50</v>
      </c>
      <c r="E71" s="24">
        <v>0</v>
      </c>
      <c r="F71" s="24">
        <v>0</v>
      </c>
    </row>
    <row r="72" spans="1:7" ht="37.200000000000003" hidden="1" customHeight="1" x14ac:dyDescent="0.25">
      <c r="A72" s="21" t="s">
        <v>630</v>
      </c>
      <c r="B72" s="28" t="s">
        <v>226</v>
      </c>
      <c r="C72" s="3" t="s">
        <v>452</v>
      </c>
      <c r="D72" s="19"/>
      <c r="E72" s="24">
        <v>0</v>
      </c>
      <c r="F72" s="24">
        <v>0</v>
      </c>
    </row>
    <row r="73" spans="1:7" s="76" customFormat="1" ht="28.5" customHeight="1" x14ac:dyDescent="0.25">
      <c r="A73" s="18" t="s">
        <v>517</v>
      </c>
      <c r="B73" s="121" t="s">
        <v>226</v>
      </c>
      <c r="C73" s="106" t="s">
        <v>440</v>
      </c>
      <c r="D73" s="134">
        <f>70+65</f>
        <v>135</v>
      </c>
      <c r="E73" s="134">
        <v>0</v>
      </c>
      <c r="F73" s="134">
        <v>0</v>
      </c>
      <c r="G73" s="75"/>
    </row>
    <row r="74" spans="1:7" ht="18" customHeight="1" x14ac:dyDescent="0.25">
      <c r="A74" s="21" t="s">
        <v>525</v>
      </c>
      <c r="B74" s="28" t="s">
        <v>226</v>
      </c>
      <c r="C74" s="6" t="s">
        <v>43</v>
      </c>
      <c r="D74" s="19">
        <f>8835.1-860.767+900+500+135.16218</f>
        <v>9509.4951799999999</v>
      </c>
      <c r="E74" s="19">
        <f t="shared" ref="E74:F74" si="10">8835.1-860.767</f>
        <v>7974.3330000000005</v>
      </c>
      <c r="F74" s="19">
        <f t="shared" si="10"/>
        <v>7974.3330000000005</v>
      </c>
    </row>
    <row r="75" spans="1:7" ht="27" customHeight="1" x14ac:dyDescent="0.25">
      <c r="A75" s="21" t="s">
        <v>460</v>
      </c>
      <c r="B75" s="28" t="s">
        <v>226</v>
      </c>
      <c r="C75" s="6" t="s">
        <v>44</v>
      </c>
      <c r="D75" s="19">
        <f>15758.1-1177.101+1000+500+171.47248</f>
        <v>16252.47148</v>
      </c>
      <c r="E75" s="19">
        <f t="shared" ref="E75:F75" si="11">15758.1-1177.101</f>
        <v>14580.999</v>
      </c>
      <c r="F75" s="19">
        <f t="shared" si="11"/>
        <v>14580.999</v>
      </c>
      <c r="G75" s="50"/>
    </row>
    <row r="76" spans="1:7" ht="21" hidden="1" customHeight="1" x14ac:dyDescent="0.25">
      <c r="A76" s="21" t="s">
        <v>135</v>
      </c>
      <c r="B76" s="28" t="s">
        <v>117</v>
      </c>
      <c r="C76" s="3" t="s">
        <v>45</v>
      </c>
      <c r="D76" s="19"/>
      <c r="E76" s="19"/>
      <c r="F76" s="19"/>
    </row>
    <row r="77" spans="1:7" ht="21" hidden="1" customHeight="1" x14ac:dyDescent="0.25">
      <c r="A77" s="21" t="s">
        <v>136</v>
      </c>
      <c r="B77" s="28" t="s">
        <v>117</v>
      </c>
      <c r="C77" s="3" t="s">
        <v>46</v>
      </c>
      <c r="D77" s="19"/>
      <c r="E77" s="19"/>
      <c r="F77" s="19"/>
    </row>
    <row r="78" spans="1:7" ht="31.95" customHeight="1" x14ac:dyDescent="0.25">
      <c r="A78" s="34" t="s">
        <v>370</v>
      </c>
      <c r="B78" s="31" t="s">
        <v>226</v>
      </c>
      <c r="C78" s="3" t="s">
        <v>452</v>
      </c>
      <c r="D78" s="134">
        <f>D79+D80</f>
        <v>2000</v>
      </c>
      <c r="E78" s="134">
        <f t="shared" ref="E78:F78" si="12">E79+E80</f>
        <v>192.202</v>
      </c>
      <c r="F78" s="134">
        <f t="shared" si="12"/>
        <v>0</v>
      </c>
    </row>
    <row r="79" spans="1:7" ht="42.6" customHeight="1" x14ac:dyDescent="0.25">
      <c r="A79" s="21" t="s">
        <v>371</v>
      </c>
      <c r="B79" s="28" t="s">
        <v>226</v>
      </c>
      <c r="C79" s="6" t="s">
        <v>868</v>
      </c>
      <c r="D79" s="19">
        <f>'2  '!D58</f>
        <v>1980</v>
      </c>
      <c r="E79" s="19">
        <f>'2  '!E58</f>
        <v>0</v>
      </c>
      <c r="F79" s="19">
        <f>'2  '!F58</f>
        <v>0</v>
      </c>
    </row>
    <row r="80" spans="1:7" ht="59.7" customHeight="1" x14ac:dyDescent="0.25">
      <c r="A80" s="21" t="s">
        <v>372</v>
      </c>
      <c r="B80" s="28" t="s">
        <v>226</v>
      </c>
      <c r="C80" s="6" t="s">
        <v>1066</v>
      </c>
      <c r="D80" s="19">
        <v>20</v>
      </c>
      <c r="E80" s="19">
        <v>192.202</v>
      </c>
      <c r="F80" s="19">
        <v>0</v>
      </c>
      <c r="G80" s="454">
        <f>D79/99</f>
        <v>20</v>
      </c>
    </row>
    <row r="81" spans="1:8" ht="38.4" hidden="1" customHeight="1" x14ac:dyDescent="0.25">
      <c r="A81" s="21" t="s">
        <v>552</v>
      </c>
      <c r="B81" s="28" t="s">
        <v>226</v>
      </c>
      <c r="C81" s="3" t="s">
        <v>536</v>
      </c>
      <c r="D81" s="19"/>
      <c r="E81" s="19"/>
      <c r="F81" s="19"/>
    </row>
    <row r="82" spans="1:8" ht="66" customHeight="1" x14ac:dyDescent="0.25">
      <c r="A82" s="2" t="s">
        <v>641</v>
      </c>
      <c r="B82" s="3" t="s">
        <v>226</v>
      </c>
      <c r="C82" s="3" t="s">
        <v>536</v>
      </c>
      <c r="D82" s="19">
        <f>860.767+1177.101-171.47248-135.16218</f>
        <v>1731.2333400000002</v>
      </c>
      <c r="E82" s="19">
        <f t="shared" ref="E82:F82" si="13">860.767+1177.101</f>
        <v>2037.8680000000002</v>
      </c>
      <c r="F82" s="19">
        <f t="shared" si="13"/>
        <v>2037.8680000000002</v>
      </c>
    </row>
    <row r="83" spans="1:8" ht="45" customHeight="1" x14ac:dyDescent="0.25">
      <c r="A83" s="21" t="s">
        <v>613</v>
      </c>
      <c r="B83" s="28" t="s">
        <v>226</v>
      </c>
      <c r="C83" s="3" t="s">
        <v>461</v>
      </c>
      <c r="D83" s="19">
        <v>793.8</v>
      </c>
      <c r="E83" s="19">
        <v>793.8</v>
      </c>
      <c r="F83" s="19">
        <v>793.8</v>
      </c>
    </row>
    <row r="84" spans="1:8" s="76" customFormat="1" ht="79.95" customHeight="1" x14ac:dyDescent="0.25">
      <c r="A84" s="34" t="s">
        <v>1076</v>
      </c>
      <c r="B84" s="31"/>
      <c r="C84" s="121"/>
      <c r="D84" s="134">
        <f>D85+D86</f>
        <v>0</v>
      </c>
      <c r="E84" s="134">
        <f t="shared" ref="E84:F84" si="14">E85+E86</f>
        <v>4190.5641800000003</v>
      </c>
      <c r="F84" s="134">
        <f t="shared" si="14"/>
        <v>0</v>
      </c>
    </row>
    <row r="85" spans="1:8" ht="79.2" customHeight="1" x14ac:dyDescent="0.25">
      <c r="A85" s="21" t="s">
        <v>1077</v>
      </c>
      <c r="B85" s="28" t="s">
        <v>226</v>
      </c>
      <c r="C85" s="3" t="s">
        <v>1075</v>
      </c>
      <c r="D85" s="19">
        <f>'2  '!D68</f>
        <v>0</v>
      </c>
      <c r="E85" s="19">
        <f>'2  '!E68</f>
        <v>4148.6585400000004</v>
      </c>
      <c r="F85" s="19">
        <f>'2  '!F68</f>
        <v>0</v>
      </c>
    </row>
    <row r="86" spans="1:8" ht="79.5" customHeight="1" x14ac:dyDescent="0.25">
      <c r="A86" s="473" t="s">
        <v>1078</v>
      </c>
      <c r="B86" s="28" t="s">
        <v>226</v>
      </c>
      <c r="C86" s="3" t="s">
        <v>1075</v>
      </c>
      <c r="D86" s="19">
        <v>0</v>
      </c>
      <c r="E86" s="19">
        <v>41.905639999999998</v>
      </c>
      <c r="F86" s="19">
        <v>0</v>
      </c>
    </row>
    <row r="87" spans="1:8" s="59" customFormat="1" ht="17.25" customHeight="1" x14ac:dyDescent="0.3">
      <c r="A87" s="118" t="s">
        <v>173</v>
      </c>
      <c r="B87" s="119" t="s">
        <v>226</v>
      </c>
      <c r="C87" s="119" t="s">
        <v>48</v>
      </c>
      <c r="D87" s="120">
        <f>D88</f>
        <v>80</v>
      </c>
      <c r="E87" s="120">
        <f>E88</f>
        <v>50</v>
      </c>
      <c r="F87" s="120">
        <f>F88</f>
        <v>50</v>
      </c>
      <c r="G87" s="58">
        <f>D83+D75+D74</f>
        <v>26555.766660000001</v>
      </c>
    </row>
    <row r="88" spans="1:8" s="10" customFormat="1" ht="17.25" customHeight="1" x14ac:dyDescent="0.25">
      <c r="A88" s="21" t="s">
        <v>423</v>
      </c>
      <c r="B88" s="28" t="s">
        <v>226</v>
      </c>
      <c r="C88" s="3" t="s">
        <v>49</v>
      </c>
      <c r="D88" s="19">
        <f>50+30</f>
        <v>80</v>
      </c>
      <c r="E88" s="24">
        <v>50</v>
      </c>
      <c r="F88" s="24">
        <v>50</v>
      </c>
      <c r="G88" s="61"/>
    </row>
    <row r="89" spans="1:8" s="59" customFormat="1" ht="17.25" customHeight="1" x14ac:dyDescent="0.3">
      <c r="A89" s="118" t="s">
        <v>250</v>
      </c>
      <c r="B89" s="119" t="s">
        <v>226</v>
      </c>
      <c r="C89" s="119" t="s">
        <v>50</v>
      </c>
      <c r="D89" s="120">
        <f>D90+D91</f>
        <v>3671.3712</v>
      </c>
      <c r="E89" s="120">
        <f>E90+E91</f>
        <v>6112.8</v>
      </c>
      <c r="F89" s="120">
        <f>F90+F91</f>
        <v>6112.8</v>
      </c>
    </row>
    <row r="90" spans="1:8" s="10" customFormat="1" ht="45" customHeight="1" x14ac:dyDescent="0.25">
      <c r="A90" s="21" t="s">
        <v>396</v>
      </c>
      <c r="B90" s="28" t="s">
        <v>226</v>
      </c>
      <c r="C90" s="3" t="s">
        <v>51</v>
      </c>
      <c r="D90" s="81">
        <f>'2  '!D74</f>
        <v>3671.3712</v>
      </c>
      <c r="E90" s="62">
        <f>'2  '!E74</f>
        <v>6112.8</v>
      </c>
      <c r="F90" s="62">
        <f>'2  '!F74</f>
        <v>6112.8</v>
      </c>
      <c r="G90" s="61"/>
    </row>
    <row r="91" spans="1:8" s="10" customFormat="1" ht="32.4" hidden="1" customHeight="1" x14ac:dyDescent="0.25">
      <c r="A91" s="21" t="s">
        <v>458</v>
      </c>
      <c r="B91" s="28" t="s">
        <v>226</v>
      </c>
      <c r="C91" s="3" t="s">
        <v>457</v>
      </c>
      <c r="D91" s="19"/>
      <c r="E91" s="24"/>
      <c r="F91" s="24"/>
    </row>
    <row r="92" spans="1:8" s="59" customFormat="1" ht="18.75" customHeight="1" x14ac:dyDescent="0.3">
      <c r="A92" s="118" t="s">
        <v>174</v>
      </c>
      <c r="B92" s="119" t="s">
        <v>226</v>
      </c>
      <c r="C92" s="119" t="s">
        <v>52</v>
      </c>
      <c r="D92" s="120">
        <f>D93+D94</f>
        <v>57317.637539999996</v>
      </c>
      <c r="E92" s="120">
        <f>E93+E94</f>
        <v>48772.7</v>
      </c>
      <c r="F92" s="120">
        <f>F93+F94</f>
        <v>48772.7</v>
      </c>
      <c r="G92" s="58">
        <f>D93+D90+D88+D83+D82+D80+D79+D75+D74+D73+D71+D67+D66+D64+D63+D59+D57+D54+D53+D51+D50+D52+D49+D47+D27+D20+D15+D108+D109+D115+D116+D61+D210+D213</f>
        <v>603984.99529000011</v>
      </c>
    </row>
    <row r="93" spans="1:8" ht="31.5" customHeight="1" x14ac:dyDescent="0.25">
      <c r="A93" s="21" t="s">
        <v>119</v>
      </c>
      <c r="B93" s="28" t="s">
        <v>226</v>
      </c>
      <c r="C93" s="3" t="s">
        <v>53</v>
      </c>
      <c r="D93" s="19">
        <f>48772.7+129.6+199+50+2000+137.5+46+100+3066.06+600+2216.77754</f>
        <v>57317.637539999996</v>
      </c>
      <c r="E93" s="19">
        <v>48772.7</v>
      </c>
      <c r="F93" s="19">
        <v>48772.7</v>
      </c>
      <c r="G93" s="50">
        <f>D95+D98+D110+D117+D118+D137+D122+D144+D145+D196+D201+D211+D212+D217+D223+D226+D229+D236+D239+D240+D243+D247+D264+D265+D271+D272+D273+D274+D275+D277+D282+D286+D292+D293+D296+D298+D299+D301+D302+D305+D306+D307+D310+D311+D314+D259+D260</f>
        <v>291383.18709000002</v>
      </c>
      <c r="H93" s="50">
        <f>G93-13-20</f>
        <v>291350.18709000002</v>
      </c>
    </row>
    <row r="94" spans="1:8" ht="45.6" hidden="1" customHeight="1" x14ac:dyDescent="0.25">
      <c r="A94" s="2" t="s">
        <v>591</v>
      </c>
      <c r="B94" s="3" t="s">
        <v>226</v>
      </c>
      <c r="C94" s="3" t="s">
        <v>53</v>
      </c>
      <c r="D94" s="19">
        <v>0</v>
      </c>
      <c r="E94" s="19">
        <v>0</v>
      </c>
      <c r="F94" s="19">
        <v>0</v>
      </c>
      <c r="G94" s="19"/>
      <c r="H94" s="50"/>
    </row>
    <row r="95" spans="1:8" s="59" customFormat="1" ht="17.25" customHeight="1" x14ac:dyDescent="0.3">
      <c r="A95" s="118" t="s">
        <v>553</v>
      </c>
      <c r="B95" s="119" t="s">
        <v>117</v>
      </c>
      <c r="C95" s="119" t="s">
        <v>23</v>
      </c>
      <c r="D95" s="120">
        <f>D96+D97</f>
        <v>150</v>
      </c>
      <c r="E95" s="120">
        <f>E96+E97</f>
        <v>200</v>
      </c>
      <c r="F95" s="120">
        <f>F96+F97</f>
        <v>250</v>
      </c>
    </row>
    <row r="96" spans="1:8" s="54" customFormat="1" ht="15.75" customHeight="1" x14ac:dyDescent="0.25">
      <c r="A96" s="21" t="s">
        <v>216</v>
      </c>
      <c r="B96" s="114">
        <v>951</v>
      </c>
      <c r="C96" s="3" t="s">
        <v>24</v>
      </c>
      <c r="D96" s="19">
        <v>111</v>
      </c>
      <c r="E96" s="24">
        <v>161</v>
      </c>
      <c r="F96" s="480">
        <v>211</v>
      </c>
      <c r="G96" s="80"/>
    </row>
    <row r="97" spans="1:9" s="10" customFormat="1" ht="15.75" customHeight="1" x14ac:dyDescent="0.25">
      <c r="A97" s="21" t="s">
        <v>202</v>
      </c>
      <c r="B97" s="114">
        <v>951</v>
      </c>
      <c r="C97" s="3" t="s">
        <v>65</v>
      </c>
      <c r="D97" s="19">
        <v>39</v>
      </c>
      <c r="E97" s="24">
        <v>39</v>
      </c>
      <c r="F97" s="24">
        <v>39</v>
      </c>
      <c r="H97" s="61"/>
    </row>
    <row r="98" spans="1:9" s="59" customFormat="1" ht="17.25" customHeight="1" x14ac:dyDescent="0.3">
      <c r="A98" s="118" t="s">
        <v>256</v>
      </c>
      <c r="B98" s="119" t="s">
        <v>117</v>
      </c>
      <c r="C98" s="119" t="s">
        <v>25</v>
      </c>
      <c r="D98" s="120">
        <f>D99</f>
        <v>93</v>
      </c>
      <c r="E98" s="120">
        <f>E99</f>
        <v>120</v>
      </c>
      <c r="F98" s="120">
        <f>F99</f>
        <v>120</v>
      </c>
    </row>
    <row r="99" spans="1:9" s="59" customFormat="1" ht="17.25" customHeight="1" x14ac:dyDescent="0.3">
      <c r="A99" s="21" t="s">
        <v>195</v>
      </c>
      <c r="B99" s="28" t="s">
        <v>117</v>
      </c>
      <c r="C99" s="3" t="s">
        <v>380</v>
      </c>
      <c r="D99" s="19">
        <f>83+10</f>
        <v>93</v>
      </c>
      <c r="E99" s="19">
        <v>120</v>
      </c>
      <c r="F99" s="19">
        <v>120</v>
      </c>
    </row>
    <row r="100" spans="1:9" s="59" customFormat="1" ht="32.4" customHeight="1" x14ac:dyDescent="0.3">
      <c r="A100" s="118" t="s">
        <v>1132</v>
      </c>
      <c r="B100" s="119"/>
      <c r="C100" s="119" t="s">
        <v>1151</v>
      </c>
      <c r="D100" s="120">
        <f>D101+D102+D103</f>
        <v>18914.8</v>
      </c>
      <c r="E100" s="120">
        <f t="shared" ref="E100" si="15">E101+E102+E103</f>
        <v>27652.799999999999</v>
      </c>
      <c r="F100" s="120">
        <f>F101+F102+F103</f>
        <v>27306</v>
      </c>
    </row>
    <row r="101" spans="1:9" s="59" customFormat="1" ht="34.950000000000003" customHeight="1" x14ac:dyDescent="0.3">
      <c r="A101" s="2" t="s">
        <v>341</v>
      </c>
      <c r="B101" s="129" t="s">
        <v>226</v>
      </c>
      <c r="C101" s="129" t="s">
        <v>1150</v>
      </c>
      <c r="D101" s="128">
        <v>7534.25</v>
      </c>
      <c r="E101" s="128">
        <f>'2  '!E77</f>
        <v>11734.25</v>
      </c>
      <c r="F101" s="128">
        <f>'2  '!F77</f>
        <v>11734.25</v>
      </c>
    </row>
    <row r="102" spans="1:9" s="59" customFormat="1" ht="47.4" customHeight="1" x14ac:dyDescent="0.3">
      <c r="A102" s="2" t="s">
        <v>415</v>
      </c>
      <c r="B102" s="129" t="s">
        <v>226</v>
      </c>
      <c r="C102" s="277" t="s">
        <v>1129</v>
      </c>
      <c r="D102" s="128">
        <v>11380.55</v>
      </c>
      <c r="E102" s="128">
        <f>'2  '!E87</f>
        <v>15880.55</v>
      </c>
      <c r="F102" s="128">
        <f>'2  '!F87</f>
        <v>15533.75</v>
      </c>
    </row>
    <row r="103" spans="1:9" s="59" customFormat="1" ht="27.6" customHeight="1" x14ac:dyDescent="0.3">
      <c r="A103" s="2" t="s">
        <v>1131</v>
      </c>
      <c r="B103" s="129" t="s">
        <v>117</v>
      </c>
      <c r="C103" s="129" t="s">
        <v>1130</v>
      </c>
      <c r="D103" s="128">
        <v>0</v>
      </c>
      <c r="E103" s="128">
        <v>38</v>
      </c>
      <c r="F103" s="128">
        <v>38</v>
      </c>
    </row>
    <row r="104" spans="1:9" ht="18" customHeight="1" x14ac:dyDescent="0.25">
      <c r="A104" s="45"/>
      <c r="C104" s="45"/>
      <c r="D104" s="45"/>
      <c r="E104" s="45"/>
      <c r="F104" s="45"/>
      <c r="H104" s="50"/>
    </row>
    <row r="105" spans="1:9" ht="47.25" hidden="1" customHeight="1" x14ac:dyDescent="0.25">
      <c r="A105" s="15" t="s">
        <v>264</v>
      </c>
      <c r="B105" s="57" t="s">
        <v>226</v>
      </c>
      <c r="C105" s="129" t="s">
        <v>35</v>
      </c>
      <c r="D105" s="128">
        <f>D106</f>
        <v>0</v>
      </c>
      <c r="E105" s="26">
        <f>E106</f>
        <v>0</v>
      </c>
      <c r="F105" s="26">
        <f>F106</f>
        <v>0</v>
      </c>
    </row>
    <row r="106" spans="1:9" ht="29.25" hidden="1" customHeight="1" x14ac:dyDescent="0.25">
      <c r="A106" s="21" t="s">
        <v>265</v>
      </c>
      <c r="B106" s="28" t="s">
        <v>226</v>
      </c>
      <c r="C106" s="3" t="s">
        <v>36</v>
      </c>
      <c r="D106" s="19">
        <v>0</v>
      </c>
      <c r="E106" s="24">
        <v>0</v>
      </c>
      <c r="F106" s="24">
        <v>0</v>
      </c>
    </row>
    <row r="107" spans="1:9" ht="45.6" customHeight="1" x14ac:dyDescent="0.25">
      <c r="A107" s="102" t="s">
        <v>562</v>
      </c>
      <c r="B107" s="103" t="s">
        <v>223</v>
      </c>
      <c r="C107" s="103" t="s">
        <v>54</v>
      </c>
      <c r="D107" s="104">
        <f>D108+D109+D110</f>
        <v>1470</v>
      </c>
      <c r="E107" s="104">
        <f>E108+E109+E110</f>
        <v>1053</v>
      </c>
      <c r="F107" s="104">
        <f>F108+F109+F110</f>
        <v>1083</v>
      </c>
      <c r="G107" s="50"/>
      <c r="H107" s="50"/>
      <c r="I107" s="50"/>
    </row>
    <row r="108" spans="1:9" ht="14.7" customHeight="1" x14ac:dyDescent="0.25">
      <c r="A108" s="21" t="s">
        <v>92</v>
      </c>
      <c r="B108" s="28" t="s">
        <v>226</v>
      </c>
      <c r="C108" s="3" t="s">
        <v>55</v>
      </c>
      <c r="D108" s="19">
        <f>700-100</f>
        <v>600</v>
      </c>
      <c r="E108" s="24">
        <f>560+3+15+60+120</f>
        <v>758</v>
      </c>
      <c r="F108" s="24">
        <f>570+130+15+60+3</f>
        <v>778</v>
      </c>
    </row>
    <row r="109" spans="1:9" ht="15" customHeight="1" x14ac:dyDescent="0.25">
      <c r="A109" s="21" t="s">
        <v>116</v>
      </c>
      <c r="B109" s="28" t="s">
        <v>226</v>
      </c>
      <c r="C109" s="3" t="s">
        <v>56</v>
      </c>
      <c r="D109" s="19">
        <f>280+485+100</f>
        <v>865</v>
      </c>
      <c r="E109" s="24">
        <v>290</v>
      </c>
      <c r="F109" s="24">
        <v>300</v>
      </c>
    </row>
    <row r="110" spans="1:9" ht="15.6" customHeight="1" x14ac:dyDescent="0.25">
      <c r="A110" s="21" t="s">
        <v>201</v>
      </c>
      <c r="B110" s="28" t="s">
        <v>117</v>
      </c>
      <c r="C110" s="3" t="s">
        <v>66</v>
      </c>
      <c r="D110" s="19">
        <v>5</v>
      </c>
      <c r="E110" s="24">
        <v>5</v>
      </c>
      <c r="F110" s="24">
        <v>5</v>
      </c>
    </row>
    <row r="111" spans="1:9" s="63" customFormat="1" ht="48" hidden="1" customHeight="1" x14ac:dyDescent="0.25">
      <c r="A111" s="476" t="s">
        <v>235</v>
      </c>
      <c r="B111" s="56" t="s">
        <v>117</v>
      </c>
      <c r="C111" s="115" t="s">
        <v>21</v>
      </c>
      <c r="D111" s="20">
        <f>D112+D113</f>
        <v>0</v>
      </c>
      <c r="E111" s="35">
        <f>E112+E113</f>
        <v>0</v>
      </c>
      <c r="F111" s="35">
        <f>F112+F113</f>
        <v>0</v>
      </c>
    </row>
    <row r="112" spans="1:9" s="54" customFormat="1" ht="48.75" hidden="1" customHeight="1" x14ac:dyDescent="0.25">
      <c r="A112" s="64" t="s">
        <v>90</v>
      </c>
      <c r="B112" s="28" t="s">
        <v>117</v>
      </c>
      <c r="C112" s="6" t="s">
        <v>251</v>
      </c>
      <c r="D112" s="19"/>
      <c r="E112" s="24"/>
      <c r="F112" s="24"/>
    </row>
    <row r="113" spans="1:9" ht="48.75" hidden="1" customHeight="1" x14ac:dyDescent="0.25">
      <c r="A113" s="21" t="s">
        <v>91</v>
      </c>
      <c r="B113" s="28" t="s">
        <v>117</v>
      </c>
      <c r="C113" s="6" t="s">
        <v>78</v>
      </c>
      <c r="D113" s="19"/>
      <c r="E113" s="24"/>
      <c r="F113" s="24"/>
    </row>
    <row r="114" spans="1:9" s="10" customFormat="1" ht="33.75" customHeight="1" x14ac:dyDescent="0.25">
      <c r="A114" s="102" t="s">
        <v>601</v>
      </c>
      <c r="B114" s="103" t="s">
        <v>223</v>
      </c>
      <c r="C114" s="103" t="s">
        <v>26</v>
      </c>
      <c r="D114" s="104">
        <f>SUM(D115:D120)</f>
        <v>893</v>
      </c>
      <c r="E114" s="104">
        <f>SUM(E115:E120)</f>
        <v>1131</v>
      </c>
      <c r="F114" s="104">
        <f>SUM(F115:F120)</f>
        <v>1131</v>
      </c>
      <c r="G114" s="61"/>
      <c r="H114" s="61"/>
      <c r="I114" s="61"/>
    </row>
    <row r="115" spans="1:9" s="10" customFormat="1" ht="15.6" customHeight="1" x14ac:dyDescent="0.25">
      <c r="A115" s="21" t="s">
        <v>93</v>
      </c>
      <c r="B115" s="28" t="s">
        <v>226</v>
      </c>
      <c r="C115" s="3" t="s">
        <v>57</v>
      </c>
      <c r="D115" s="19">
        <v>3</v>
      </c>
      <c r="E115" s="19">
        <v>4</v>
      </c>
      <c r="F115" s="19">
        <v>4</v>
      </c>
    </row>
    <row r="116" spans="1:9" s="10" customFormat="1" ht="15.6" customHeight="1" x14ac:dyDescent="0.25">
      <c r="A116" s="21" t="s">
        <v>449</v>
      </c>
      <c r="B116" s="28" t="s">
        <v>226</v>
      </c>
      <c r="C116" s="3" t="s">
        <v>57</v>
      </c>
      <c r="D116" s="19">
        <v>657</v>
      </c>
      <c r="E116" s="19">
        <v>1028</v>
      </c>
      <c r="F116" s="19">
        <v>1028</v>
      </c>
      <c r="G116" s="61"/>
    </row>
    <row r="117" spans="1:9" s="10" customFormat="1" ht="15" customHeight="1" x14ac:dyDescent="0.25">
      <c r="A117" s="21" t="s">
        <v>386</v>
      </c>
      <c r="B117" s="28" t="s">
        <v>117</v>
      </c>
      <c r="C117" s="3" t="s">
        <v>27</v>
      </c>
      <c r="D117" s="19">
        <v>35</v>
      </c>
      <c r="E117" s="19">
        <v>39</v>
      </c>
      <c r="F117" s="19">
        <v>39</v>
      </c>
    </row>
    <row r="118" spans="1:9" s="10" customFormat="1" ht="15" customHeight="1" x14ac:dyDescent="0.25">
      <c r="A118" s="21" t="s">
        <v>201</v>
      </c>
      <c r="B118" s="28" t="s">
        <v>117</v>
      </c>
      <c r="C118" s="3" t="s">
        <v>381</v>
      </c>
      <c r="D118" s="19">
        <v>198</v>
      </c>
      <c r="E118" s="19">
        <v>60</v>
      </c>
      <c r="F118" s="19">
        <v>60</v>
      </c>
    </row>
    <row r="119" spans="1:9" s="10" customFormat="1" ht="33.6" hidden="1" customHeight="1" x14ac:dyDescent="0.25">
      <c r="A119" s="21" t="s">
        <v>475</v>
      </c>
      <c r="B119" s="28" t="s">
        <v>226</v>
      </c>
      <c r="C119" s="3" t="s">
        <v>473</v>
      </c>
      <c r="D119" s="19"/>
      <c r="E119" s="24"/>
      <c r="F119" s="24"/>
    </row>
    <row r="120" spans="1:9" s="10" customFormat="1" ht="15" hidden="1" customHeight="1" x14ac:dyDescent="0.25">
      <c r="A120" s="21" t="s">
        <v>474</v>
      </c>
      <c r="B120" s="28" t="s">
        <v>226</v>
      </c>
      <c r="C120" s="3"/>
      <c r="D120" s="19"/>
      <c r="E120" s="24"/>
      <c r="F120" s="24"/>
    </row>
    <row r="121" spans="1:9" s="10" customFormat="1" ht="32.25" customHeight="1" x14ac:dyDescent="0.25">
      <c r="A121" s="102" t="s">
        <v>561</v>
      </c>
      <c r="B121" s="103" t="s">
        <v>223</v>
      </c>
      <c r="C121" s="103" t="s">
        <v>71</v>
      </c>
      <c r="D121" s="104">
        <f>D122+D123+D126+D127+D134+D137+D140</f>
        <v>650</v>
      </c>
      <c r="E121" s="104">
        <f>E122+E126+E127+E134+E137+E140</f>
        <v>250</v>
      </c>
      <c r="F121" s="104">
        <f>F122+F126+F127+F134+F137+F140</f>
        <v>300</v>
      </c>
      <c r="G121" s="61"/>
      <c r="H121" s="61"/>
    </row>
    <row r="122" spans="1:9" s="10" customFormat="1" ht="15.75" customHeight="1" x14ac:dyDescent="0.25">
      <c r="A122" s="21" t="s">
        <v>167</v>
      </c>
      <c r="B122" s="28" t="s">
        <v>117</v>
      </c>
      <c r="C122" s="3" t="s">
        <v>72</v>
      </c>
      <c r="D122" s="19">
        <v>150</v>
      </c>
      <c r="E122" s="19">
        <v>250</v>
      </c>
      <c r="F122" s="19">
        <v>300</v>
      </c>
      <c r="G122" s="61"/>
      <c r="H122" s="61"/>
    </row>
    <row r="123" spans="1:9" s="10" customFormat="1" ht="31.95" hidden="1" customHeight="1" x14ac:dyDescent="0.25">
      <c r="A123" s="21" t="s">
        <v>624</v>
      </c>
      <c r="B123" s="28" t="s">
        <v>226</v>
      </c>
      <c r="C123" s="3" t="s">
        <v>72</v>
      </c>
      <c r="D123" s="19"/>
      <c r="E123" s="24">
        <v>0</v>
      </c>
      <c r="F123" s="24">
        <v>0</v>
      </c>
    </row>
    <row r="124" spans="1:9" s="63" customFormat="1" ht="19.5" hidden="1" customHeight="1" x14ac:dyDescent="0.25">
      <c r="A124" s="55"/>
      <c r="B124" s="28"/>
      <c r="C124" s="3"/>
      <c r="D124" s="20"/>
      <c r="E124" s="35"/>
      <c r="F124" s="35"/>
    </row>
    <row r="125" spans="1:9" s="10" customFormat="1" ht="22.5" hidden="1" customHeight="1" x14ac:dyDescent="0.25">
      <c r="A125" s="21"/>
      <c r="B125" s="28"/>
      <c r="C125" s="3"/>
      <c r="D125" s="19"/>
      <c r="E125" s="24"/>
      <c r="F125" s="24"/>
    </row>
    <row r="126" spans="1:9" s="10" customFormat="1" ht="31.2" hidden="1" customHeight="1" x14ac:dyDescent="0.25">
      <c r="A126" s="21" t="s">
        <v>405</v>
      </c>
      <c r="B126" s="28" t="s">
        <v>117</v>
      </c>
      <c r="C126" s="3" t="s">
        <v>404</v>
      </c>
      <c r="D126" s="19"/>
      <c r="E126" s="19">
        <v>0</v>
      </c>
      <c r="F126" s="19">
        <v>0</v>
      </c>
    </row>
    <row r="127" spans="1:9" s="10" customFormat="1" ht="33" hidden="1" customHeight="1" x14ac:dyDescent="0.25">
      <c r="A127" s="18" t="s">
        <v>335</v>
      </c>
      <c r="B127" s="121" t="s">
        <v>117</v>
      </c>
      <c r="C127" s="106"/>
      <c r="D127" s="134">
        <f>SUM(D128:D133)</f>
        <v>0</v>
      </c>
      <c r="E127" s="33">
        <f>SUM(E128:E133)</f>
        <v>0</v>
      </c>
      <c r="F127" s="33">
        <f>SUM(F128:F133)</f>
        <v>0</v>
      </c>
      <c r="G127" s="61"/>
    </row>
    <row r="128" spans="1:9" s="10" customFormat="1" ht="48" hidden="1" customHeight="1" x14ac:dyDescent="0.25">
      <c r="A128" s="2" t="s">
        <v>343</v>
      </c>
      <c r="B128" s="3" t="s">
        <v>117</v>
      </c>
      <c r="C128" s="6" t="s">
        <v>336</v>
      </c>
      <c r="D128" s="19">
        <v>0</v>
      </c>
      <c r="E128" s="24">
        <v>0</v>
      </c>
      <c r="F128" s="24">
        <v>0</v>
      </c>
      <c r="H128" s="61"/>
    </row>
    <row r="129" spans="1:7" s="10" customFormat="1" ht="28.95" hidden="1" customHeight="1" x14ac:dyDescent="0.25">
      <c r="A129" s="2" t="s">
        <v>520</v>
      </c>
      <c r="B129" s="3" t="s">
        <v>117</v>
      </c>
      <c r="C129" s="6" t="s">
        <v>483</v>
      </c>
      <c r="D129" s="19"/>
      <c r="E129" s="24"/>
      <c r="F129" s="24"/>
    </row>
    <row r="130" spans="1:7" s="10" customFormat="1" ht="57.75" hidden="1" customHeight="1" x14ac:dyDescent="0.25">
      <c r="A130" s="2" t="s">
        <v>390</v>
      </c>
      <c r="B130" s="3" t="s">
        <v>117</v>
      </c>
      <c r="C130" s="6" t="s">
        <v>337</v>
      </c>
      <c r="D130" s="19"/>
      <c r="E130" s="24"/>
      <c r="F130" s="24"/>
    </row>
    <row r="131" spans="1:7" s="10" customFormat="1" ht="18.600000000000001" hidden="1" customHeight="1" x14ac:dyDescent="0.25">
      <c r="A131" s="2" t="s">
        <v>390</v>
      </c>
      <c r="B131" s="3" t="s">
        <v>226</v>
      </c>
      <c r="C131" s="6" t="s">
        <v>336</v>
      </c>
      <c r="D131" s="19"/>
      <c r="E131" s="24"/>
      <c r="F131" s="24"/>
    </row>
    <row r="132" spans="1:7" s="10" customFormat="1" ht="56.25" hidden="1" customHeight="1" x14ac:dyDescent="0.25">
      <c r="A132" s="2" t="s">
        <v>590</v>
      </c>
      <c r="B132" s="3" t="s">
        <v>117</v>
      </c>
      <c r="C132" s="6" t="s">
        <v>584</v>
      </c>
      <c r="D132" s="19"/>
      <c r="E132" s="19">
        <v>0</v>
      </c>
      <c r="F132" s="19">
        <v>0</v>
      </c>
    </row>
    <row r="133" spans="1:7" s="10" customFormat="1" ht="31.95" hidden="1" customHeight="1" x14ac:dyDescent="0.25">
      <c r="A133" s="2" t="s">
        <v>521</v>
      </c>
      <c r="B133" s="3" t="s">
        <v>117</v>
      </c>
      <c r="C133" s="6" t="s">
        <v>518</v>
      </c>
      <c r="D133" s="19"/>
      <c r="E133" s="24"/>
      <c r="F133" s="24"/>
    </row>
    <row r="134" spans="1:7" s="10" customFormat="1" ht="31.95" hidden="1" customHeight="1" x14ac:dyDescent="0.25">
      <c r="A134" s="18" t="s">
        <v>389</v>
      </c>
      <c r="B134" s="121" t="s">
        <v>226</v>
      </c>
      <c r="C134" s="6"/>
      <c r="D134" s="134">
        <f>D135+D136</f>
        <v>0</v>
      </c>
      <c r="E134" s="33">
        <f>E135+E136</f>
        <v>0</v>
      </c>
      <c r="F134" s="33">
        <f>F135+F136</f>
        <v>0</v>
      </c>
    </row>
    <row r="135" spans="1:7" s="10" customFormat="1" ht="17.7" hidden="1" customHeight="1" x14ac:dyDescent="0.25">
      <c r="A135" s="2" t="s">
        <v>400</v>
      </c>
      <c r="B135" s="3" t="s">
        <v>226</v>
      </c>
      <c r="C135" s="6" t="s">
        <v>391</v>
      </c>
      <c r="D135" s="19"/>
      <c r="E135" s="24"/>
      <c r="F135" s="24"/>
    </row>
    <row r="136" spans="1:7" s="10" customFormat="1" ht="17.7" hidden="1" customHeight="1" x14ac:dyDescent="0.25">
      <c r="A136" s="2" t="s">
        <v>401</v>
      </c>
      <c r="B136" s="3" t="s">
        <v>226</v>
      </c>
      <c r="C136" s="6" t="s">
        <v>392</v>
      </c>
      <c r="D136" s="19"/>
      <c r="E136" s="24"/>
      <c r="F136" s="24"/>
    </row>
    <row r="137" spans="1:7" s="10" customFormat="1" ht="44.4" customHeight="1" x14ac:dyDescent="0.25">
      <c r="A137" s="18" t="s">
        <v>513</v>
      </c>
      <c r="B137" s="121" t="s">
        <v>117</v>
      </c>
      <c r="C137" s="106"/>
      <c r="D137" s="134">
        <f>D138+D139</f>
        <v>500</v>
      </c>
      <c r="E137" s="33">
        <f>E138+E139</f>
        <v>0</v>
      </c>
      <c r="F137" s="33">
        <f>F138+F139</f>
        <v>0</v>
      </c>
      <c r="G137" s="61"/>
    </row>
    <row r="138" spans="1:7" s="10" customFormat="1" ht="50.4" customHeight="1" x14ac:dyDescent="0.25">
      <c r="A138" s="2" t="s">
        <v>515</v>
      </c>
      <c r="B138" s="3" t="s">
        <v>117</v>
      </c>
      <c r="C138" s="6" t="s">
        <v>484</v>
      </c>
      <c r="D138" s="19">
        <v>495</v>
      </c>
      <c r="E138" s="24">
        <v>0</v>
      </c>
      <c r="F138" s="24">
        <v>0</v>
      </c>
      <c r="G138" s="78"/>
    </row>
    <row r="139" spans="1:7" s="10" customFormat="1" ht="58.2" customHeight="1" x14ac:dyDescent="0.25">
      <c r="A139" s="2" t="s">
        <v>514</v>
      </c>
      <c r="B139" s="3" t="s">
        <v>117</v>
      </c>
      <c r="C139" s="6" t="s">
        <v>932</v>
      </c>
      <c r="D139" s="19">
        <v>5</v>
      </c>
      <c r="E139" s="24">
        <v>0</v>
      </c>
      <c r="F139" s="24">
        <v>0</v>
      </c>
      <c r="G139" s="348"/>
    </row>
    <row r="140" spans="1:7" s="66" customFormat="1" ht="16.95" customHeight="1" x14ac:dyDescent="0.3">
      <c r="A140" s="34" t="s">
        <v>519</v>
      </c>
      <c r="B140" s="31" t="s">
        <v>117</v>
      </c>
      <c r="C140" s="106"/>
      <c r="D140" s="134">
        <f>D141+D142</f>
        <v>0</v>
      </c>
      <c r="E140" s="33">
        <f>E141+E142</f>
        <v>0</v>
      </c>
      <c r="F140" s="33">
        <f>F141+F142</f>
        <v>0</v>
      </c>
    </row>
    <row r="141" spans="1:7" s="10" customFormat="1" ht="35.4" customHeight="1" x14ac:dyDescent="0.25">
      <c r="A141" s="21" t="s">
        <v>522</v>
      </c>
      <c r="B141" s="28" t="s">
        <v>117</v>
      </c>
      <c r="C141" s="6" t="s">
        <v>524</v>
      </c>
      <c r="D141" s="19">
        <v>0</v>
      </c>
      <c r="E141" s="24">
        <v>0</v>
      </c>
      <c r="F141" s="24">
        <v>0</v>
      </c>
    </row>
    <row r="142" spans="1:7" s="10" customFormat="1" ht="45.6" customHeight="1" x14ac:dyDescent="0.25">
      <c r="A142" s="21" t="s">
        <v>523</v>
      </c>
      <c r="B142" s="28" t="s">
        <v>117</v>
      </c>
      <c r="C142" s="6" t="s">
        <v>585</v>
      </c>
      <c r="D142" s="19"/>
      <c r="E142" s="24"/>
      <c r="F142" s="24"/>
    </row>
    <row r="143" spans="1:7" s="10" customFormat="1" ht="35.25" customHeight="1" x14ac:dyDescent="0.25">
      <c r="A143" s="102" t="s">
        <v>433</v>
      </c>
      <c r="B143" s="103" t="s">
        <v>223</v>
      </c>
      <c r="C143" s="103" t="s">
        <v>68</v>
      </c>
      <c r="D143" s="104">
        <f>D144</f>
        <v>200</v>
      </c>
      <c r="E143" s="104">
        <f>E144</f>
        <v>200</v>
      </c>
      <c r="F143" s="104">
        <f>F144</f>
        <v>200</v>
      </c>
      <c r="G143" s="61"/>
    </row>
    <row r="144" spans="1:7" s="63" customFormat="1" ht="28.95" customHeight="1" x14ac:dyDescent="0.25">
      <c r="A144" s="21" t="s">
        <v>122</v>
      </c>
      <c r="B144" s="28" t="s">
        <v>117</v>
      </c>
      <c r="C144" s="3" t="s">
        <v>69</v>
      </c>
      <c r="D144" s="19">
        <v>200</v>
      </c>
      <c r="E144" s="19">
        <v>200</v>
      </c>
      <c r="F144" s="19">
        <v>200</v>
      </c>
    </row>
    <row r="145" spans="1:9" s="63" customFormat="1" ht="32.25" customHeight="1" x14ac:dyDescent="0.25">
      <c r="A145" s="102" t="s">
        <v>560</v>
      </c>
      <c r="B145" s="103" t="s">
        <v>223</v>
      </c>
      <c r="C145" s="105" t="s">
        <v>58</v>
      </c>
      <c r="D145" s="104">
        <f>D146+D166+D168+D171+D154+D174+D176+D179+D182+D193+D190</f>
        <v>46917.293660000003</v>
      </c>
      <c r="E145" s="104">
        <f>E146+E166+E168+E171+E154+E174+E176+E179+E182+E193+E190</f>
        <v>32587.253030000003</v>
      </c>
      <c r="F145" s="104">
        <f>F146+F166+F168+F171+F154+F174+F176+F179+F182+F193+F190</f>
        <v>32587.253030000003</v>
      </c>
    </row>
    <row r="146" spans="1:9" s="10" customFormat="1" ht="37.950000000000003" customHeight="1" x14ac:dyDescent="0.25">
      <c r="A146" s="34" t="s">
        <v>293</v>
      </c>
      <c r="B146" s="31" t="s">
        <v>117</v>
      </c>
      <c r="C146" s="106" t="s">
        <v>60</v>
      </c>
      <c r="D146" s="134">
        <f>D148+D149+D160+D163</f>
        <v>9900.2551500000009</v>
      </c>
      <c r="E146" s="33">
        <f>E148+E149</f>
        <v>8899.4500000000007</v>
      </c>
      <c r="F146" s="33">
        <f>F148+F149</f>
        <v>8899.4500000000007</v>
      </c>
      <c r="G146" s="61">
        <f>D148+D156+D162+D165+D167+D170+D173+D175+D178+D180+D184++D195</f>
        <v>29484.333040000001</v>
      </c>
      <c r="H146" s="61">
        <f t="shared" ref="H146:I146" si="16">E148+E156+E162+E165+E167+E170+E173+E175+E178+E180+E184++E195</f>
        <v>26906.748030000002</v>
      </c>
      <c r="I146" s="61">
        <f t="shared" si="16"/>
        <v>26906.748030000002</v>
      </c>
    </row>
    <row r="147" spans="1:9" s="10" customFormat="1" ht="15" customHeight="1" x14ac:dyDescent="0.25">
      <c r="A147" s="21" t="s">
        <v>125</v>
      </c>
      <c r="B147" s="28" t="s">
        <v>426</v>
      </c>
      <c r="C147" s="6" t="s">
        <v>126</v>
      </c>
      <c r="D147" s="19"/>
      <c r="E147" s="24"/>
      <c r="F147" s="24"/>
    </row>
    <row r="148" spans="1:9" s="10" customFormat="1" ht="15" customHeight="1" x14ac:dyDescent="0.25">
      <c r="A148" s="21" t="s">
        <v>297</v>
      </c>
      <c r="B148" s="28" t="s">
        <v>117</v>
      </c>
      <c r="C148" s="6" t="s">
        <v>61</v>
      </c>
      <c r="D148" s="19">
        <f>8899.45+300+100</f>
        <v>9299.4500000000007</v>
      </c>
      <c r="E148" s="19">
        <v>8899.4500000000007</v>
      </c>
      <c r="F148" s="19">
        <v>8899.4500000000007</v>
      </c>
      <c r="G148" s="61"/>
      <c r="H148" s="61"/>
    </row>
    <row r="149" spans="1:9" s="10" customFormat="1" ht="28.95" customHeight="1" x14ac:dyDescent="0.25">
      <c r="A149" s="21" t="s">
        <v>94</v>
      </c>
      <c r="B149" s="28" t="s">
        <v>117</v>
      </c>
      <c r="C149" s="6" t="s">
        <v>77</v>
      </c>
      <c r="D149" s="19">
        <v>447.71300000000002</v>
      </c>
      <c r="E149" s="19">
        <v>0</v>
      </c>
      <c r="F149" s="19">
        <v>0</v>
      </c>
      <c r="H149" s="61"/>
    </row>
    <row r="150" spans="1:9" s="10" customFormat="1" ht="34.200000000000003" hidden="1" customHeight="1" x14ac:dyDescent="0.25">
      <c r="A150" s="15" t="s">
        <v>326</v>
      </c>
      <c r="B150" s="57" t="s">
        <v>117</v>
      </c>
      <c r="C150" s="317" t="s">
        <v>344</v>
      </c>
      <c r="D150" s="128">
        <f>D151+D152</f>
        <v>0</v>
      </c>
      <c r="E150" s="26">
        <f>E151+E152</f>
        <v>0</v>
      </c>
      <c r="F150" s="26">
        <f>F151+F152</f>
        <v>0</v>
      </c>
    </row>
    <row r="151" spans="1:9" s="10" customFormat="1" ht="43.2" hidden="1" customHeight="1" x14ac:dyDescent="0.25">
      <c r="A151" s="21" t="s">
        <v>327</v>
      </c>
      <c r="B151" s="28" t="s">
        <v>117</v>
      </c>
      <c r="C151" s="6" t="s">
        <v>328</v>
      </c>
      <c r="D151" s="19"/>
      <c r="E151" s="24"/>
      <c r="F151" s="24"/>
    </row>
    <row r="152" spans="1:9" s="10" customFormat="1" ht="60.6" hidden="1" customHeight="1" x14ac:dyDescent="0.25">
      <c r="A152" s="21" t="s">
        <v>345</v>
      </c>
      <c r="B152" s="28" t="s">
        <v>117</v>
      </c>
      <c r="C152" s="6" t="s">
        <v>329</v>
      </c>
      <c r="D152" s="19"/>
      <c r="E152" s="24"/>
      <c r="F152" s="24"/>
    </row>
    <row r="153" spans="1:9" s="10" customFormat="1" ht="57" hidden="1" customHeight="1" x14ac:dyDescent="0.25">
      <c r="A153" s="21" t="s">
        <v>408</v>
      </c>
      <c r="B153" s="28" t="s">
        <v>117</v>
      </c>
      <c r="C153" s="6" t="s">
        <v>425</v>
      </c>
      <c r="D153" s="19">
        <f>25-25</f>
        <v>0</v>
      </c>
      <c r="E153" s="24">
        <f>25-25</f>
        <v>0</v>
      </c>
      <c r="F153" s="24">
        <f>25-25</f>
        <v>0</v>
      </c>
    </row>
    <row r="154" spans="1:9" s="10" customFormat="1" ht="31.95" customHeight="1" x14ac:dyDescent="0.25">
      <c r="A154" s="34" t="s">
        <v>464</v>
      </c>
      <c r="B154" s="31" t="s">
        <v>117</v>
      </c>
      <c r="C154" s="106" t="s">
        <v>59</v>
      </c>
      <c r="D154" s="134">
        <f>D155+D156</f>
        <v>9285.8253499999992</v>
      </c>
      <c r="E154" s="33">
        <f>E155+E156</f>
        <v>0</v>
      </c>
      <c r="F154" s="33">
        <f>F155+F156</f>
        <v>0</v>
      </c>
    </row>
    <row r="155" spans="1:9" s="10" customFormat="1" ht="32.4" customHeight="1" x14ac:dyDescent="0.25">
      <c r="A155" s="21" t="s">
        <v>465</v>
      </c>
      <c r="B155" s="28" t="s">
        <v>117</v>
      </c>
      <c r="C155" s="6" t="s">
        <v>467</v>
      </c>
      <c r="D155" s="19">
        <f>'2  '!D62</f>
        <v>9192.9670999999998</v>
      </c>
      <c r="E155" s="19">
        <f>'2  '!E62</f>
        <v>0</v>
      </c>
      <c r="F155" s="19">
        <f>'2  '!F62</f>
        <v>0</v>
      </c>
      <c r="H155" s="61">
        <f>D148+D167+D180+D175</f>
        <v>16780.25</v>
      </c>
    </row>
    <row r="156" spans="1:9" s="10" customFormat="1" ht="46.2" customHeight="1" x14ac:dyDescent="0.25">
      <c r="A156" s="21" t="s">
        <v>466</v>
      </c>
      <c r="B156" s="28" t="s">
        <v>117</v>
      </c>
      <c r="C156" s="6" t="s">
        <v>468</v>
      </c>
      <c r="D156" s="19">
        <v>92.858249999999998</v>
      </c>
      <c r="E156" s="24">
        <v>0</v>
      </c>
      <c r="F156" s="24">
        <v>0</v>
      </c>
    </row>
    <row r="157" spans="1:9" s="10" customFormat="1" ht="33" hidden="1" customHeight="1" x14ac:dyDescent="0.25">
      <c r="A157" s="34" t="s">
        <v>537</v>
      </c>
      <c r="B157" s="31" t="s">
        <v>117</v>
      </c>
      <c r="C157" s="106" t="s">
        <v>59</v>
      </c>
      <c r="D157" s="134">
        <f>D158+D159</f>
        <v>0</v>
      </c>
      <c r="E157" s="33">
        <f>E158+E159</f>
        <v>0</v>
      </c>
      <c r="F157" s="33">
        <f>F158+F159</f>
        <v>0</v>
      </c>
    </row>
    <row r="158" spans="1:9" s="10" customFormat="1" ht="46.2" hidden="1" customHeight="1" x14ac:dyDescent="0.25">
      <c r="A158" s="21" t="s">
        <v>538</v>
      </c>
      <c r="B158" s="28" t="s">
        <v>117</v>
      </c>
      <c r="C158" s="6" t="s">
        <v>539</v>
      </c>
      <c r="D158" s="19"/>
      <c r="E158" s="24"/>
      <c r="F158" s="24"/>
    </row>
    <row r="159" spans="1:9" s="10" customFormat="1" ht="46.2" hidden="1" customHeight="1" x14ac:dyDescent="0.25">
      <c r="A159" s="21" t="s">
        <v>540</v>
      </c>
      <c r="B159" s="28" t="s">
        <v>117</v>
      </c>
      <c r="C159" s="6" t="s">
        <v>541</v>
      </c>
      <c r="D159" s="19"/>
      <c r="E159" s="24"/>
      <c r="F159" s="24"/>
    </row>
    <row r="160" spans="1:9" s="10" customFormat="1" ht="40.950000000000003" customHeight="1" x14ac:dyDescent="0.25">
      <c r="A160" s="34" t="s">
        <v>542</v>
      </c>
      <c r="B160" s="31" t="s">
        <v>117</v>
      </c>
      <c r="C160" s="106" t="s">
        <v>544</v>
      </c>
      <c r="D160" s="134">
        <f>D161+D162</f>
        <v>102.06143</v>
      </c>
      <c r="E160" s="33">
        <f>E161+E162</f>
        <v>0</v>
      </c>
      <c r="F160" s="33">
        <f>F161+F162</f>
        <v>0</v>
      </c>
    </row>
    <row r="161" spans="1:10" s="10" customFormat="1" ht="44.4" customHeight="1" x14ac:dyDescent="0.25">
      <c r="A161" s="21" t="s">
        <v>543</v>
      </c>
      <c r="B161" s="28" t="s">
        <v>117</v>
      </c>
      <c r="C161" s="6" t="s">
        <v>544</v>
      </c>
      <c r="D161" s="19">
        <f>'2  '!D46</f>
        <v>102.04082</v>
      </c>
      <c r="E161" s="24">
        <v>0</v>
      </c>
      <c r="F161" s="24">
        <v>0</v>
      </c>
    </row>
    <row r="162" spans="1:10" s="10" customFormat="1" ht="59.4" customHeight="1" x14ac:dyDescent="0.25">
      <c r="A162" s="21" t="s">
        <v>545</v>
      </c>
      <c r="B162" s="28" t="s">
        <v>117</v>
      </c>
      <c r="C162" s="6" t="s">
        <v>544</v>
      </c>
      <c r="D162" s="19">
        <f>20.61/1000</f>
        <v>2.061E-2</v>
      </c>
      <c r="E162" s="24">
        <v>0</v>
      </c>
      <c r="F162" s="24">
        <v>0</v>
      </c>
      <c r="H162" s="61"/>
      <c r="I162" s="61"/>
    </row>
    <row r="163" spans="1:10" s="63" customFormat="1" ht="59.4" customHeight="1" x14ac:dyDescent="0.25">
      <c r="A163" s="34" t="s">
        <v>618</v>
      </c>
      <c r="B163" s="56" t="s">
        <v>117</v>
      </c>
      <c r="C163" s="115" t="s">
        <v>620</v>
      </c>
      <c r="D163" s="20">
        <f>D164+D165</f>
        <v>51.030719999999995</v>
      </c>
      <c r="E163" s="20">
        <f>E164+E165</f>
        <v>0</v>
      </c>
      <c r="F163" s="20">
        <f>F164+F165</f>
        <v>0</v>
      </c>
      <c r="H163" s="135"/>
      <c r="J163" s="135"/>
    </row>
    <row r="164" spans="1:10" s="10" customFormat="1" ht="59.4" customHeight="1" x14ac:dyDescent="0.25">
      <c r="A164" s="21" t="s">
        <v>543</v>
      </c>
      <c r="B164" s="28" t="s">
        <v>117</v>
      </c>
      <c r="C164" s="6" t="s">
        <v>620</v>
      </c>
      <c r="D164" s="19">
        <f>'2  '!D47</f>
        <v>51.020409999999998</v>
      </c>
      <c r="E164" s="24">
        <v>0</v>
      </c>
      <c r="F164" s="24">
        <v>0</v>
      </c>
      <c r="H164" s="61"/>
      <c r="I164" s="61">
        <f>D162+D165</f>
        <v>3.092E-2</v>
      </c>
    </row>
    <row r="165" spans="1:10" s="10" customFormat="1" ht="59.4" customHeight="1" x14ac:dyDescent="0.25">
      <c r="A165" s="21" t="s">
        <v>619</v>
      </c>
      <c r="B165" s="28" t="s">
        <v>117</v>
      </c>
      <c r="C165" s="6" t="s">
        <v>620</v>
      </c>
      <c r="D165" s="19">
        <v>1.031E-2</v>
      </c>
      <c r="E165" s="24">
        <v>0</v>
      </c>
      <c r="F165" s="24">
        <v>0</v>
      </c>
    </row>
    <row r="166" spans="1:10" s="10" customFormat="1" ht="44.7" customHeight="1" x14ac:dyDescent="0.25">
      <c r="A166" s="34" t="s">
        <v>294</v>
      </c>
      <c r="B166" s="31" t="s">
        <v>117</v>
      </c>
      <c r="C166" s="106" t="s">
        <v>62</v>
      </c>
      <c r="D166" s="134">
        <f>D167</f>
        <v>3824.1</v>
      </c>
      <c r="E166" s="33">
        <f>E167</f>
        <v>3524.1</v>
      </c>
      <c r="F166" s="33">
        <f>F167</f>
        <v>3524.1</v>
      </c>
      <c r="G166" s="61">
        <f>D155/99</f>
        <v>92.858253535353541</v>
      </c>
    </row>
    <row r="167" spans="1:10" s="10" customFormat="1" ht="15" customHeight="1" x14ac:dyDescent="0.25">
      <c r="A167" s="21" t="s">
        <v>558</v>
      </c>
      <c r="B167" s="28" t="s">
        <v>117</v>
      </c>
      <c r="C167" s="6" t="s">
        <v>62</v>
      </c>
      <c r="D167" s="19">
        <f>3524.1+200+100</f>
        <v>3824.1</v>
      </c>
      <c r="E167" s="19">
        <v>3524.1</v>
      </c>
      <c r="F167" s="19">
        <v>3524.1</v>
      </c>
      <c r="G167" s="61"/>
    </row>
    <row r="168" spans="1:10" s="10" customFormat="1" ht="60.6" customHeight="1" x14ac:dyDescent="0.25">
      <c r="A168" s="15" t="s">
        <v>616</v>
      </c>
      <c r="B168" s="57" t="s">
        <v>117</v>
      </c>
      <c r="C168" s="317" t="s">
        <v>331</v>
      </c>
      <c r="D168" s="128">
        <f>D169+D170</f>
        <v>1611.31423</v>
      </c>
      <c r="E168" s="26">
        <f>E169+E170</f>
        <v>0</v>
      </c>
      <c r="F168" s="26">
        <f>F169+F170</f>
        <v>0</v>
      </c>
      <c r="G168" s="61">
        <f>D148+D156+D167+D170+D173</f>
        <v>13220.70521</v>
      </c>
    </row>
    <row r="169" spans="1:10" s="10" customFormat="1" ht="56.4" customHeight="1" x14ac:dyDescent="0.25">
      <c r="A169" s="21" t="s">
        <v>614</v>
      </c>
      <c r="B169" s="28" t="s">
        <v>117</v>
      </c>
      <c r="C169" s="6" t="s">
        <v>555</v>
      </c>
      <c r="D169" s="19">
        <f>'2  '!D50</f>
        <v>1608.7142899999999</v>
      </c>
      <c r="E169" s="19">
        <v>0</v>
      </c>
      <c r="F169" s="24">
        <v>0</v>
      </c>
      <c r="G169" s="61">
        <f>D169/99</f>
        <v>16.249639292929292</v>
      </c>
    </row>
    <row r="170" spans="1:10" s="10" customFormat="1" ht="78" customHeight="1" x14ac:dyDescent="0.25">
      <c r="A170" s="21" t="s">
        <v>615</v>
      </c>
      <c r="B170" s="28" t="s">
        <v>117</v>
      </c>
      <c r="C170" s="6" t="s">
        <v>555</v>
      </c>
      <c r="D170" s="19">
        <f>16.24964-13.6497</f>
        <v>2.5999400000000001</v>
      </c>
      <c r="E170" s="24">
        <v>0</v>
      </c>
      <c r="F170" s="24">
        <v>0</v>
      </c>
      <c r="G170" s="61"/>
      <c r="H170" s="65"/>
    </row>
    <row r="171" spans="1:10" s="10" customFormat="1" ht="32.4" customHeight="1" x14ac:dyDescent="0.25">
      <c r="A171" s="15" t="s">
        <v>616</v>
      </c>
      <c r="B171" s="57" t="s">
        <v>117</v>
      </c>
      <c r="C171" s="317" t="s">
        <v>331</v>
      </c>
      <c r="D171" s="128">
        <f>D172+D173</f>
        <v>169.70202</v>
      </c>
      <c r="E171" s="26">
        <f>E172+E173</f>
        <v>169.70202</v>
      </c>
      <c r="F171" s="26">
        <f>F172+F173</f>
        <v>169.70202</v>
      </c>
      <c r="G171" s="10">
        <f>D169/99</f>
        <v>16.249639292929292</v>
      </c>
    </row>
    <row r="172" spans="1:10" s="10" customFormat="1" ht="44.7" customHeight="1" x14ac:dyDescent="0.25">
      <c r="A172" s="21" t="s">
        <v>346</v>
      </c>
      <c r="B172" s="28" t="s">
        <v>117</v>
      </c>
      <c r="C172" s="6" t="s">
        <v>332</v>
      </c>
      <c r="D172" s="19">
        <v>168.005</v>
      </c>
      <c r="E172" s="24">
        <v>168.005</v>
      </c>
      <c r="F172" s="24">
        <v>168.005</v>
      </c>
      <c r="G172" s="65"/>
      <c r="H172" s="99"/>
    </row>
    <row r="173" spans="1:10" s="10" customFormat="1" ht="66.75" customHeight="1" x14ac:dyDescent="0.25">
      <c r="A173" s="21" t="s">
        <v>347</v>
      </c>
      <c r="B173" s="28" t="s">
        <v>117</v>
      </c>
      <c r="C173" s="6" t="s">
        <v>586</v>
      </c>
      <c r="D173" s="19">
        <v>1.69702</v>
      </c>
      <c r="E173" s="24">
        <v>1.69702</v>
      </c>
      <c r="F173" s="24">
        <v>1.69702</v>
      </c>
      <c r="G173" s="349"/>
    </row>
    <row r="174" spans="1:10" s="10" customFormat="1" ht="61.2" customHeight="1" x14ac:dyDescent="0.25">
      <c r="A174" s="34" t="s">
        <v>295</v>
      </c>
      <c r="B174" s="31" t="s">
        <v>117</v>
      </c>
      <c r="C174" s="106" t="s">
        <v>63</v>
      </c>
      <c r="D174" s="134">
        <f>D175</f>
        <v>2129.5</v>
      </c>
      <c r="E174" s="33">
        <f>E175</f>
        <v>1949.5</v>
      </c>
      <c r="F174" s="33">
        <f>F175</f>
        <v>1949.5</v>
      </c>
      <c r="G174" s="61"/>
    </row>
    <row r="175" spans="1:10" s="10" customFormat="1" ht="16.5" customHeight="1" x14ac:dyDescent="0.25">
      <c r="A175" s="21" t="s">
        <v>124</v>
      </c>
      <c r="B175" s="28" t="s">
        <v>117</v>
      </c>
      <c r="C175" s="6" t="s">
        <v>63</v>
      </c>
      <c r="D175" s="19">
        <f>1949.5+120+60</f>
        <v>2129.5</v>
      </c>
      <c r="E175" s="19">
        <v>1949.5</v>
      </c>
      <c r="F175" s="19">
        <v>1949.5</v>
      </c>
    </row>
    <row r="176" spans="1:10" ht="49.2" customHeight="1" x14ac:dyDescent="0.25">
      <c r="A176" s="34" t="s">
        <v>338</v>
      </c>
      <c r="B176" s="31" t="s">
        <v>117</v>
      </c>
      <c r="C176" s="121"/>
      <c r="D176" s="134">
        <f>D177+D178</f>
        <v>1010.10101</v>
      </c>
      <c r="E176" s="33">
        <f>E177+E178</f>
        <v>1010.10101</v>
      </c>
      <c r="F176" s="33">
        <f>F177+F178</f>
        <v>1010.10101</v>
      </c>
    </row>
    <row r="177" spans="1:10" ht="44.7" customHeight="1" x14ac:dyDescent="0.25">
      <c r="A177" s="21" t="s">
        <v>360</v>
      </c>
      <c r="B177" s="28" t="s">
        <v>117</v>
      </c>
      <c r="C177" s="3" t="s">
        <v>393</v>
      </c>
      <c r="D177" s="19">
        <v>1000</v>
      </c>
      <c r="E177" s="24">
        <v>1000</v>
      </c>
      <c r="F177" s="24">
        <v>1000</v>
      </c>
    </row>
    <row r="178" spans="1:10" ht="63" customHeight="1" x14ac:dyDescent="0.25">
      <c r="A178" s="21" t="s">
        <v>361</v>
      </c>
      <c r="B178" s="28" t="s">
        <v>117</v>
      </c>
      <c r="C178" s="3" t="s">
        <v>612</v>
      </c>
      <c r="D178" s="19">
        <v>10.10101</v>
      </c>
      <c r="E178" s="24">
        <v>10.10101</v>
      </c>
      <c r="F178" s="24">
        <v>10.10101</v>
      </c>
      <c r="G178" s="73"/>
    </row>
    <row r="179" spans="1:10" s="10" customFormat="1" ht="19.95" customHeight="1" x14ac:dyDescent="0.25">
      <c r="A179" s="34" t="s">
        <v>299</v>
      </c>
      <c r="B179" s="31" t="s">
        <v>117</v>
      </c>
      <c r="C179" s="106" t="s">
        <v>493</v>
      </c>
      <c r="D179" s="134">
        <f>D180+D181</f>
        <v>1527.2</v>
      </c>
      <c r="E179" s="33">
        <f>E180+E181</f>
        <v>1347.2</v>
      </c>
      <c r="F179" s="33">
        <f>F180+F181</f>
        <v>1347.2</v>
      </c>
      <c r="G179" s="61"/>
    </row>
    <row r="180" spans="1:10" s="10" customFormat="1" ht="31.2" customHeight="1" x14ac:dyDescent="0.25">
      <c r="A180" s="21" t="s">
        <v>298</v>
      </c>
      <c r="B180" s="28" t="s">
        <v>117</v>
      </c>
      <c r="C180" s="6" t="s">
        <v>64</v>
      </c>
      <c r="D180" s="19">
        <f>1347.2+140+40</f>
        <v>1527.2</v>
      </c>
      <c r="E180" s="19">
        <v>1347.2</v>
      </c>
      <c r="F180" s="19">
        <v>1347.2</v>
      </c>
      <c r="G180" s="61"/>
    </row>
    <row r="181" spans="1:10" s="10" customFormat="1" ht="45.75" hidden="1" customHeight="1" x14ac:dyDescent="0.25">
      <c r="A181" s="21" t="s">
        <v>296</v>
      </c>
      <c r="B181" s="28" t="s">
        <v>427</v>
      </c>
      <c r="C181" s="6" t="s">
        <v>266</v>
      </c>
      <c r="D181" s="19"/>
      <c r="E181" s="24"/>
      <c r="F181" s="24"/>
      <c r="G181" s="45"/>
    </row>
    <row r="182" spans="1:10" s="10" customFormat="1" ht="32.4" customHeight="1" x14ac:dyDescent="0.25">
      <c r="A182" s="34" t="s">
        <v>490</v>
      </c>
      <c r="B182" s="31" t="s">
        <v>117</v>
      </c>
      <c r="C182" s="106"/>
      <c r="D182" s="134">
        <f>D183+D185</f>
        <v>16737.2</v>
      </c>
      <c r="E182" s="33">
        <f>E183+E185</f>
        <v>15687.2</v>
      </c>
      <c r="F182" s="33">
        <f>F183+F185</f>
        <v>15687.2</v>
      </c>
      <c r="G182" s="61"/>
    </row>
    <row r="183" spans="1:10" s="10" customFormat="1" ht="38.25" customHeight="1" x14ac:dyDescent="0.25">
      <c r="A183" s="34" t="s">
        <v>508</v>
      </c>
      <c r="B183" s="31" t="s">
        <v>117</v>
      </c>
      <c r="C183" s="106" t="s">
        <v>491</v>
      </c>
      <c r="D183" s="134">
        <f>D184</f>
        <v>11874.7</v>
      </c>
      <c r="E183" s="33">
        <f>E184</f>
        <v>11174.7</v>
      </c>
      <c r="F183" s="33">
        <f>F184</f>
        <v>11174.7</v>
      </c>
      <c r="G183" s="61"/>
    </row>
    <row r="184" spans="1:10" s="10" customFormat="1" ht="24.75" customHeight="1" x14ac:dyDescent="0.25">
      <c r="A184" s="21" t="s">
        <v>509</v>
      </c>
      <c r="B184" s="57" t="s">
        <v>117</v>
      </c>
      <c r="C184" s="317" t="s">
        <v>491</v>
      </c>
      <c r="D184" s="19">
        <f>11174.7+200+500</f>
        <v>11874.7</v>
      </c>
      <c r="E184" s="19">
        <v>11174.7</v>
      </c>
      <c r="F184" s="19">
        <v>11174.7</v>
      </c>
      <c r="G184" s="61"/>
      <c r="H184" s="61">
        <f>D148+D149+D156+D167+D170+D173+D175+D178+D180+D182+D195</f>
        <v>34794.515119999996</v>
      </c>
      <c r="I184" s="61">
        <f t="shared" ref="I184:J184" si="17">E148+E149+E156+E167+E170+E173+E175+E178+E180+E182+E195</f>
        <v>31419.248030000002</v>
      </c>
      <c r="J184" s="61">
        <f t="shared" si="17"/>
        <v>31419.248030000002</v>
      </c>
    </row>
    <row r="185" spans="1:10" s="10" customFormat="1" ht="32.25" customHeight="1" x14ac:dyDescent="0.25">
      <c r="A185" s="34" t="s">
        <v>851</v>
      </c>
      <c r="B185" s="31" t="s">
        <v>117</v>
      </c>
      <c r="C185" s="106" t="s">
        <v>492</v>
      </c>
      <c r="D185" s="134">
        <f>D186</f>
        <v>4862.5</v>
      </c>
      <c r="E185" s="33">
        <f>E186</f>
        <v>4512.5</v>
      </c>
      <c r="F185" s="33">
        <f>F186</f>
        <v>4512.5</v>
      </c>
      <c r="G185" s="61"/>
      <c r="H185" s="61"/>
      <c r="I185" s="61"/>
    </row>
    <row r="186" spans="1:10" s="10" customFormat="1" ht="24.75" customHeight="1" x14ac:dyDescent="0.25">
      <c r="A186" s="21" t="s">
        <v>510</v>
      </c>
      <c r="B186" s="28" t="s">
        <v>117</v>
      </c>
      <c r="C186" s="317" t="s">
        <v>492</v>
      </c>
      <c r="D186" s="19">
        <f>4512.5+150+200</f>
        <v>4862.5</v>
      </c>
      <c r="E186" s="19">
        <v>4512.5</v>
      </c>
      <c r="F186" s="19">
        <v>4512.5</v>
      </c>
      <c r="G186" s="61"/>
    </row>
    <row r="187" spans="1:10" s="10" customFormat="1" ht="33" customHeight="1" x14ac:dyDescent="0.25">
      <c r="A187" s="55" t="s">
        <v>236</v>
      </c>
      <c r="B187" s="28" t="s">
        <v>428</v>
      </c>
      <c r="C187" s="115" t="s">
        <v>28</v>
      </c>
      <c r="D187" s="20">
        <f>D188+D189+D192</f>
        <v>0</v>
      </c>
      <c r="E187" s="35">
        <f>E188+E189+E192</f>
        <v>0</v>
      </c>
      <c r="F187" s="35">
        <f>F188+F189+F192</f>
        <v>0</v>
      </c>
    </row>
    <row r="188" spans="1:10" s="10" customFormat="1" ht="17.25" customHeight="1" x14ac:dyDescent="0.25">
      <c r="A188" s="21" t="s">
        <v>95</v>
      </c>
      <c r="B188" s="28" t="s">
        <v>429</v>
      </c>
      <c r="C188" s="6" t="s">
        <v>288</v>
      </c>
      <c r="D188" s="19">
        <v>0</v>
      </c>
      <c r="E188" s="24">
        <v>0</v>
      </c>
      <c r="F188" s="24">
        <v>0</v>
      </c>
    </row>
    <row r="189" spans="1:10" s="10" customFormat="1" ht="19.5" customHeight="1" x14ac:dyDescent="0.25">
      <c r="A189" s="21" t="s">
        <v>290</v>
      </c>
      <c r="B189" s="28" t="s">
        <v>430</v>
      </c>
      <c r="C189" s="6" t="s">
        <v>289</v>
      </c>
      <c r="D189" s="19"/>
      <c r="E189" s="24"/>
      <c r="F189" s="24"/>
    </row>
    <row r="190" spans="1:10" s="63" customFormat="1" ht="33.75" customHeight="1" x14ac:dyDescent="0.25">
      <c r="A190" s="55" t="s">
        <v>451</v>
      </c>
      <c r="B190" s="56" t="s">
        <v>117</v>
      </c>
      <c r="C190" s="115" t="s">
        <v>639</v>
      </c>
      <c r="D190" s="20">
        <f>D191</f>
        <v>0</v>
      </c>
      <c r="E190" s="35">
        <f>E191</f>
        <v>0</v>
      </c>
      <c r="F190" s="35">
        <f>F191</f>
        <v>0</v>
      </c>
      <c r="G190" s="135"/>
    </row>
    <row r="191" spans="1:10" s="10" customFormat="1" ht="31.5" customHeight="1" x14ac:dyDescent="0.25">
      <c r="A191" s="21" t="s">
        <v>638</v>
      </c>
      <c r="B191" s="28" t="s">
        <v>117</v>
      </c>
      <c r="C191" s="6" t="s">
        <v>639</v>
      </c>
      <c r="D191" s="19"/>
      <c r="E191" s="24"/>
      <c r="F191" s="24"/>
    </row>
    <row r="192" spans="1:10" s="10" customFormat="1" ht="12" customHeight="1" x14ac:dyDescent="0.25">
      <c r="A192" s="21"/>
      <c r="B192" s="28"/>
      <c r="C192" s="6"/>
      <c r="D192" s="19"/>
      <c r="E192" s="24"/>
      <c r="F192" s="24"/>
    </row>
    <row r="193" spans="1:9" s="350" customFormat="1" ht="51.6" customHeight="1" x14ac:dyDescent="0.25">
      <c r="A193" s="34" t="s">
        <v>588</v>
      </c>
      <c r="B193" s="31" t="s">
        <v>117</v>
      </c>
      <c r="C193" s="106" t="s">
        <v>587</v>
      </c>
      <c r="D193" s="134">
        <f>D194+D195</f>
        <v>722.09590000000003</v>
      </c>
      <c r="E193" s="33">
        <f>E194+E195</f>
        <v>0</v>
      </c>
      <c r="F193" s="33">
        <f>F194+F195</f>
        <v>0</v>
      </c>
      <c r="G193" s="449">
        <f>D195+D186+D184+D180+D178+D173+D170+D167+D156+D149+D148</f>
        <v>32665.01512</v>
      </c>
      <c r="H193" s="449">
        <f t="shared" ref="H193:I193" si="18">E195+E186+E184+E180+E178+E173+E170+E167+E156+E149+E148</f>
        <v>29469.748029999999</v>
      </c>
      <c r="I193" s="449">
        <f t="shared" si="18"/>
        <v>29469.748029999999</v>
      </c>
    </row>
    <row r="194" spans="1:9" s="10" customFormat="1" ht="47.4" customHeight="1" x14ac:dyDescent="0.3">
      <c r="A194" s="21" t="s">
        <v>512</v>
      </c>
      <c r="B194" s="28" t="s">
        <v>117</v>
      </c>
      <c r="C194" s="6" t="s">
        <v>556</v>
      </c>
      <c r="D194" s="19">
        <v>0</v>
      </c>
      <c r="E194" s="24">
        <v>0</v>
      </c>
      <c r="F194" s="24">
        <v>0</v>
      </c>
      <c r="G194" s="66"/>
      <c r="H194" s="65"/>
    </row>
    <row r="195" spans="1:9" s="10" customFormat="1" ht="56.4" customHeight="1" x14ac:dyDescent="0.3">
      <c r="A195" s="21" t="s">
        <v>557</v>
      </c>
      <c r="B195" s="28" t="s">
        <v>117</v>
      </c>
      <c r="C195" s="6" t="s">
        <v>559</v>
      </c>
      <c r="D195" s="19">
        <f>7.22096+714.87494</f>
        <v>722.09590000000003</v>
      </c>
      <c r="E195" s="24">
        <v>0</v>
      </c>
      <c r="F195" s="24">
        <v>0</v>
      </c>
      <c r="G195" s="66"/>
      <c r="H195" s="65">
        <f>D194/99</f>
        <v>0</v>
      </c>
    </row>
    <row r="196" spans="1:9" s="10" customFormat="1" ht="45.6" customHeight="1" x14ac:dyDescent="0.25">
      <c r="A196" s="102" t="s">
        <v>564</v>
      </c>
      <c r="B196" s="103" t="s">
        <v>223</v>
      </c>
      <c r="C196" s="103" t="s">
        <v>252</v>
      </c>
      <c r="D196" s="104">
        <f>D199+D200+D197+D198</f>
        <v>200</v>
      </c>
      <c r="E196" s="104">
        <f>E199+E200+E197+E198</f>
        <v>200</v>
      </c>
      <c r="F196" s="104">
        <f>F199+F200+F197+F198</f>
        <v>200</v>
      </c>
    </row>
    <row r="197" spans="1:9" s="10" customFormat="1" ht="45.6" hidden="1" customHeight="1" x14ac:dyDescent="0.25">
      <c r="A197" s="22"/>
      <c r="B197" s="114"/>
      <c r="C197" s="3"/>
      <c r="D197" s="81"/>
      <c r="E197" s="81"/>
      <c r="F197" s="81"/>
    </row>
    <row r="198" spans="1:9" s="10" customFormat="1" ht="45.6" hidden="1" customHeight="1" x14ac:dyDescent="0.25">
      <c r="A198" s="22"/>
      <c r="B198" s="114"/>
      <c r="C198" s="3"/>
      <c r="D198" s="81"/>
      <c r="E198" s="81"/>
      <c r="F198" s="81"/>
      <c r="G198" s="10">
        <f>D197/99</f>
        <v>0</v>
      </c>
    </row>
    <row r="199" spans="1:9" s="10" customFormat="1" ht="30.6" customHeight="1" x14ac:dyDescent="0.25">
      <c r="A199" s="21" t="s">
        <v>387</v>
      </c>
      <c r="B199" s="28" t="s">
        <v>117</v>
      </c>
      <c r="C199" s="6" t="s">
        <v>253</v>
      </c>
      <c r="D199" s="19">
        <v>197</v>
      </c>
      <c r="E199" s="19">
        <v>197</v>
      </c>
      <c r="F199" s="19">
        <v>197</v>
      </c>
      <c r="G199" s="61"/>
    </row>
    <row r="200" spans="1:9" s="10" customFormat="1" ht="30.6" customHeight="1" x14ac:dyDescent="0.25">
      <c r="A200" s="2" t="s">
        <v>609</v>
      </c>
      <c r="B200" s="3" t="s">
        <v>117</v>
      </c>
      <c r="C200" s="6" t="s">
        <v>253</v>
      </c>
      <c r="D200" s="19">
        <v>3</v>
      </c>
      <c r="E200" s="19">
        <v>3</v>
      </c>
      <c r="F200" s="19">
        <v>3</v>
      </c>
      <c r="G200" s="61"/>
    </row>
    <row r="201" spans="1:9" s="10" customFormat="1" ht="61.95" customHeight="1" x14ac:dyDescent="0.25">
      <c r="A201" s="102" t="s">
        <v>589</v>
      </c>
      <c r="B201" s="103" t="s">
        <v>223</v>
      </c>
      <c r="C201" s="103" t="s">
        <v>254</v>
      </c>
      <c r="D201" s="104">
        <f>SUM(D202:D208)</f>
        <v>46653.259190000004</v>
      </c>
      <c r="E201" s="104">
        <f>SUM(E202:E208)</f>
        <v>22508</v>
      </c>
      <c r="F201" s="104">
        <f>SUM(F202:F208)</f>
        <v>23428</v>
      </c>
      <c r="G201" s="61"/>
    </row>
    <row r="202" spans="1:9" s="10" customFormat="1" ht="43.2" hidden="1" customHeight="1" x14ac:dyDescent="0.25">
      <c r="A202" s="21" t="s">
        <v>459</v>
      </c>
      <c r="B202" s="28" t="s">
        <v>117</v>
      </c>
      <c r="C202" s="6" t="s">
        <v>259</v>
      </c>
      <c r="D202" s="19"/>
      <c r="E202" s="24"/>
      <c r="F202" s="24"/>
      <c r="G202" s="65"/>
    </row>
    <row r="203" spans="1:9" s="10" customFormat="1" ht="18.600000000000001" customHeight="1" x14ac:dyDescent="0.25">
      <c r="A203" s="21" t="s">
        <v>211</v>
      </c>
      <c r="B203" s="28" t="s">
        <v>117</v>
      </c>
      <c r="C203" s="6" t="s">
        <v>261</v>
      </c>
      <c r="D203" s="19">
        <f>6275-121.21212+10638.25919-80.80808+50.50505</f>
        <v>16761.744040000001</v>
      </c>
      <c r="E203" s="24">
        <v>6720</v>
      </c>
      <c r="F203" s="24">
        <v>6995</v>
      </c>
      <c r="G203" s="65" t="e">
        <f>#REF!/99</f>
        <v>#REF!</v>
      </c>
    </row>
    <row r="204" spans="1:9" s="10" customFormat="1" ht="15.6" customHeight="1" x14ac:dyDescent="0.25">
      <c r="A204" s="22" t="s">
        <v>175</v>
      </c>
      <c r="B204" s="28" t="s">
        <v>117</v>
      </c>
      <c r="C204" s="6" t="s">
        <v>260</v>
      </c>
      <c r="D204" s="19">
        <v>14740</v>
      </c>
      <c r="E204" s="24">
        <v>15788</v>
      </c>
      <c r="F204" s="24">
        <v>16433</v>
      </c>
      <c r="G204" s="65"/>
    </row>
    <row r="205" spans="1:9" s="10" customFormat="1" ht="45.75" hidden="1" customHeight="1" x14ac:dyDescent="0.25">
      <c r="A205" s="22" t="s">
        <v>273</v>
      </c>
      <c r="B205" s="28" t="s">
        <v>117</v>
      </c>
      <c r="C205" s="6" t="s">
        <v>274</v>
      </c>
      <c r="D205" s="19"/>
      <c r="E205" s="24"/>
      <c r="F205" s="24"/>
    </row>
    <row r="206" spans="1:9" s="10" customFormat="1" ht="45.75" hidden="1" customHeight="1" x14ac:dyDescent="0.25">
      <c r="A206" s="22" t="s">
        <v>277</v>
      </c>
      <c r="B206" s="28" t="s">
        <v>431</v>
      </c>
      <c r="C206" s="6" t="s">
        <v>278</v>
      </c>
      <c r="D206" s="19"/>
      <c r="E206" s="24"/>
      <c r="F206" s="24"/>
    </row>
    <row r="207" spans="1:9" s="10" customFormat="1" ht="31.2" customHeight="1" x14ac:dyDescent="0.25">
      <c r="A207" s="22" t="s">
        <v>398</v>
      </c>
      <c r="B207" s="28" t="s">
        <v>117</v>
      </c>
      <c r="C207" s="6" t="s">
        <v>388</v>
      </c>
      <c r="D207" s="19">
        <f>'2  '!D66</f>
        <v>15000</v>
      </c>
      <c r="E207" s="24">
        <f>'2  '!E66</f>
        <v>0</v>
      </c>
      <c r="F207" s="24">
        <f>'2  '!F66</f>
        <v>0</v>
      </c>
      <c r="G207" s="10">
        <f>D207/99</f>
        <v>151.5151515151515</v>
      </c>
      <c r="H207" s="10">
        <v>80.808080000000004</v>
      </c>
    </row>
    <row r="208" spans="1:9" s="10" customFormat="1" ht="43.2" customHeight="1" x14ac:dyDescent="0.25">
      <c r="A208" s="22" t="s">
        <v>399</v>
      </c>
      <c r="B208" s="28" t="s">
        <v>117</v>
      </c>
      <c r="C208" s="6" t="s">
        <v>397</v>
      </c>
      <c r="D208" s="19">
        <f>121.21212+80.80808-50.50505</f>
        <v>151.51515000000001</v>
      </c>
      <c r="E208" s="24">
        <v>0</v>
      </c>
      <c r="F208" s="24">
        <v>0</v>
      </c>
      <c r="G208" s="61">
        <f>G207-D208</f>
        <v>1.5151514958233747E-6</v>
      </c>
    </row>
    <row r="209" spans="1:8" s="10" customFormat="1" ht="45.75" customHeight="1" x14ac:dyDescent="0.25">
      <c r="A209" s="102" t="s">
        <v>487</v>
      </c>
      <c r="B209" s="103" t="s">
        <v>223</v>
      </c>
      <c r="C209" s="103" t="s">
        <v>285</v>
      </c>
      <c r="D209" s="104">
        <f>SUM(D210:D214)</f>
        <v>840</v>
      </c>
      <c r="E209" s="104">
        <f>SUM(E210:E213)</f>
        <v>590</v>
      </c>
      <c r="F209" s="104">
        <f>SUM(F210:F213)</f>
        <v>590</v>
      </c>
      <c r="G209" s="61"/>
    </row>
    <row r="210" spans="1:8" s="10" customFormat="1" ht="17.7" customHeight="1" x14ac:dyDescent="0.25">
      <c r="A210" s="21" t="s">
        <v>447</v>
      </c>
      <c r="B210" s="28" t="s">
        <v>226</v>
      </c>
      <c r="C210" s="6" t="s">
        <v>286</v>
      </c>
      <c r="D210" s="19">
        <f>100+140+300</f>
        <v>540</v>
      </c>
      <c r="E210" s="19">
        <v>550</v>
      </c>
      <c r="F210" s="19">
        <f>270+80+200</f>
        <v>550</v>
      </c>
    </row>
    <row r="211" spans="1:8" s="10" customFormat="1" ht="19.2" customHeight="1" x14ac:dyDescent="0.25">
      <c r="A211" s="21" t="s">
        <v>446</v>
      </c>
      <c r="B211" s="28" t="s">
        <v>117</v>
      </c>
      <c r="C211" s="6" t="s">
        <v>366</v>
      </c>
      <c r="D211" s="19">
        <v>10</v>
      </c>
      <c r="E211" s="19">
        <v>20</v>
      </c>
      <c r="F211" s="19">
        <f>20</f>
        <v>20</v>
      </c>
    </row>
    <row r="212" spans="1:8" s="10" customFormat="1" ht="16.95" customHeight="1" x14ac:dyDescent="0.25">
      <c r="A212" s="21" t="s">
        <v>448</v>
      </c>
      <c r="B212" s="28" t="s">
        <v>117</v>
      </c>
      <c r="C212" s="6" t="s">
        <v>445</v>
      </c>
      <c r="D212" s="19">
        <f>270+10</f>
        <v>280</v>
      </c>
      <c r="E212" s="19">
        <v>20</v>
      </c>
      <c r="F212" s="19">
        <f>20</f>
        <v>20</v>
      </c>
    </row>
    <row r="213" spans="1:8" s="10" customFormat="1" ht="16.95" customHeight="1" x14ac:dyDescent="0.25">
      <c r="A213" s="21" t="s">
        <v>455</v>
      </c>
      <c r="B213" s="28" t="s">
        <v>226</v>
      </c>
      <c r="C213" s="6" t="s">
        <v>456</v>
      </c>
      <c r="D213" s="19">
        <v>10</v>
      </c>
      <c r="E213" s="19">
        <v>0</v>
      </c>
      <c r="F213" s="19">
        <v>0</v>
      </c>
    </row>
    <row r="214" spans="1:8" s="10" customFormat="1" ht="29.4" hidden="1" customHeight="1" x14ac:dyDescent="0.25">
      <c r="A214" s="2" t="s">
        <v>633</v>
      </c>
      <c r="B214" s="3" t="s">
        <v>117</v>
      </c>
      <c r="C214" s="6" t="s">
        <v>632</v>
      </c>
      <c r="D214" s="19"/>
      <c r="E214" s="19">
        <v>0</v>
      </c>
      <c r="F214" s="19">
        <v>0</v>
      </c>
      <c r="G214" s="137"/>
    </row>
    <row r="215" spans="1:8" s="10" customFormat="1" ht="45.75" customHeight="1" x14ac:dyDescent="0.25">
      <c r="A215" s="102" t="s">
        <v>488</v>
      </c>
      <c r="B215" s="103" t="s">
        <v>223</v>
      </c>
      <c r="C215" s="103" t="s">
        <v>287</v>
      </c>
      <c r="D215" s="104">
        <f>SUM(D216:D222)</f>
        <v>20405.688610000001</v>
      </c>
      <c r="E215" s="104">
        <f>SUM(E216:E222)</f>
        <v>0</v>
      </c>
      <c r="F215" s="104">
        <f>SUM(F216:F222)</f>
        <v>0</v>
      </c>
    </row>
    <row r="216" spans="1:8" s="10" customFormat="1" ht="33" hidden="1" customHeight="1" x14ac:dyDescent="0.25">
      <c r="A216" s="21" t="s">
        <v>291</v>
      </c>
      <c r="B216" s="28" t="s">
        <v>432</v>
      </c>
      <c r="C216" s="6" t="s">
        <v>284</v>
      </c>
      <c r="D216" s="19">
        <v>0</v>
      </c>
      <c r="E216" s="24">
        <v>0</v>
      </c>
      <c r="F216" s="24">
        <v>0</v>
      </c>
    </row>
    <row r="217" spans="1:8" s="10" customFormat="1" ht="15.6" customHeight="1" x14ac:dyDescent="0.25">
      <c r="A217" s="22" t="s">
        <v>130</v>
      </c>
      <c r="B217" s="28" t="s">
        <v>117</v>
      </c>
      <c r="C217" s="6" t="s">
        <v>283</v>
      </c>
      <c r="D217" s="19">
        <f>110-100</f>
        <v>10</v>
      </c>
      <c r="E217" s="24">
        <v>0</v>
      </c>
      <c r="F217" s="24">
        <v>0</v>
      </c>
    </row>
    <row r="218" spans="1:8" s="10" customFormat="1" ht="58.2" customHeight="1" x14ac:dyDescent="0.25">
      <c r="A218" s="22" t="s">
        <v>292</v>
      </c>
      <c r="B218" s="28" t="s">
        <v>227</v>
      </c>
      <c r="C218" s="6" t="s">
        <v>280</v>
      </c>
      <c r="D218" s="19">
        <f>'2  '!D78</f>
        <v>11041.041999999999</v>
      </c>
      <c r="E218" s="24">
        <v>0</v>
      </c>
      <c r="F218" s="24">
        <v>0</v>
      </c>
      <c r="G218" s="61">
        <f>E218+E219+E220+E222+E322+E323+E324+20+10645.2</f>
        <v>22456.241999999998</v>
      </c>
      <c r="H218" s="61">
        <f>F218+F219+F220+F222+F322+F323+F324+20+10645.2</f>
        <v>22406.241999999998</v>
      </c>
    </row>
    <row r="219" spans="1:8" s="10" customFormat="1" ht="31.5" customHeight="1" x14ac:dyDescent="0.25">
      <c r="A219" s="22" t="s">
        <v>186</v>
      </c>
      <c r="B219" s="28" t="s">
        <v>227</v>
      </c>
      <c r="C219" s="6" t="s">
        <v>281</v>
      </c>
      <c r="D219" s="19">
        <v>7883.3519999999999</v>
      </c>
      <c r="E219" s="24">
        <v>0</v>
      </c>
      <c r="F219" s="24">
        <v>0</v>
      </c>
    </row>
    <row r="220" spans="1:8" s="10" customFormat="1" ht="29.7" customHeight="1" x14ac:dyDescent="0.25">
      <c r="A220" s="22" t="s">
        <v>610</v>
      </c>
      <c r="B220" s="28" t="s">
        <v>227</v>
      </c>
      <c r="C220" s="6" t="s">
        <v>282</v>
      </c>
      <c r="D220" s="19">
        <f>820+200+80</f>
        <v>1100</v>
      </c>
      <c r="E220" s="24">
        <v>0</v>
      </c>
      <c r="F220" s="24">
        <v>0</v>
      </c>
    </row>
    <row r="221" spans="1:8" s="10" customFormat="1" ht="43.2" hidden="1" customHeight="1" x14ac:dyDescent="0.25">
      <c r="A221" s="22" t="s">
        <v>610</v>
      </c>
      <c r="B221" s="28" t="s">
        <v>227</v>
      </c>
      <c r="C221" s="6" t="s">
        <v>282</v>
      </c>
      <c r="D221" s="19"/>
      <c r="E221" s="24"/>
      <c r="F221" s="24"/>
    </row>
    <row r="222" spans="1:8" s="10" customFormat="1" ht="30" customHeight="1" x14ac:dyDescent="0.25">
      <c r="A222" s="9" t="s">
        <v>611</v>
      </c>
      <c r="B222" s="3" t="s">
        <v>227</v>
      </c>
      <c r="C222" s="6" t="s">
        <v>282</v>
      </c>
      <c r="D222" s="19">
        <f>900-500-28.70539</f>
        <v>371.29460999999998</v>
      </c>
      <c r="E222" s="19">
        <v>0</v>
      </c>
      <c r="F222" s="19">
        <v>0</v>
      </c>
    </row>
    <row r="223" spans="1:8" s="10" customFormat="1" ht="33.75" customHeight="1" x14ac:dyDescent="0.25">
      <c r="A223" s="107" t="s">
        <v>581</v>
      </c>
      <c r="B223" s="103" t="s">
        <v>223</v>
      </c>
      <c r="C223" s="105" t="s">
        <v>309</v>
      </c>
      <c r="D223" s="104">
        <f>D224</f>
        <v>20</v>
      </c>
      <c r="E223" s="104">
        <f t="shared" ref="D223:F224" si="19">E224</f>
        <v>20</v>
      </c>
      <c r="F223" s="104">
        <f t="shared" si="19"/>
        <v>0</v>
      </c>
    </row>
    <row r="224" spans="1:8" s="10" customFormat="1" ht="28.95" customHeight="1" x14ac:dyDescent="0.25">
      <c r="A224" s="22" t="s">
        <v>310</v>
      </c>
      <c r="B224" s="28" t="s">
        <v>117</v>
      </c>
      <c r="C224" s="6" t="s">
        <v>311</v>
      </c>
      <c r="D224" s="19">
        <f t="shared" si="19"/>
        <v>20</v>
      </c>
      <c r="E224" s="24">
        <f t="shared" si="19"/>
        <v>20</v>
      </c>
      <c r="F224" s="24">
        <f t="shared" si="19"/>
        <v>0</v>
      </c>
    </row>
    <row r="225" spans="1:11" s="10" customFormat="1" ht="16.5" customHeight="1" x14ac:dyDescent="0.25">
      <c r="A225" s="22" t="s">
        <v>339</v>
      </c>
      <c r="B225" s="28" t="s">
        <v>117</v>
      </c>
      <c r="C225" s="6" t="s">
        <v>312</v>
      </c>
      <c r="D225" s="19">
        <v>20</v>
      </c>
      <c r="E225" s="19">
        <v>20</v>
      </c>
      <c r="F225" s="19">
        <v>0</v>
      </c>
    </row>
    <row r="226" spans="1:11" s="10" customFormat="1" ht="44.25" customHeight="1" x14ac:dyDescent="0.25">
      <c r="A226" s="102" t="s">
        <v>476</v>
      </c>
      <c r="B226" s="103" t="s">
        <v>223</v>
      </c>
      <c r="C226" s="103" t="s">
        <v>317</v>
      </c>
      <c r="D226" s="104">
        <f>D227+D228</f>
        <v>516.34833000000003</v>
      </c>
      <c r="E226" s="104">
        <f>E227+E228</f>
        <v>60.606059999999999</v>
      </c>
      <c r="F226" s="104">
        <f>F227+F228</f>
        <v>60.606059999999999</v>
      </c>
    </row>
    <row r="227" spans="1:11" s="10" customFormat="1" ht="31.95" customHeight="1" x14ac:dyDescent="0.25">
      <c r="A227" s="22" t="s">
        <v>348</v>
      </c>
      <c r="B227" s="28" t="s">
        <v>117</v>
      </c>
      <c r="C227" s="6" t="s">
        <v>318</v>
      </c>
      <c r="D227" s="19">
        <f>'2  '!D65</f>
        <v>511.18484999999998</v>
      </c>
      <c r="E227" s="24">
        <f>'2  '!E65</f>
        <v>0</v>
      </c>
      <c r="F227" s="24">
        <f>'2  '!F65</f>
        <v>0</v>
      </c>
    </row>
    <row r="228" spans="1:11" s="10" customFormat="1" ht="43.2" customHeight="1" x14ac:dyDescent="0.25">
      <c r="A228" s="22" t="s">
        <v>349</v>
      </c>
      <c r="B228" s="28" t="s">
        <v>117</v>
      </c>
      <c r="C228" s="6" t="s">
        <v>567</v>
      </c>
      <c r="D228" s="19">
        <v>5.1634799999999998</v>
      </c>
      <c r="E228" s="19">
        <v>60.606059999999999</v>
      </c>
      <c r="F228" s="19">
        <v>60.606059999999999</v>
      </c>
      <c r="G228" s="10">
        <f>D227/99</f>
        <v>5.1634833333333328</v>
      </c>
    </row>
    <row r="229" spans="1:11" s="10" customFormat="1" ht="73.95" customHeight="1" x14ac:dyDescent="0.25">
      <c r="A229" s="102" t="s">
        <v>441</v>
      </c>
      <c r="B229" s="103" t="s">
        <v>223</v>
      </c>
      <c r="C229" s="103" t="s">
        <v>417</v>
      </c>
      <c r="D229" s="104">
        <f>SUM(D230:D234)</f>
        <v>28949.990709999998</v>
      </c>
      <c r="E229" s="104">
        <f>SUM(E230:E234)</f>
        <v>38371.855009999999</v>
      </c>
      <c r="F229" s="104">
        <f>SUM(F230:F234)</f>
        <v>0</v>
      </c>
      <c r="I229" s="61"/>
      <c r="J229" s="61"/>
    </row>
    <row r="230" spans="1:11" s="10" customFormat="1" ht="31.95" customHeight="1" x14ac:dyDescent="0.25">
      <c r="A230" s="22" t="s">
        <v>419</v>
      </c>
      <c r="B230" s="28" t="s">
        <v>117</v>
      </c>
      <c r="C230" s="6" t="s">
        <v>421</v>
      </c>
      <c r="D230" s="19">
        <f>'2  '!D82</f>
        <v>15399.59071</v>
      </c>
      <c r="E230" s="24">
        <f>'2  '!E82</f>
        <v>15787.855009999999</v>
      </c>
      <c r="F230" s="24">
        <f>'2  '!F82-16369.45488</f>
        <v>0</v>
      </c>
    </row>
    <row r="231" spans="1:11" s="10" customFormat="1" ht="33" hidden="1" customHeight="1" x14ac:dyDescent="0.25">
      <c r="A231" s="22" t="s">
        <v>420</v>
      </c>
      <c r="B231" s="28" t="s">
        <v>117</v>
      </c>
      <c r="C231" s="6" t="s">
        <v>422</v>
      </c>
      <c r="D231" s="19"/>
      <c r="E231" s="24"/>
      <c r="F231" s="24"/>
      <c r="G231" s="61"/>
    </row>
    <row r="232" spans="1:11" s="10" customFormat="1" ht="44.7" customHeight="1" x14ac:dyDescent="0.25">
      <c r="A232" s="22" t="s">
        <v>486</v>
      </c>
      <c r="B232" s="28" t="s">
        <v>117</v>
      </c>
      <c r="C232" s="6" t="s">
        <v>1091</v>
      </c>
      <c r="D232" s="19">
        <f>15761.80812-1489.302-722.10612</f>
        <v>13550.4</v>
      </c>
      <c r="E232" s="19">
        <f>9816.49088-782.89088</f>
        <v>9033.5999999999985</v>
      </c>
      <c r="F232" s="19">
        <f>9816.49087-782.89087-9033.6</f>
        <v>0</v>
      </c>
      <c r="G232" s="156">
        <v>16987.40035</v>
      </c>
      <c r="H232" s="156">
        <v>10793.35435</v>
      </c>
      <c r="I232" s="156">
        <v>10793.35434</v>
      </c>
      <c r="K232" s="61"/>
    </row>
    <row r="233" spans="1:11" s="10" customFormat="1" ht="44.7" customHeight="1" x14ac:dyDescent="0.25">
      <c r="A233" s="22" t="s">
        <v>1088</v>
      </c>
      <c r="B233" s="28" t="s">
        <v>117</v>
      </c>
      <c r="C233" s="6" t="s">
        <v>1091</v>
      </c>
      <c r="D233" s="19">
        <f>1489.302-1489.302</f>
        <v>0</v>
      </c>
      <c r="E233" s="19">
        <v>0</v>
      </c>
      <c r="F233" s="19">
        <v>0</v>
      </c>
      <c r="G233" s="488" t="s">
        <v>1048</v>
      </c>
      <c r="H233" s="488">
        <f>E232-9033.6</f>
        <v>0</v>
      </c>
      <c r="I233" s="488">
        <f>F232-9033.6</f>
        <v>-9033.6</v>
      </c>
      <c r="K233" s="61"/>
    </row>
    <row r="234" spans="1:11" s="10" customFormat="1" ht="44.7" customHeight="1" x14ac:dyDescent="0.25">
      <c r="A234" s="22" t="s">
        <v>418</v>
      </c>
      <c r="B234" s="28" t="s">
        <v>117</v>
      </c>
      <c r="C234" s="6" t="s">
        <v>485</v>
      </c>
      <c r="D234" s="19">
        <f>'2  '!D85</f>
        <v>0</v>
      </c>
      <c r="E234" s="19">
        <f>'2  '!E85</f>
        <v>13550.4</v>
      </c>
      <c r="F234" s="19">
        <f>'2  '!F85-13550.4</f>
        <v>0</v>
      </c>
      <c r="G234" s="61">
        <f>G232-D314</f>
        <v>15039.701999999999</v>
      </c>
      <c r="H234" s="61">
        <f>H232-E314</f>
        <v>9033.5999999999985</v>
      </c>
      <c r="I234" s="61">
        <f>I232-F314</f>
        <v>0</v>
      </c>
      <c r="J234" s="61">
        <f>D232+D233</f>
        <v>13550.4</v>
      </c>
      <c r="K234" s="61"/>
    </row>
    <row r="235" spans="1:11" s="10" customFormat="1" ht="33" customHeight="1" x14ac:dyDescent="0.25">
      <c r="A235" s="102" t="s">
        <v>528</v>
      </c>
      <c r="B235" s="103" t="s">
        <v>223</v>
      </c>
      <c r="C235" s="108">
        <v>1600000000</v>
      </c>
      <c r="D235" s="104">
        <f>D236</f>
        <v>40</v>
      </c>
      <c r="E235" s="104">
        <f>E236</f>
        <v>0</v>
      </c>
      <c r="F235" s="104">
        <f>F236</f>
        <v>0</v>
      </c>
      <c r="G235" s="61"/>
      <c r="H235" s="61"/>
      <c r="I235" s="61"/>
    </row>
    <row r="236" spans="1:11" s="10" customFormat="1" ht="16.2" customHeight="1" x14ac:dyDescent="0.25">
      <c r="A236" s="22" t="s">
        <v>480</v>
      </c>
      <c r="B236" s="28" t="s">
        <v>117</v>
      </c>
      <c r="C236" s="6" t="s">
        <v>494</v>
      </c>
      <c r="D236" s="19">
        <v>40</v>
      </c>
      <c r="E236" s="19">
        <v>0</v>
      </c>
      <c r="F236" s="19">
        <v>0</v>
      </c>
      <c r="G236" s="61"/>
      <c r="H236" s="61"/>
      <c r="I236" s="61"/>
    </row>
    <row r="237" spans="1:11" s="10" customFormat="1" ht="44.7" hidden="1" customHeight="1" x14ac:dyDescent="0.25">
      <c r="A237" s="22"/>
      <c r="B237" s="28"/>
      <c r="C237" s="6"/>
      <c r="D237" s="19"/>
      <c r="E237" s="24"/>
      <c r="F237" s="24"/>
      <c r="G237" s="61"/>
    </row>
    <row r="238" spans="1:11" s="10" customFormat="1" ht="44.7" customHeight="1" x14ac:dyDescent="0.25">
      <c r="A238" s="102" t="s">
        <v>596</v>
      </c>
      <c r="B238" s="103" t="s">
        <v>223</v>
      </c>
      <c r="C238" s="108">
        <v>1700000000</v>
      </c>
      <c r="D238" s="104">
        <f>D239</f>
        <v>15</v>
      </c>
      <c r="E238" s="104">
        <f>E239</f>
        <v>0</v>
      </c>
      <c r="F238" s="104">
        <f>F239</f>
        <v>0</v>
      </c>
      <c r="G238" s="61"/>
    </row>
    <row r="239" spans="1:11" s="10" customFormat="1" ht="33.6" customHeight="1" x14ac:dyDescent="0.25">
      <c r="A239" s="9" t="s">
        <v>597</v>
      </c>
      <c r="B239" s="3" t="s">
        <v>117</v>
      </c>
      <c r="C239" s="6" t="s">
        <v>598</v>
      </c>
      <c r="D239" s="19">
        <v>15</v>
      </c>
      <c r="E239" s="19">
        <v>0</v>
      </c>
      <c r="F239" s="19">
        <v>0</v>
      </c>
      <c r="G239" s="61"/>
    </row>
    <row r="240" spans="1:11" s="10" customFormat="1" ht="33.6" customHeight="1" x14ac:dyDescent="0.25">
      <c r="A240" s="102" t="s">
        <v>635</v>
      </c>
      <c r="B240" s="139" t="s">
        <v>117</v>
      </c>
      <c r="C240" s="30" t="s">
        <v>636</v>
      </c>
      <c r="D240" s="138">
        <f>D242+D241</f>
        <v>1911.2709</v>
      </c>
      <c r="E240" s="138">
        <f>E242+E241</f>
        <v>3590.68487</v>
      </c>
      <c r="F240" s="138">
        <f>F242+F241</f>
        <v>3691.67353</v>
      </c>
      <c r="G240" s="61"/>
      <c r="H240" s="10">
        <v>23.5</v>
      </c>
      <c r="I240" s="10">
        <f>E241/H241</f>
        <v>0</v>
      </c>
    </row>
    <row r="241" spans="1:9" s="10" customFormat="1" ht="33.6" customHeight="1" x14ac:dyDescent="0.25">
      <c r="A241" s="456" t="s">
        <v>1044</v>
      </c>
      <c r="B241" s="3" t="s">
        <v>117</v>
      </c>
      <c r="C241" s="6" t="s">
        <v>688</v>
      </c>
      <c r="D241" s="19">
        <f>'2  '!D49-911.2709</f>
        <v>0</v>
      </c>
      <c r="E241" s="19">
        <v>0</v>
      </c>
      <c r="F241" s="19">
        <v>0</v>
      </c>
      <c r="G241" s="61"/>
      <c r="H241" s="61">
        <v>76.5</v>
      </c>
      <c r="I241" s="10">
        <f>I240*H240</f>
        <v>0</v>
      </c>
    </row>
    <row r="242" spans="1:9" s="10" customFormat="1" ht="46.95" customHeight="1" x14ac:dyDescent="0.25">
      <c r="A242" s="457" t="s">
        <v>1054</v>
      </c>
      <c r="B242" s="3" t="s">
        <v>117</v>
      </c>
      <c r="C242" s="6" t="s">
        <v>637</v>
      </c>
      <c r="D242" s="19">
        <f>277.08368+722.91632+911.2709</f>
        <v>1911.2709</v>
      </c>
      <c r="E242" s="19">
        <f>775+2815.68487</f>
        <v>3590.68487</v>
      </c>
      <c r="F242" s="19">
        <f>715+2976.67353</f>
        <v>3691.67353</v>
      </c>
      <c r="G242" s="61">
        <f>D242-1000</f>
        <v>911.27089999999998</v>
      </c>
    </row>
    <row r="243" spans="1:9" s="10" customFormat="1" ht="63.6" customHeight="1" x14ac:dyDescent="0.25">
      <c r="A243" s="102" t="s">
        <v>1101</v>
      </c>
      <c r="B243" s="139" t="s">
        <v>117</v>
      </c>
      <c r="C243" s="30" t="s">
        <v>1050</v>
      </c>
      <c r="D243" s="138">
        <f>D245+D244+D246</f>
        <v>9099.8363100000006</v>
      </c>
      <c r="E243" s="138">
        <f t="shared" ref="E243:F243" si="20">E245+E244+E246</f>
        <v>2003.38708</v>
      </c>
      <c r="F243" s="138">
        <f t="shared" si="20"/>
        <v>2003.38708</v>
      </c>
      <c r="G243" s="61"/>
      <c r="H243" s="10">
        <f>D243/12</f>
        <v>758.31969250000009</v>
      </c>
    </row>
    <row r="244" spans="1:9" s="10" customFormat="1" ht="58.2" customHeight="1" x14ac:dyDescent="0.25">
      <c r="A244" s="2" t="s">
        <v>649</v>
      </c>
      <c r="B244" s="3" t="s">
        <v>117</v>
      </c>
      <c r="C244" s="3" t="s">
        <v>1051</v>
      </c>
      <c r="D244" s="81">
        <f>'2  '!D60</f>
        <v>7277.1593800000001</v>
      </c>
      <c r="E244" s="81">
        <f>'2  '!E60</f>
        <v>0</v>
      </c>
      <c r="F244" s="81">
        <f>'2  '!F60</f>
        <v>0</v>
      </c>
      <c r="G244" s="61" t="s">
        <v>1048</v>
      </c>
      <c r="H244" s="10">
        <f>H243*2</f>
        <v>1516.6393850000002</v>
      </c>
    </row>
    <row r="245" spans="1:9" s="10" customFormat="1" ht="51.6" customHeight="1" x14ac:dyDescent="0.25">
      <c r="A245" s="2" t="s">
        <v>1052</v>
      </c>
      <c r="B245" s="3" t="s">
        <v>117</v>
      </c>
      <c r="C245" s="3" t="s">
        <v>1053</v>
      </c>
      <c r="D245" s="81">
        <f>1819.28985</f>
        <v>1819.2898499999999</v>
      </c>
      <c r="E245" s="24">
        <v>2000</v>
      </c>
      <c r="F245" s="24">
        <v>2000</v>
      </c>
      <c r="G245" s="61">
        <f>D245/12</f>
        <v>151.60748749999999</v>
      </c>
      <c r="H245" s="10">
        <f>G245*2</f>
        <v>303.21497499999998</v>
      </c>
    </row>
    <row r="246" spans="1:9" s="10" customFormat="1" ht="65.25" customHeight="1" x14ac:dyDescent="0.25">
      <c r="A246" s="2" t="s">
        <v>795</v>
      </c>
      <c r="B246" s="3" t="s">
        <v>117</v>
      </c>
      <c r="C246" s="3" t="s">
        <v>1055</v>
      </c>
      <c r="D246" s="81">
        <f>'2  '!D83</f>
        <v>3.3870800000000001</v>
      </c>
      <c r="E246" s="81">
        <f>'2  '!E83</f>
        <v>3.3870800000000001</v>
      </c>
      <c r="F246" s="81">
        <f>'2  '!F83</f>
        <v>3.3870800000000001</v>
      </c>
      <c r="G246" s="61"/>
    </row>
    <row r="247" spans="1:9" s="350" customFormat="1" ht="65.25" customHeight="1" x14ac:dyDescent="0.25">
      <c r="A247" s="102" t="s">
        <v>1058</v>
      </c>
      <c r="B247" s="461" t="s">
        <v>117</v>
      </c>
      <c r="C247" s="462" t="s">
        <v>1059</v>
      </c>
      <c r="D247" s="463">
        <f>D250+D251+D248+D249+D252</f>
        <v>65630.029899999994</v>
      </c>
      <c r="E247" s="463">
        <f t="shared" ref="E247:F247" si="21">E250+E251</f>
        <v>0</v>
      </c>
      <c r="F247" s="463">
        <f t="shared" si="21"/>
        <v>0</v>
      </c>
      <c r="G247" s="449"/>
    </row>
    <row r="248" spans="1:9" s="350" customFormat="1" ht="79.2" customHeight="1" x14ac:dyDescent="0.25">
      <c r="A248" s="2" t="s">
        <v>1141</v>
      </c>
      <c r="B248" s="3" t="s">
        <v>117</v>
      </c>
      <c r="C248" s="6" t="s">
        <v>1080</v>
      </c>
      <c r="D248" s="81">
        <f>'2  '!D55</f>
        <v>59948.979599999999</v>
      </c>
      <c r="E248" s="81">
        <f>'2  '!E48</f>
        <v>0</v>
      </c>
      <c r="F248" s="81">
        <f>'2  '!F48</f>
        <v>0</v>
      </c>
      <c r="G248" s="449"/>
    </row>
    <row r="249" spans="1:9" s="350" customFormat="1" ht="51" customHeight="1" x14ac:dyDescent="0.25">
      <c r="A249" s="2" t="s">
        <v>1142</v>
      </c>
      <c r="B249" s="3" t="s">
        <v>117</v>
      </c>
      <c r="C249" s="6" t="s">
        <v>1080</v>
      </c>
      <c r="D249" s="81">
        <f>463.82189+141.72336</f>
        <v>605.54525000000001</v>
      </c>
      <c r="E249" s="81">
        <v>0</v>
      </c>
      <c r="F249" s="81">
        <v>0</v>
      </c>
      <c r="G249" s="449" t="s">
        <v>1114</v>
      </c>
      <c r="H249" s="528">
        <f>D248/99</f>
        <v>605.54524848484846</v>
      </c>
      <c r="I249" s="449">
        <f>H249-D249</f>
        <v>-1.5151515526667936E-6</v>
      </c>
    </row>
    <row r="250" spans="1:9" s="10" customFormat="1" ht="34.950000000000003" customHeight="1" x14ac:dyDescent="0.25">
      <c r="A250" s="9" t="s">
        <v>1128</v>
      </c>
      <c r="B250" s="133">
        <v>951</v>
      </c>
      <c r="C250" s="3" t="s">
        <v>1057</v>
      </c>
      <c r="D250" s="81">
        <f>'2  '!D59</f>
        <v>5000</v>
      </c>
      <c r="E250" s="81">
        <f>'2  '!E113</f>
        <v>0</v>
      </c>
      <c r="F250" s="81">
        <f>'2  '!F113</f>
        <v>0</v>
      </c>
      <c r="G250" s="61"/>
    </row>
    <row r="251" spans="1:9" s="10" customFormat="1" ht="65.25" customHeight="1" x14ac:dyDescent="0.25">
      <c r="A251" s="9" t="s">
        <v>1136</v>
      </c>
      <c r="B251" s="133">
        <v>951</v>
      </c>
      <c r="C251" s="3" t="s">
        <v>1063</v>
      </c>
      <c r="D251" s="81">
        <v>50.505049999999997</v>
      </c>
      <c r="E251" s="81">
        <v>0</v>
      </c>
      <c r="F251" s="81">
        <v>0</v>
      </c>
      <c r="G251" s="61">
        <f>D253/D327*100</f>
        <v>89.573199478958927</v>
      </c>
    </row>
    <row r="252" spans="1:9" s="10" customFormat="1" ht="36.75" customHeight="1" x14ac:dyDescent="0.25">
      <c r="A252" s="9" t="s">
        <v>1148</v>
      </c>
      <c r="B252" s="133">
        <v>951</v>
      </c>
      <c r="C252" s="3" t="s">
        <v>1147</v>
      </c>
      <c r="D252" s="81">
        <f>10+15</f>
        <v>25</v>
      </c>
      <c r="E252" s="81">
        <v>0</v>
      </c>
      <c r="F252" s="81">
        <v>0</v>
      </c>
      <c r="G252" s="61"/>
    </row>
    <row r="253" spans="1:9" s="63" customFormat="1" ht="18" customHeight="1" x14ac:dyDescent="0.25">
      <c r="A253" s="109" t="s">
        <v>79</v>
      </c>
      <c r="B253" s="110"/>
      <c r="C253" s="111"/>
      <c r="D253" s="112">
        <f>D187+D145+D143+D121+D114+D111+D107+D12+D196+D201+D209+D215+D223+D226+D229+D235+D238+D240+D243+D247</f>
        <v>857409.81594000012</v>
      </c>
      <c r="E253" s="112">
        <f>E187+E145+E143+E121+E114+E111+E107+E12+E196+E201+E209+E215+E223+E226+E229+E235+E238+E240+E243</f>
        <v>643230.15168999997</v>
      </c>
      <c r="F253" s="112">
        <f>F187+F145+F143+F121+F114+F111+F107+F12+F196+F201+F209+F215+F223+F226+F229+F235+F238+F240+F243</f>
        <v>608775.55550999998</v>
      </c>
      <c r="G253" s="481">
        <f>D253/D327*100</f>
        <v>89.573199478958927</v>
      </c>
      <c r="H253" s="481">
        <f t="shared" ref="H253:I253" si="22">E253/E327*100</f>
        <v>84.956055738682551</v>
      </c>
      <c r="I253" s="481">
        <f t="shared" si="22"/>
        <v>79.1278389385281</v>
      </c>
    </row>
    <row r="254" spans="1:9" ht="18" customHeight="1" x14ac:dyDescent="0.25">
      <c r="A254" s="570" t="s">
        <v>207</v>
      </c>
      <c r="B254" s="571"/>
      <c r="C254" s="571"/>
      <c r="D254" s="571"/>
      <c r="E254" s="572"/>
      <c r="F254" s="572"/>
    </row>
    <row r="255" spans="1:9" ht="30" hidden="1" customHeight="1" x14ac:dyDescent="0.25">
      <c r="A255" s="23" t="s">
        <v>110</v>
      </c>
      <c r="B255" s="68"/>
      <c r="C255" s="418" t="s">
        <v>5</v>
      </c>
      <c r="D255" s="519"/>
      <c r="E255" s="70"/>
      <c r="F255" s="70"/>
    </row>
    <row r="256" spans="1:9" hidden="1" x14ac:dyDescent="0.25">
      <c r="A256" s="23" t="s">
        <v>80</v>
      </c>
      <c r="B256" s="68"/>
      <c r="C256" s="418" t="s">
        <v>6</v>
      </c>
      <c r="D256" s="519"/>
      <c r="E256" s="70"/>
      <c r="F256" s="70"/>
    </row>
    <row r="257" spans="1:10" x14ac:dyDescent="0.25">
      <c r="A257" s="22" t="s">
        <v>228</v>
      </c>
      <c r="B257" s="28" t="s">
        <v>117</v>
      </c>
      <c r="C257" s="3" t="s">
        <v>7</v>
      </c>
      <c r="D257" s="81">
        <v>3257.7</v>
      </c>
      <c r="E257" s="81">
        <v>3257.7</v>
      </c>
      <c r="F257" s="81">
        <v>3257.7</v>
      </c>
    </row>
    <row r="258" spans="1:10" ht="16.95" customHeight="1" x14ac:dyDescent="0.25">
      <c r="A258" s="22" t="s">
        <v>96</v>
      </c>
      <c r="B258" s="28" t="s">
        <v>224</v>
      </c>
      <c r="C258" s="3" t="s">
        <v>8</v>
      </c>
      <c r="D258" s="81">
        <v>3044.43</v>
      </c>
      <c r="E258" s="81">
        <v>3044.43</v>
      </c>
      <c r="F258" s="81">
        <v>3044.43</v>
      </c>
    </row>
    <row r="259" spans="1:10" ht="28.95" customHeight="1" x14ac:dyDescent="0.25">
      <c r="A259" s="22" t="s">
        <v>112</v>
      </c>
      <c r="B259" s="28"/>
      <c r="C259" s="3" t="s">
        <v>9</v>
      </c>
      <c r="D259" s="81">
        <f>344+3915.039+42495.9+7247.5+10645.2+273+145.989+1580.6</f>
        <v>66647.228000000003</v>
      </c>
      <c r="E259" s="81">
        <f t="shared" ref="E259:F259" si="23">344+3915.039+42495.9+7247.5+10645.2</f>
        <v>64647.638999999996</v>
      </c>
      <c r="F259" s="81">
        <f t="shared" si="23"/>
        <v>64647.638999999996</v>
      </c>
    </row>
    <row r="260" spans="1:10" ht="28.95" customHeight="1" x14ac:dyDescent="0.25">
      <c r="A260" s="440" t="s">
        <v>1064</v>
      </c>
      <c r="B260" s="437"/>
      <c r="C260" s="437" t="s">
        <v>1061</v>
      </c>
      <c r="D260" s="529">
        <f>20+13+55+50</f>
        <v>138</v>
      </c>
      <c r="E260" s="529">
        <f t="shared" ref="E260:F260" si="24">20+13+55</f>
        <v>88</v>
      </c>
      <c r="F260" s="529">
        <f t="shared" si="24"/>
        <v>88</v>
      </c>
      <c r="G260" s="45" t="s">
        <v>1048</v>
      </c>
      <c r="I260" s="50">
        <f>E258+13+3915.039</f>
        <v>6972.4690000000001</v>
      </c>
      <c r="J260" s="50">
        <f>F258+13+3915.039</f>
        <v>6972.4690000000001</v>
      </c>
    </row>
    <row r="261" spans="1:10" ht="16.5" customHeight="1" x14ac:dyDescent="0.25">
      <c r="A261" s="22" t="s">
        <v>97</v>
      </c>
      <c r="B261" s="28" t="s">
        <v>225</v>
      </c>
      <c r="C261" s="3" t="s">
        <v>10</v>
      </c>
      <c r="D261" s="81">
        <f>2603.635+156.5</f>
        <v>2760.1350000000002</v>
      </c>
      <c r="E261" s="81">
        <v>2603.6350000000002</v>
      </c>
      <c r="F261" s="81">
        <v>2603.6350000000002</v>
      </c>
      <c r="H261" s="71"/>
    </row>
    <row r="262" spans="1:10" ht="15" customHeight="1" x14ac:dyDescent="0.25">
      <c r="A262" s="22" t="s">
        <v>98</v>
      </c>
      <c r="B262" s="28"/>
      <c r="C262" s="3" t="s">
        <v>12</v>
      </c>
      <c r="D262" s="81">
        <f>5511.1/1000</f>
        <v>5.5111000000000008</v>
      </c>
      <c r="E262" s="62">
        <v>0</v>
      </c>
      <c r="F262" s="62">
        <v>0</v>
      </c>
      <c r="H262" s="71"/>
    </row>
    <row r="263" spans="1:10" ht="15" hidden="1" customHeight="1" x14ac:dyDescent="0.25">
      <c r="A263" s="9" t="s">
        <v>634</v>
      </c>
      <c r="B263" s="3" t="s">
        <v>227</v>
      </c>
      <c r="C263" s="3" t="s">
        <v>640</v>
      </c>
      <c r="D263" s="81">
        <v>0</v>
      </c>
      <c r="E263" s="81">
        <v>0</v>
      </c>
      <c r="F263" s="81">
        <v>0</v>
      </c>
      <c r="G263" s="137"/>
      <c r="H263" s="71"/>
    </row>
    <row r="264" spans="1:10" ht="16.5" customHeight="1" x14ac:dyDescent="0.25">
      <c r="A264" s="22" t="s">
        <v>99</v>
      </c>
      <c r="B264" s="28" t="s">
        <v>117</v>
      </c>
      <c r="C264" s="3" t="s">
        <v>13</v>
      </c>
      <c r="D264" s="81">
        <f>200+210+200</f>
        <v>610</v>
      </c>
      <c r="E264" s="81">
        <v>420.96</v>
      </c>
      <c r="F264" s="81">
        <v>420.96</v>
      </c>
      <c r="H264" s="71"/>
    </row>
    <row r="265" spans="1:10" ht="28.2" customHeight="1" x14ac:dyDescent="0.25">
      <c r="A265" s="22" t="s">
        <v>210</v>
      </c>
      <c r="B265" s="28" t="s">
        <v>117</v>
      </c>
      <c r="C265" s="3" t="s">
        <v>14</v>
      </c>
      <c r="D265" s="81">
        <v>100</v>
      </c>
      <c r="E265" s="81">
        <v>100</v>
      </c>
      <c r="F265" s="81">
        <v>100</v>
      </c>
      <c r="G265" s="45">
        <f>D259/D326*100</f>
        <v>66.776040190173177</v>
      </c>
      <c r="H265" s="71"/>
    </row>
    <row r="266" spans="1:10" ht="28.2" hidden="1" customHeight="1" x14ac:dyDescent="0.25">
      <c r="A266" s="22"/>
      <c r="B266" s="28"/>
      <c r="C266" s="3"/>
      <c r="D266" s="81"/>
      <c r="E266" s="81"/>
      <c r="F266" s="81"/>
      <c r="H266" s="71"/>
    </row>
    <row r="267" spans="1:10" ht="28.2" hidden="1" customHeight="1" x14ac:dyDescent="0.25">
      <c r="A267" s="22"/>
      <c r="B267" s="28"/>
      <c r="C267" s="3"/>
      <c r="D267" s="81"/>
      <c r="E267" s="81"/>
      <c r="F267" s="81"/>
      <c r="H267" s="71"/>
    </row>
    <row r="268" spans="1:10" ht="33.75" hidden="1" customHeight="1" x14ac:dyDescent="0.25">
      <c r="A268" s="9" t="s">
        <v>30</v>
      </c>
      <c r="B268" s="133">
        <v>951</v>
      </c>
      <c r="C268" s="3" t="s">
        <v>15</v>
      </c>
      <c r="D268" s="81">
        <v>0</v>
      </c>
      <c r="E268" s="447">
        <v>0</v>
      </c>
      <c r="F268" s="447">
        <v>0</v>
      </c>
      <c r="H268" s="71"/>
    </row>
    <row r="269" spans="1:10" ht="17.25" hidden="1" customHeight="1" x14ac:dyDescent="0.25">
      <c r="A269" s="22" t="s">
        <v>211</v>
      </c>
      <c r="B269" s="114"/>
      <c r="C269" s="3" t="s">
        <v>16</v>
      </c>
      <c r="D269" s="81"/>
      <c r="E269" s="62"/>
      <c r="F269" s="62"/>
      <c r="H269" s="71"/>
    </row>
    <row r="270" spans="1:10" ht="16.2" hidden="1" customHeight="1" x14ac:dyDescent="0.25">
      <c r="A270" s="22" t="s">
        <v>316</v>
      </c>
      <c r="B270" s="28" t="s">
        <v>117</v>
      </c>
      <c r="C270" s="3" t="s">
        <v>17</v>
      </c>
      <c r="D270" s="81">
        <v>0</v>
      </c>
      <c r="E270" s="62">
        <v>0</v>
      </c>
      <c r="F270" s="62">
        <v>0</v>
      </c>
      <c r="H270" s="71"/>
    </row>
    <row r="271" spans="1:10" ht="15" customHeight="1" x14ac:dyDescent="0.25">
      <c r="A271" s="22" t="s">
        <v>213</v>
      </c>
      <c r="B271" s="28" t="s">
        <v>117</v>
      </c>
      <c r="C271" s="3" t="s">
        <v>18</v>
      </c>
      <c r="D271" s="81">
        <f>90</f>
        <v>90</v>
      </c>
      <c r="E271" s="62">
        <v>90</v>
      </c>
      <c r="F271" s="62">
        <v>90</v>
      </c>
      <c r="H271" s="71"/>
    </row>
    <row r="272" spans="1:10" ht="59.25" customHeight="1" x14ac:dyDescent="0.25">
      <c r="A272" s="22" t="s">
        <v>650</v>
      </c>
      <c r="B272" s="28" t="s">
        <v>117</v>
      </c>
      <c r="C272" s="3" t="s">
        <v>690</v>
      </c>
      <c r="D272" s="81">
        <f>'2  '!D61</f>
        <v>395.90499999999997</v>
      </c>
      <c r="E272" s="62">
        <v>0</v>
      </c>
      <c r="F272" s="62">
        <v>0</v>
      </c>
      <c r="G272" s="45" t="s">
        <v>1048</v>
      </c>
      <c r="H272" s="71"/>
    </row>
    <row r="273" spans="1:9" ht="60.75" customHeight="1" x14ac:dyDescent="0.25">
      <c r="A273" s="22" t="s">
        <v>1049</v>
      </c>
      <c r="B273" s="28" t="s">
        <v>117</v>
      </c>
      <c r="C273" s="3" t="s">
        <v>691</v>
      </c>
      <c r="D273" s="81">
        <f>3.43969+337.08981+55.3755</f>
        <v>395.90499999999997</v>
      </c>
      <c r="E273" s="62">
        <v>0</v>
      </c>
      <c r="F273" s="62">
        <v>0</v>
      </c>
      <c r="H273" s="71"/>
      <c r="I273" s="50">
        <f>D257+D258+D259+D260+D261+D264+D265+D271+D273+D274+D275+D277+D282+D286+D292+D293+D296+D298</f>
        <v>86578.201809999984</v>
      </c>
    </row>
    <row r="274" spans="1:9" ht="15.75" customHeight="1" x14ac:dyDescent="0.25">
      <c r="A274" s="22" t="s">
        <v>214</v>
      </c>
      <c r="B274" s="28" t="s">
        <v>117</v>
      </c>
      <c r="C274" s="3" t="s">
        <v>19</v>
      </c>
      <c r="D274" s="81">
        <v>350</v>
      </c>
      <c r="E274" s="81">
        <v>350</v>
      </c>
      <c r="F274" s="81">
        <v>350</v>
      </c>
      <c r="H274" s="71"/>
    </row>
    <row r="275" spans="1:9" ht="15.75" customHeight="1" x14ac:dyDescent="0.25">
      <c r="A275" s="22" t="s">
        <v>257</v>
      </c>
      <c r="B275" s="28" t="s">
        <v>117</v>
      </c>
      <c r="C275" s="3" t="s">
        <v>67</v>
      </c>
      <c r="D275" s="81">
        <f>1200+1275</f>
        <v>2475</v>
      </c>
      <c r="E275" s="81">
        <v>1200</v>
      </c>
      <c r="F275" s="81">
        <v>1200</v>
      </c>
      <c r="H275" s="71"/>
    </row>
    <row r="276" spans="1:9" ht="15.75" hidden="1" customHeight="1" x14ac:dyDescent="0.25">
      <c r="A276" s="22" t="s">
        <v>123</v>
      </c>
      <c r="B276" s="28" t="s">
        <v>117</v>
      </c>
      <c r="C276" s="3" t="s">
        <v>73</v>
      </c>
      <c r="D276" s="81"/>
      <c r="E276" s="62"/>
      <c r="F276" s="62"/>
      <c r="H276" s="71"/>
    </row>
    <row r="277" spans="1:9" ht="15.75" customHeight="1" x14ac:dyDescent="0.25">
      <c r="A277" s="9" t="s">
        <v>258</v>
      </c>
      <c r="B277" s="3" t="s">
        <v>117</v>
      </c>
      <c r="C277" s="3" t="s">
        <v>74</v>
      </c>
      <c r="D277" s="81">
        <v>1063.9000000000001</v>
      </c>
      <c r="E277" s="81">
        <v>1063.9000000000001</v>
      </c>
      <c r="F277" s="81">
        <v>1063.9000000000001</v>
      </c>
      <c r="G277" s="72"/>
      <c r="H277" s="71"/>
    </row>
    <row r="278" spans="1:9" ht="30" hidden="1" customHeight="1" x14ac:dyDescent="0.25">
      <c r="A278" s="9" t="s">
        <v>186</v>
      </c>
      <c r="B278" s="3" t="s">
        <v>117</v>
      </c>
      <c r="C278" s="3" t="s">
        <v>75</v>
      </c>
      <c r="D278" s="81"/>
      <c r="E278" s="81"/>
      <c r="F278" s="81"/>
    </row>
    <row r="279" spans="1:9" ht="17.25" hidden="1" customHeight="1" x14ac:dyDescent="0.25">
      <c r="A279" s="9" t="s">
        <v>248</v>
      </c>
      <c r="B279" s="3" t="s">
        <v>117</v>
      </c>
      <c r="C279" s="3" t="s">
        <v>76</v>
      </c>
      <c r="D279" s="81"/>
      <c r="E279" s="81"/>
      <c r="F279" s="81"/>
    </row>
    <row r="280" spans="1:9" ht="79.5" hidden="1" customHeight="1" x14ac:dyDescent="0.25">
      <c r="A280" s="9" t="s">
        <v>272</v>
      </c>
      <c r="B280" s="3" t="s">
        <v>117</v>
      </c>
      <c r="C280" s="3" t="s">
        <v>271</v>
      </c>
      <c r="D280" s="81"/>
      <c r="E280" s="81"/>
      <c r="F280" s="81"/>
    </row>
    <row r="281" spans="1:9" ht="17.25" hidden="1" customHeight="1" x14ac:dyDescent="0.25">
      <c r="A281" s="9" t="s">
        <v>267</v>
      </c>
      <c r="B281" s="3" t="s">
        <v>117</v>
      </c>
      <c r="C281" s="3" t="s">
        <v>268</v>
      </c>
      <c r="D281" s="81"/>
      <c r="E281" s="81"/>
      <c r="F281" s="81"/>
    </row>
    <row r="282" spans="1:9" ht="17.25" customHeight="1" x14ac:dyDescent="0.25">
      <c r="A282" s="9" t="s">
        <v>275</v>
      </c>
      <c r="B282" s="3" t="s">
        <v>117</v>
      </c>
      <c r="C282" s="3" t="s">
        <v>276</v>
      </c>
      <c r="D282" s="81">
        <f>2087.15+284.555+20.209+89.85881</f>
        <v>2481.7728099999999</v>
      </c>
      <c r="E282" s="81">
        <v>2087.15</v>
      </c>
      <c r="F282" s="81">
        <v>2087.15</v>
      </c>
    </row>
    <row r="283" spans="1:9" ht="63.75" hidden="1" customHeight="1" x14ac:dyDescent="0.25">
      <c r="A283" s="9" t="s">
        <v>198</v>
      </c>
      <c r="B283" s="3" t="s">
        <v>117</v>
      </c>
      <c r="C283" s="3" t="s">
        <v>263</v>
      </c>
      <c r="D283" s="81"/>
      <c r="E283" s="81"/>
      <c r="F283" s="81"/>
    </row>
    <row r="284" spans="1:9" ht="16.2" hidden="1" customHeight="1" x14ac:dyDescent="0.25">
      <c r="A284" s="9" t="s">
        <v>300</v>
      </c>
      <c r="B284" s="3" t="s">
        <v>117</v>
      </c>
      <c r="C284" s="3" t="s">
        <v>301</v>
      </c>
      <c r="D284" s="81"/>
      <c r="E284" s="81"/>
      <c r="F284" s="81"/>
    </row>
    <row r="285" spans="1:9" ht="16.2" hidden="1" customHeight="1" x14ac:dyDescent="0.25">
      <c r="A285" s="9" t="s">
        <v>350</v>
      </c>
      <c r="B285" s="3" t="s">
        <v>117</v>
      </c>
      <c r="C285" s="3" t="s">
        <v>321</v>
      </c>
      <c r="D285" s="81"/>
      <c r="E285" s="81"/>
      <c r="F285" s="81"/>
    </row>
    <row r="286" spans="1:9" ht="15" customHeight="1" x14ac:dyDescent="0.25">
      <c r="A286" s="9" t="s">
        <v>307</v>
      </c>
      <c r="B286" s="3" t="s">
        <v>117</v>
      </c>
      <c r="C286" s="3" t="s">
        <v>308</v>
      </c>
      <c r="D286" s="81">
        <f>2000-70-70-70-9-48-327.489+500-296</f>
        <v>1609.511</v>
      </c>
      <c r="E286" s="81">
        <v>2000</v>
      </c>
      <c r="F286" s="81">
        <v>2000</v>
      </c>
    </row>
    <row r="287" spans="1:9" ht="30" hidden="1" customHeight="1" x14ac:dyDescent="0.25">
      <c r="A287" s="9" t="s">
        <v>402</v>
      </c>
      <c r="B287" s="3" t="s">
        <v>117</v>
      </c>
      <c r="C287" s="3" t="s">
        <v>403</v>
      </c>
      <c r="D287" s="81"/>
      <c r="E287" s="81"/>
      <c r="F287" s="81"/>
    </row>
    <row r="288" spans="1:9" ht="30" customHeight="1" x14ac:dyDescent="0.25">
      <c r="A288" s="9" t="s">
        <v>621</v>
      </c>
      <c r="B288" s="3" t="s">
        <v>117</v>
      </c>
      <c r="C288" s="3" t="s">
        <v>617</v>
      </c>
      <c r="D288" s="81">
        <v>77.989000000000004</v>
      </c>
      <c r="E288" s="81">
        <v>0</v>
      </c>
      <c r="F288" s="81">
        <v>0</v>
      </c>
    </row>
    <row r="289" spans="1:7" ht="30" customHeight="1" x14ac:dyDescent="0.25">
      <c r="A289" s="9" t="s">
        <v>606</v>
      </c>
      <c r="B289" s="3" t="s">
        <v>117</v>
      </c>
      <c r="C289" s="3" t="s">
        <v>605</v>
      </c>
      <c r="D289" s="81">
        <f>70+70+70+140+280+10</f>
        <v>640</v>
      </c>
      <c r="E289" s="81">
        <v>0</v>
      </c>
      <c r="F289" s="81">
        <v>0</v>
      </c>
    </row>
    <row r="290" spans="1:7" ht="42" hidden="1" customHeight="1" x14ac:dyDescent="0.25">
      <c r="A290" s="9" t="s">
        <v>533</v>
      </c>
      <c r="B290" s="3" t="s">
        <v>117</v>
      </c>
      <c r="C290" s="3" t="s">
        <v>534</v>
      </c>
      <c r="D290" s="81"/>
      <c r="E290" s="81"/>
      <c r="F290" s="81"/>
    </row>
    <row r="291" spans="1:7" ht="42" customHeight="1" x14ac:dyDescent="0.25">
      <c r="A291" s="9" t="s">
        <v>529</v>
      </c>
      <c r="B291" s="3" t="s">
        <v>117</v>
      </c>
      <c r="C291" s="3" t="s">
        <v>530</v>
      </c>
      <c r="D291" s="81">
        <f>9+48+109.5+6</f>
        <v>172.5</v>
      </c>
      <c r="E291" s="81">
        <v>0</v>
      </c>
      <c r="F291" s="81">
        <v>0</v>
      </c>
    </row>
    <row r="292" spans="1:7" ht="16.2" customHeight="1" x14ac:dyDescent="0.25">
      <c r="A292" s="9" t="s">
        <v>314</v>
      </c>
      <c r="B292" s="3" t="s">
        <v>117</v>
      </c>
      <c r="C292" s="3" t="s">
        <v>315</v>
      </c>
      <c r="D292" s="81">
        <f>80.32+64.3</f>
        <v>144.62</v>
      </c>
      <c r="E292" s="81">
        <v>80.319999999999993</v>
      </c>
      <c r="F292" s="81">
        <v>80.319999999999993</v>
      </c>
    </row>
    <row r="293" spans="1:7" ht="57.6" customHeight="1" x14ac:dyDescent="0.25">
      <c r="A293" s="9" t="s">
        <v>319</v>
      </c>
      <c r="B293" s="3" t="s">
        <v>117</v>
      </c>
      <c r="C293" s="3" t="s">
        <v>320</v>
      </c>
      <c r="D293" s="81">
        <v>120</v>
      </c>
      <c r="E293" s="81">
        <v>120</v>
      </c>
      <c r="F293" s="81">
        <v>120</v>
      </c>
      <c r="G293" s="50"/>
    </row>
    <row r="294" spans="1:7" s="79" customFormat="1" ht="16.95" hidden="1" customHeight="1" x14ac:dyDescent="0.25">
      <c r="A294" s="9" t="s">
        <v>453</v>
      </c>
      <c r="B294" s="3" t="s">
        <v>226</v>
      </c>
      <c r="C294" s="3" t="s">
        <v>454</v>
      </c>
      <c r="D294" s="81">
        <v>0</v>
      </c>
      <c r="E294" s="81">
        <v>0</v>
      </c>
      <c r="F294" s="81">
        <v>0</v>
      </c>
      <c r="G294" s="123"/>
    </row>
    <row r="295" spans="1:7" ht="16.95" customHeight="1" x14ac:dyDescent="0.25">
      <c r="A295" s="9" t="s">
        <v>477</v>
      </c>
      <c r="B295" s="3" t="s">
        <v>117</v>
      </c>
      <c r="C295" s="3" t="s">
        <v>478</v>
      </c>
      <c r="D295" s="81">
        <f>49.675</f>
        <v>49.674999999999997</v>
      </c>
      <c r="E295" s="81">
        <v>0</v>
      </c>
      <c r="F295" s="81">
        <v>0</v>
      </c>
      <c r="G295" s="50"/>
    </row>
    <row r="296" spans="1:7" ht="30.6" customHeight="1" x14ac:dyDescent="0.25">
      <c r="A296" s="9" t="s">
        <v>531</v>
      </c>
      <c r="B296" s="3" t="s">
        <v>117</v>
      </c>
      <c r="C296" s="3" t="s">
        <v>532</v>
      </c>
      <c r="D296" s="81">
        <f>350</f>
        <v>350</v>
      </c>
      <c r="E296" s="81">
        <f>150+300</f>
        <v>450</v>
      </c>
      <c r="F296" s="81">
        <f>150+300</f>
        <v>450</v>
      </c>
      <c r="G296" s="50"/>
    </row>
    <row r="297" spans="1:7" ht="30.6" hidden="1" customHeight="1" x14ac:dyDescent="0.25">
      <c r="A297" s="9" t="s">
        <v>608</v>
      </c>
      <c r="B297" s="3" t="s">
        <v>117</v>
      </c>
      <c r="C297" s="3" t="s">
        <v>607</v>
      </c>
      <c r="D297" s="81">
        <v>0</v>
      </c>
      <c r="E297" s="81">
        <v>0</v>
      </c>
      <c r="F297" s="81">
        <v>0</v>
      </c>
      <c r="G297" s="50"/>
    </row>
    <row r="298" spans="1:7" s="124" customFormat="1" ht="16.95" customHeight="1" x14ac:dyDescent="0.25">
      <c r="A298" s="9" t="s">
        <v>592</v>
      </c>
      <c r="B298" s="3" t="s">
        <v>117</v>
      </c>
      <c r="C298" s="3" t="s">
        <v>593</v>
      </c>
      <c r="D298" s="81">
        <v>940</v>
      </c>
      <c r="E298" s="81">
        <v>940</v>
      </c>
      <c r="F298" s="81">
        <v>940</v>
      </c>
      <c r="G298" s="351"/>
    </row>
    <row r="299" spans="1:7" ht="55.95" customHeight="1" x14ac:dyDescent="0.25">
      <c r="A299" s="22" t="s">
        <v>81</v>
      </c>
      <c r="B299" s="28" t="s">
        <v>117</v>
      </c>
      <c r="C299" s="520">
        <v>9999959300</v>
      </c>
      <c r="D299" s="81">
        <f>'2  '!D88</f>
        <v>1447.646</v>
      </c>
      <c r="E299" s="81">
        <f>'2  '!E88</f>
        <v>1641.578</v>
      </c>
      <c r="F299" s="81">
        <f>'2  '!F88</f>
        <v>1696.2670000000001</v>
      </c>
    </row>
    <row r="300" spans="1:7" ht="33" hidden="1" customHeight="1" x14ac:dyDescent="0.25">
      <c r="A300" s="22" t="s">
        <v>413</v>
      </c>
      <c r="B300" s="28" t="s">
        <v>117</v>
      </c>
      <c r="C300" s="520" t="s">
        <v>414</v>
      </c>
      <c r="D300" s="81"/>
      <c r="E300" s="62"/>
      <c r="F300" s="62"/>
    </row>
    <row r="301" spans="1:7" ht="29.4" customHeight="1" x14ac:dyDescent="0.25">
      <c r="A301" s="22" t="s">
        <v>469</v>
      </c>
      <c r="B301" s="28" t="s">
        <v>117</v>
      </c>
      <c r="C301" s="520">
        <v>9999993180</v>
      </c>
      <c r="D301" s="81">
        <f>'2  '!D93</f>
        <v>445.22699999999998</v>
      </c>
      <c r="E301" s="81">
        <f>'2  '!E93</f>
        <v>449.23899999999998</v>
      </c>
      <c r="F301" s="81">
        <f>'2  '!F93</f>
        <v>465.44900000000001</v>
      </c>
    </row>
    <row r="302" spans="1:7" ht="16.95" customHeight="1" x14ac:dyDescent="0.25">
      <c r="A302" s="67" t="s">
        <v>434</v>
      </c>
      <c r="B302" s="28" t="s">
        <v>117</v>
      </c>
      <c r="C302" s="116" t="s">
        <v>436</v>
      </c>
      <c r="D302" s="352">
        <f>'2  '!D89</f>
        <v>2863.1080000000002</v>
      </c>
      <c r="E302" s="352">
        <f>'2  '!E89</f>
        <v>2896.0889999999999</v>
      </c>
      <c r="F302" s="352">
        <f>'2  '!F89</f>
        <v>3011.933</v>
      </c>
    </row>
    <row r="303" spans="1:7" ht="28.2" customHeight="1" x14ac:dyDescent="0.25">
      <c r="A303" s="22" t="s">
        <v>82</v>
      </c>
      <c r="B303" s="28" t="s">
        <v>117</v>
      </c>
      <c r="C303" s="3" t="s">
        <v>436</v>
      </c>
      <c r="D303" s="81">
        <f>'2  '!D91</f>
        <v>1680.9669999999999</v>
      </c>
      <c r="E303" s="81">
        <f>'2  '!E91</f>
        <v>1844.0160000000001</v>
      </c>
      <c r="F303" s="81">
        <f>'2  '!F91</f>
        <v>1917.778</v>
      </c>
      <c r="G303" s="45">
        <f>D303/D302</f>
        <v>0.58711267615472407</v>
      </c>
    </row>
    <row r="304" spans="1:7" ht="18.75" customHeight="1" x14ac:dyDescent="0.25">
      <c r="A304" s="22" t="s">
        <v>83</v>
      </c>
      <c r="B304" s="28" t="s">
        <v>117</v>
      </c>
      <c r="C304" s="3" t="s">
        <v>436</v>
      </c>
      <c r="D304" s="81">
        <f>'2  '!D90</f>
        <v>1182.1410000000001</v>
      </c>
      <c r="E304" s="81">
        <f>'2  '!E90</f>
        <v>1052.0730000000001</v>
      </c>
      <c r="F304" s="81">
        <f>'2  '!F90</f>
        <v>1094.155</v>
      </c>
      <c r="G304" s="45">
        <f>D304/D302</f>
        <v>0.41288732384527582</v>
      </c>
    </row>
    <row r="305" spans="1:9" ht="30" customHeight="1" x14ac:dyDescent="0.25">
      <c r="A305" s="22" t="s">
        <v>394</v>
      </c>
      <c r="B305" s="28" t="s">
        <v>117</v>
      </c>
      <c r="C305" s="3" t="s">
        <v>29</v>
      </c>
      <c r="D305" s="81">
        <f>'2  '!D80</f>
        <v>1485.3911900000001</v>
      </c>
      <c r="E305" s="81">
        <f>'2  '!E80</f>
        <v>1485.3911900000001</v>
      </c>
      <c r="F305" s="81">
        <f>'2  '!F80</f>
        <v>1485.3911900000001</v>
      </c>
      <c r="H305" s="50"/>
      <c r="I305" s="50">
        <f>F302-F303</f>
        <v>1094.155</v>
      </c>
    </row>
    <row r="306" spans="1:9" ht="17.25" customHeight="1" x14ac:dyDescent="0.25">
      <c r="A306" s="22" t="s">
        <v>84</v>
      </c>
      <c r="B306" s="28" t="s">
        <v>117</v>
      </c>
      <c r="C306" s="3" t="s">
        <v>11</v>
      </c>
      <c r="D306" s="81">
        <f>'2  '!D75</f>
        <v>1101.2190000000001</v>
      </c>
      <c r="E306" s="81">
        <f>'2  '!E75</f>
        <v>1111.5809999999999</v>
      </c>
      <c r="F306" s="81">
        <f>'2  '!F75</f>
        <v>1153.444</v>
      </c>
      <c r="G306" s="45">
        <v>1873.3109999999999</v>
      </c>
    </row>
    <row r="307" spans="1:9" ht="30.6" customHeight="1" x14ac:dyDescent="0.25">
      <c r="A307" s="22" t="s">
        <v>373</v>
      </c>
      <c r="B307" s="28" t="s">
        <v>117</v>
      </c>
      <c r="C307" s="3" t="s">
        <v>382</v>
      </c>
      <c r="D307" s="81">
        <f>'2  '!D76</f>
        <v>2582.8829999999998</v>
      </c>
      <c r="E307" s="81">
        <f>'2  '!E76</f>
        <v>2607.136</v>
      </c>
      <c r="F307" s="81">
        <f>'2  '!F76</f>
        <v>2705.1170000000002</v>
      </c>
      <c r="G307" s="45">
        <v>1017</v>
      </c>
    </row>
    <row r="308" spans="1:9" ht="41.7" hidden="1" customHeight="1" x14ac:dyDescent="0.25">
      <c r="A308" s="22" t="s">
        <v>374</v>
      </c>
      <c r="B308" s="28" t="s">
        <v>117</v>
      </c>
      <c r="C308" s="3" t="s">
        <v>383</v>
      </c>
      <c r="D308" s="81"/>
      <c r="E308" s="62"/>
      <c r="F308" s="62"/>
    </row>
    <row r="309" spans="1:9" ht="29.7" hidden="1" customHeight="1" x14ac:dyDescent="0.25">
      <c r="A309" s="22" t="s">
        <v>375</v>
      </c>
      <c r="B309" s="28" t="s">
        <v>117</v>
      </c>
      <c r="C309" s="3" t="s">
        <v>384</v>
      </c>
      <c r="D309" s="81"/>
      <c r="E309" s="62"/>
      <c r="F309" s="62"/>
    </row>
    <row r="310" spans="1:9" ht="41.4" x14ac:dyDescent="0.25">
      <c r="A310" s="22" t="s">
        <v>85</v>
      </c>
      <c r="B310" s="28" t="s">
        <v>117</v>
      </c>
      <c r="C310" s="3" t="s">
        <v>20</v>
      </c>
      <c r="D310" s="81">
        <f>'2  '!D79</f>
        <v>2.31474</v>
      </c>
      <c r="E310" s="81">
        <f>'2  '!E79</f>
        <v>2.4073199999999999</v>
      </c>
      <c r="F310" s="81">
        <f>'2  '!F79</f>
        <v>2.5036200000000002</v>
      </c>
    </row>
    <row r="311" spans="1:9" ht="30.75" customHeight="1" x14ac:dyDescent="0.25">
      <c r="A311" s="22" t="s">
        <v>395</v>
      </c>
      <c r="B311" s="28" t="s">
        <v>117</v>
      </c>
      <c r="C311" s="3" t="s">
        <v>249</v>
      </c>
      <c r="D311" s="81">
        <f>'2  '!D86</f>
        <v>11.829000000000001</v>
      </c>
      <c r="E311" s="81">
        <f>'2  '!E86</f>
        <v>12.269</v>
      </c>
      <c r="F311" s="81">
        <f>'2  '!F86</f>
        <v>151.56200000000001</v>
      </c>
      <c r="H311" s="478"/>
    </row>
    <row r="312" spans="1:9" ht="32.4" customHeight="1" x14ac:dyDescent="0.25">
      <c r="A312" s="22" t="s">
        <v>419</v>
      </c>
      <c r="B312" s="28" t="s">
        <v>117</v>
      </c>
      <c r="C312" s="3" t="s">
        <v>383</v>
      </c>
      <c r="D312" s="81">
        <v>0</v>
      </c>
      <c r="E312" s="62">
        <v>0</v>
      </c>
      <c r="F312" s="62">
        <v>16369.454879999999</v>
      </c>
    </row>
    <row r="313" spans="1:9" ht="25.95" hidden="1" customHeight="1" x14ac:dyDescent="0.25">
      <c r="A313" s="22" t="s">
        <v>351</v>
      </c>
      <c r="B313" s="28" t="s">
        <v>117</v>
      </c>
      <c r="C313" s="3" t="s">
        <v>313</v>
      </c>
      <c r="D313" s="81"/>
      <c r="E313" s="447"/>
      <c r="F313" s="447"/>
    </row>
    <row r="314" spans="1:9" ht="41.25" customHeight="1" x14ac:dyDescent="0.25">
      <c r="A314" s="22" t="s">
        <v>527</v>
      </c>
      <c r="B314" s="28" t="s">
        <v>117</v>
      </c>
      <c r="C314" s="3" t="s">
        <v>1092</v>
      </c>
      <c r="D314" s="81">
        <f>1225.59223+722.10612</f>
        <v>1947.6983500000001</v>
      </c>
      <c r="E314" s="81">
        <f>976.86347+782.89088</f>
        <v>1759.7543500000002</v>
      </c>
      <c r="F314" s="81">
        <f>976.86347+782.89087+9033.6</f>
        <v>10793.35434</v>
      </c>
      <c r="G314" s="61" t="s">
        <v>1048</v>
      </c>
      <c r="H314" s="477"/>
      <c r="I314" s="10"/>
    </row>
    <row r="315" spans="1:9" ht="43.2" customHeight="1" x14ac:dyDescent="0.25">
      <c r="A315" s="22" t="s">
        <v>526</v>
      </c>
      <c r="B315" s="28" t="s">
        <v>117</v>
      </c>
      <c r="C315" s="3" t="s">
        <v>507</v>
      </c>
      <c r="D315" s="81">
        <v>0</v>
      </c>
      <c r="E315" s="81">
        <v>0</v>
      </c>
      <c r="F315" s="81">
        <v>13550.4</v>
      </c>
    </row>
    <row r="316" spans="1:9" ht="87.6" hidden="1" customHeight="1" x14ac:dyDescent="0.25">
      <c r="A316" s="22" t="s">
        <v>479</v>
      </c>
      <c r="B316" s="28" t="s">
        <v>117</v>
      </c>
      <c r="C316" s="3" t="s">
        <v>472</v>
      </c>
      <c r="D316" s="81"/>
      <c r="E316" s="62"/>
      <c r="F316" s="62"/>
    </row>
    <row r="317" spans="1:9" ht="43.5" hidden="1" customHeight="1" x14ac:dyDescent="0.25">
      <c r="A317" s="22" t="s">
        <v>435</v>
      </c>
      <c r="B317" s="114"/>
      <c r="C317" s="3" t="s">
        <v>437</v>
      </c>
      <c r="D317" s="81"/>
      <c r="E317" s="62"/>
      <c r="F317" s="62"/>
    </row>
    <row r="318" spans="1:9" ht="43.5" hidden="1" customHeight="1" x14ac:dyDescent="0.25">
      <c r="A318" s="22" t="s">
        <v>406</v>
      </c>
      <c r="B318" s="114"/>
      <c r="C318" s="3" t="s">
        <v>407</v>
      </c>
      <c r="D318" s="81"/>
      <c r="E318" s="62"/>
      <c r="F318" s="62"/>
    </row>
    <row r="319" spans="1:9" ht="43.5" hidden="1" customHeight="1" x14ac:dyDescent="0.25">
      <c r="A319" s="22" t="s">
        <v>689</v>
      </c>
      <c r="B319" s="114"/>
      <c r="C319" s="3"/>
      <c r="D319" s="81"/>
      <c r="E319" s="62"/>
      <c r="F319" s="62"/>
    </row>
    <row r="320" spans="1:9" ht="24" hidden="1" customHeight="1" x14ac:dyDescent="0.25">
      <c r="A320" s="22"/>
      <c r="B320" s="114"/>
      <c r="C320" s="3"/>
      <c r="D320" s="81"/>
      <c r="E320" s="62"/>
      <c r="F320" s="62"/>
    </row>
    <row r="321" spans="1:9" ht="15.75" customHeight="1" x14ac:dyDescent="0.25">
      <c r="A321" s="22" t="s">
        <v>130</v>
      </c>
      <c r="B321" s="114">
        <v>951</v>
      </c>
      <c r="C321" s="6" t="s">
        <v>568</v>
      </c>
      <c r="D321" s="81">
        <v>0</v>
      </c>
      <c r="E321" s="62">
        <v>110</v>
      </c>
      <c r="F321" s="24">
        <f>10+100</f>
        <v>110</v>
      </c>
    </row>
    <row r="322" spans="1:9" ht="56.4" customHeight="1" x14ac:dyDescent="0.25">
      <c r="A322" s="22" t="s">
        <v>292</v>
      </c>
      <c r="B322" s="28" t="s">
        <v>227</v>
      </c>
      <c r="C322" s="6" t="s">
        <v>263</v>
      </c>
      <c r="D322" s="81">
        <v>0</v>
      </c>
      <c r="E322" s="62">
        <f>'2  '!E78</f>
        <v>11041.041999999999</v>
      </c>
      <c r="F322" s="62">
        <f>'2  '!F78</f>
        <v>11041.041999999999</v>
      </c>
    </row>
    <row r="323" spans="1:9" ht="28.2" customHeight="1" x14ac:dyDescent="0.25">
      <c r="A323" s="22" t="s">
        <v>186</v>
      </c>
      <c r="B323" s="28" t="s">
        <v>227</v>
      </c>
      <c r="C323" s="6" t="s">
        <v>569</v>
      </c>
      <c r="D323" s="81">
        <v>0</v>
      </c>
      <c r="E323" s="62">
        <v>650</v>
      </c>
      <c r="F323" s="24">
        <v>600</v>
      </c>
      <c r="G323" s="50"/>
    </row>
    <row r="324" spans="1:9" ht="28.2" customHeight="1" x14ac:dyDescent="0.25">
      <c r="A324" s="22" t="s">
        <v>362</v>
      </c>
      <c r="B324" s="28" t="s">
        <v>227</v>
      </c>
      <c r="C324" s="6" t="s">
        <v>570</v>
      </c>
      <c r="D324" s="81">
        <v>0</v>
      </c>
      <c r="E324" s="62">
        <v>100</v>
      </c>
      <c r="F324" s="24">
        <v>100</v>
      </c>
      <c r="G324" s="50"/>
    </row>
    <row r="325" spans="1:9" ht="15.75" customHeight="1" x14ac:dyDescent="0.25">
      <c r="A325" s="107" t="s">
        <v>565</v>
      </c>
      <c r="B325" s="122"/>
      <c r="C325" s="536"/>
      <c r="D325" s="537">
        <v>0</v>
      </c>
      <c r="E325" s="537">
        <f>(E331-'2  '!E39+'2  '!E41)*2.5%</f>
        <v>7492.4134500000018</v>
      </c>
      <c r="F325" s="537">
        <f>(F331-'2  '!F39+'2  '!F42)*5%</f>
        <v>14801.776900000001</v>
      </c>
    </row>
    <row r="326" spans="1:9" ht="15.75" customHeight="1" x14ac:dyDescent="0.25">
      <c r="A326" s="125" t="s">
        <v>101</v>
      </c>
      <c r="B326" s="126"/>
      <c r="C326" s="538"/>
      <c r="D326" s="127">
        <f>SUM(D257:D302)+SUM(D305:D324)</f>
        <v>99807.09818999999</v>
      </c>
      <c r="E326" s="127">
        <f>SUM(E257:E302)+SUM(E305:E325)</f>
        <v>113902.63430999999</v>
      </c>
      <c r="F326" s="127">
        <f>SUM(F257:F302)+SUM(F305:F325)</f>
        <v>160581.42892999999</v>
      </c>
      <c r="G326" s="50"/>
      <c r="H326" s="100"/>
      <c r="I326" s="100"/>
    </row>
    <row r="327" spans="1:9" s="54" customFormat="1" ht="18.75" customHeight="1" x14ac:dyDescent="0.25">
      <c r="A327" s="109" t="s">
        <v>86</v>
      </c>
      <c r="B327" s="110"/>
      <c r="C327" s="111"/>
      <c r="D327" s="113">
        <f>D326+D253</f>
        <v>957216.91413000016</v>
      </c>
      <c r="E327" s="113">
        <f>E326+E253</f>
        <v>757132.78599999996</v>
      </c>
      <c r="F327" s="113">
        <f>F326+F253</f>
        <v>769356.98444000003</v>
      </c>
      <c r="G327" s="60"/>
      <c r="H327" s="101"/>
      <c r="I327" s="101"/>
    </row>
    <row r="328" spans="1:9" s="54" customFormat="1" ht="18.75" customHeight="1" x14ac:dyDescent="0.25">
      <c r="A328" s="452"/>
      <c r="B328" s="453"/>
      <c r="C328" s="521"/>
      <c r="D328" s="522">
        <v>957216.91413000005</v>
      </c>
      <c r="E328" s="61"/>
      <c r="F328" s="61"/>
      <c r="G328" s="60"/>
      <c r="H328" s="101"/>
      <c r="I328" s="101"/>
    </row>
    <row r="329" spans="1:9" ht="15.6" x14ac:dyDescent="0.25">
      <c r="A329" s="573"/>
      <c r="B329" s="573"/>
      <c r="C329" s="573"/>
      <c r="D329" s="37">
        <f>D328-D327</f>
        <v>0</v>
      </c>
      <c r="E329" s="37">
        <v>754632.78599999996</v>
      </c>
      <c r="F329" s="44">
        <v>766856.98444000003</v>
      </c>
      <c r="G329" s="50"/>
    </row>
    <row r="330" spans="1:9" x14ac:dyDescent="0.25">
      <c r="A330" s="11"/>
      <c r="C330" s="523"/>
      <c r="D330" s="522"/>
      <c r="E330" s="50">
        <v>2500</v>
      </c>
      <c r="F330" s="50">
        <v>2500</v>
      </c>
    </row>
    <row r="331" spans="1:9" x14ac:dyDescent="0.25">
      <c r="C331" s="523"/>
      <c r="D331" s="524"/>
      <c r="E331" s="60">
        <f>E329+E330</f>
        <v>757132.78599999996</v>
      </c>
      <c r="F331" s="60">
        <f>F329+F330</f>
        <v>769356.98444000003</v>
      </c>
    </row>
    <row r="332" spans="1:9" x14ac:dyDescent="0.25">
      <c r="B332" s="50"/>
      <c r="C332" s="525"/>
      <c r="E332" s="50">
        <f>E331-E327</f>
        <v>0</v>
      </c>
      <c r="F332" s="50">
        <f>F331-F327</f>
        <v>0</v>
      </c>
      <c r="H332" s="77"/>
    </row>
    <row r="333" spans="1:9" x14ac:dyDescent="0.25">
      <c r="C333" s="525"/>
    </row>
    <row r="334" spans="1:9" x14ac:dyDescent="0.25">
      <c r="C334" s="526"/>
      <c r="D334" s="527"/>
      <c r="E334" s="75"/>
      <c r="F334" s="75"/>
      <c r="H334" s="77"/>
    </row>
    <row r="336" spans="1:9" x14ac:dyDescent="0.25">
      <c r="G336" s="50"/>
    </row>
    <row r="337" spans="7:10" x14ac:dyDescent="0.25">
      <c r="I337" s="50"/>
      <c r="J337" s="50"/>
    </row>
    <row r="339" spans="7:10" x14ac:dyDescent="0.25">
      <c r="G339" s="50"/>
      <c r="H339" s="50"/>
    </row>
  </sheetData>
  <mergeCells count="8">
    <mergeCell ref="A254:F254"/>
    <mergeCell ref="A329:C329"/>
    <mergeCell ref="A1:F1"/>
    <mergeCell ref="A2:F2"/>
    <mergeCell ref="A3:F3"/>
    <mergeCell ref="A4:F4"/>
    <mergeCell ref="A6:F6"/>
    <mergeCell ref="A11:D11"/>
  </mergeCells>
  <pageMargins left="0.7" right="0.7" top="0.75" bottom="0.75" header="0.3" footer="0.3"/>
  <pageSetup paperSize="9" scale="55" fitToHeight="0" orientation="portrait" r:id="rId1"/>
  <rowBreaks count="2" manualBreakCount="2">
    <brk id="244" max="5" man="1"/>
    <brk id="328"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
  <sheetViews>
    <sheetView view="pageBreakPreview" zoomScaleSheetLayoutView="100" workbookViewId="0">
      <selection activeCell="A4" sqref="A4:D4"/>
    </sheetView>
  </sheetViews>
  <sheetFormatPr defaultRowHeight="13.2" x14ac:dyDescent="0.25"/>
  <cols>
    <col min="1" max="1" width="33.88671875" customWidth="1"/>
    <col min="2" max="2" width="15.33203125" customWidth="1"/>
    <col min="3" max="3" width="13.33203125" customWidth="1"/>
    <col min="4" max="4" width="12.6640625" customWidth="1"/>
  </cols>
  <sheetData>
    <row r="1" spans="1:5" ht="17.25" customHeight="1" x14ac:dyDescent="0.3">
      <c r="A1" s="221"/>
      <c r="B1" s="143"/>
      <c r="C1" s="221"/>
      <c r="D1" s="143" t="s">
        <v>1127</v>
      </c>
    </row>
    <row r="2" spans="1:5" ht="15.6" x14ac:dyDescent="0.3">
      <c r="A2" s="221"/>
      <c r="B2" s="143"/>
      <c r="C2" s="221"/>
      <c r="D2" s="143" t="s">
        <v>660</v>
      </c>
    </row>
    <row r="3" spans="1:5" ht="15.6" x14ac:dyDescent="0.3">
      <c r="A3" s="221"/>
      <c r="B3" s="143"/>
      <c r="C3" s="221"/>
      <c r="D3" s="143" t="s">
        <v>661</v>
      </c>
    </row>
    <row r="4" spans="1:5" ht="18.75" customHeight="1" x14ac:dyDescent="0.3">
      <c r="A4" s="578" t="s">
        <v>1156</v>
      </c>
      <c r="B4" s="578"/>
      <c r="C4" s="579"/>
      <c r="D4" s="579"/>
      <c r="E4" s="222"/>
    </row>
    <row r="5" spans="1:5" ht="22.5" customHeight="1" x14ac:dyDescent="0.25"/>
    <row r="6" spans="1:5" ht="88.95" customHeight="1" x14ac:dyDescent="0.25">
      <c r="A6" s="580" t="s">
        <v>693</v>
      </c>
      <c r="B6" s="580"/>
      <c r="C6" s="580"/>
      <c r="D6" s="580"/>
    </row>
    <row r="7" spans="1:5" ht="14.25" customHeight="1" x14ac:dyDescent="0.25">
      <c r="A7" s="223"/>
      <c r="B7" s="223"/>
    </row>
    <row r="8" spans="1:5" ht="20.25" customHeight="1" x14ac:dyDescent="0.25">
      <c r="A8" s="223"/>
      <c r="B8" s="224"/>
      <c r="C8" s="224"/>
      <c r="D8" s="224" t="s">
        <v>692</v>
      </c>
    </row>
    <row r="9" spans="1:5" ht="18.75" customHeight="1" x14ac:dyDescent="0.25">
      <c r="A9" s="581" t="s">
        <v>662</v>
      </c>
      <c r="B9" s="582" t="s">
        <v>663</v>
      </c>
      <c r="C9" s="582" t="s">
        <v>664</v>
      </c>
      <c r="D9" s="582" t="s">
        <v>669</v>
      </c>
    </row>
    <row r="10" spans="1:5" ht="40.200000000000003" customHeight="1" x14ac:dyDescent="0.25">
      <c r="A10" s="581"/>
      <c r="B10" s="582"/>
      <c r="C10" s="582"/>
      <c r="D10" s="582"/>
    </row>
    <row r="11" spans="1:5" ht="0.75" customHeight="1" x14ac:dyDescent="0.25">
      <c r="A11" s="575" t="s">
        <v>666</v>
      </c>
      <c r="B11" s="576">
        <v>200</v>
      </c>
      <c r="C11" s="577">
        <v>0</v>
      </c>
      <c r="D11" s="577">
        <v>0</v>
      </c>
    </row>
    <row r="12" spans="1:5" x14ac:dyDescent="0.25">
      <c r="A12" s="575"/>
      <c r="B12" s="576"/>
      <c r="C12" s="577"/>
      <c r="D12" s="577"/>
    </row>
    <row r="13" spans="1:5" ht="18.75" customHeight="1" x14ac:dyDescent="0.25">
      <c r="A13" s="225" t="s">
        <v>665</v>
      </c>
      <c r="B13" s="544">
        <f>500+80</f>
        <v>580</v>
      </c>
      <c r="C13" s="226">
        <v>50</v>
      </c>
      <c r="D13" s="226">
        <v>50</v>
      </c>
    </row>
    <row r="14" spans="1:5" ht="18.75" customHeight="1" x14ac:dyDescent="0.25">
      <c r="A14" s="446" t="s">
        <v>672</v>
      </c>
      <c r="B14" s="530">
        <f>400-28.70539</f>
        <v>371.29460999999998</v>
      </c>
      <c r="C14" s="226">
        <v>0</v>
      </c>
      <c r="D14" s="226">
        <v>0</v>
      </c>
    </row>
    <row r="15" spans="1:5" ht="18.75" customHeight="1" x14ac:dyDescent="0.25">
      <c r="A15" s="225" t="s">
        <v>667</v>
      </c>
      <c r="B15" s="220">
        <v>320</v>
      </c>
      <c r="C15" s="226">
        <v>50</v>
      </c>
      <c r="D15" s="226">
        <v>50</v>
      </c>
    </row>
    <row r="16" spans="1:5" ht="21.75" customHeight="1" x14ac:dyDescent="0.25">
      <c r="A16" s="227" t="s">
        <v>668</v>
      </c>
      <c r="B16" s="506">
        <f>B13+B15+B14+B11</f>
        <v>1471.2946099999999</v>
      </c>
      <c r="C16" s="228">
        <f>C13+C14+C15</f>
        <v>100</v>
      </c>
      <c r="D16" s="228">
        <f>D13+D14+D15</f>
        <v>100</v>
      </c>
    </row>
  </sheetData>
  <mergeCells count="10">
    <mergeCell ref="A11:A12"/>
    <mergeCell ref="B11:B12"/>
    <mergeCell ref="C11:C12"/>
    <mergeCell ref="D11:D12"/>
    <mergeCell ref="A4:D4"/>
    <mergeCell ref="A6:D6"/>
    <mergeCell ref="A9:A10"/>
    <mergeCell ref="B9:B10"/>
    <mergeCell ref="C9:C10"/>
    <mergeCell ref="D9:D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J34"/>
  <sheetViews>
    <sheetView view="pageBreakPreview" zoomScale="60" workbookViewId="0">
      <selection activeCell="G18" sqref="G18"/>
    </sheetView>
  </sheetViews>
  <sheetFormatPr defaultColWidth="8.6640625" defaultRowHeight="15.6" x14ac:dyDescent="0.3"/>
  <cols>
    <col min="1" max="1" width="37.6640625" style="47" customWidth="1"/>
    <col min="2" max="2" width="4.6640625" style="1" hidden="1" customWidth="1"/>
    <col min="3" max="3" width="5.44140625" style="1" hidden="1" customWidth="1"/>
    <col min="4" max="4" width="12.33203125" style="1" hidden="1" customWidth="1"/>
    <col min="5" max="5" width="4.6640625" style="1" hidden="1" customWidth="1"/>
    <col min="6" max="6" width="16.5546875" style="176" customWidth="1"/>
    <col min="7" max="7" width="13.44140625" style="176" customWidth="1"/>
    <col min="8" max="8" width="15.5546875" style="176" customWidth="1"/>
    <col min="9" max="9" width="15.33203125" style="173" customWidth="1"/>
    <col min="10" max="10" width="15.5546875" style="173" customWidth="1"/>
    <col min="11" max="11" width="14.5546875" style="173" customWidth="1"/>
    <col min="12" max="12" width="18.109375" style="173" customWidth="1"/>
    <col min="13" max="13" width="15" style="173" customWidth="1"/>
    <col min="14" max="14" width="14.6640625" style="173" customWidth="1"/>
    <col min="15" max="16384" width="8.6640625" style="173"/>
  </cols>
  <sheetData>
    <row r="1" spans="1:166" ht="15.75" customHeight="1" x14ac:dyDescent="0.3">
      <c r="A1" s="171"/>
      <c r="B1" s="171"/>
      <c r="C1" s="171"/>
      <c r="D1" s="171"/>
      <c r="E1" s="172"/>
      <c r="F1" s="583"/>
      <c r="G1" s="583"/>
      <c r="H1" s="583"/>
      <c r="L1" s="583" t="s">
        <v>1149</v>
      </c>
      <c r="M1" s="583"/>
      <c r="N1" s="583"/>
    </row>
    <row r="2" spans="1:166" ht="18" x14ac:dyDescent="0.35">
      <c r="A2" s="174"/>
      <c r="B2" s="172"/>
      <c r="C2" s="172"/>
      <c r="D2" s="175"/>
      <c r="E2" s="172"/>
      <c r="F2" s="583"/>
      <c r="G2" s="583"/>
      <c r="H2" s="583"/>
      <c r="L2" s="583" t="s">
        <v>220</v>
      </c>
      <c r="M2" s="583"/>
      <c r="N2" s="583"/>
    </row>
    <row r="3" spans="1:166" ht="18" x14ac:dyDescent="0.35">
      <c r="A3" s="174"/>
      <c r="B3" s="172"/>
      <c r="C3" s="172"/>
      <c r="D3" s="175"/>
      <c r="E3" s="172"/>
      <c r="F3" s="583"/>
      <c r="G3" s="583"/>
      <c r="H3" s="583"/>
      <c r="L3" s="583" t="s">
        <v>221</v>
      </c>
      <c r="M3" s="583"/>
      <c r="N3" s="583"/>
    </row>
    <row r="4" spans="1:166" ht="15.75" customHeight="1" x14ac:dyDescent="0.3">
      <c r="A4" s="174"/>
      <c r="B4" s="172"/>
      <c r="C4" s="172"/>
      <c r="D4" s="172"/>
      <c r="E4" s="172"/>
      <c r="F4" s="585"/>
      <c r="G4" s="583"/>
      <c r="H4" s="583"/>
      <c r="L4" s="585" t="s">
        <v>1157</v>
      </c>
      <c r="M4" s="583"/>
      <c r="N4" s="583"/>
    </row>
    <row r="5" spans="1:166" ht="4.5" customHeight="1" x14ac:dyDescent="0.3"/>
    <row r="6" spans="1:166" x14ac:dyDescent="0.25">
      <c r="A6" s="586" t="s">
        <v>222</v>
      </c>
      <c r="B6" s="586"/>
      <c r="C6" s="586"/>
      <c r="D6" s="586"/>
      <c r="E6" s="586"/>
      <c r="F6" s="586"/>
      <c r="G6" s="586"/>
      <c r="H6" s="586"/>
      <c r="I6" s="586"/>
      <c r="J6" s="586"/>
      <c r="K6" s="586"/>
      <c r="L6" s="586"/>
      <c r="M6" s="586"/>
      <c r="N6" s="586"/>
    </row>
    <row r="7" spans="1:166" ht="16.5" customHeight="1" x14ac:dyDescent="0.25">
      <c r="A7" s="562" t="s">
        <v>686</v>
      </c>
      <c r="B7" s="562"/>
      <c r="C7" s="562"/>
      <c r="D7" s="562"/>
      <c r="E7" s="562"/>
      <c r="F7" s="562"/>
      <c r="G7" s="562"/>
      <c r="H7" s="562"/>
      <c r="I7" s="562"/>
      <c r="J7" s="562"/>
      <c r="K7" s="562"/>
      <c r="L7" s="562"/>
      <c r="M7" s="562"/>
      <c r="N7" s="562"/>
    </row>
    <row r="8" spans="1:166" ht="15.75" customHeight="1" x14ac:dyDescent="0.25">
      <c r="A8" s="562"/>
      <c r="B8" s="562"/>
      <c r="C8" s="562"/>
      <c r="D8" s="562"/>
      <c r="E8" s="562"/>
      <c r="F8" s="562"/>
      <c r="G8" s="562"/>
      <c r="H8" s="562"/>
      <c r="I8" s="562"/>
      <c r="J8" s="562"/>
      <c r="K8" s="562"/>
      <c r="L8" s="562"/>
      <c r="M8" s="562"/>
      <c r="N8" s="562"/>
    </row>
    <row r="9" spans="1:166" ht="15.75" customHeight="1" x14ac:dyDescent="0.25">
      <c r="A9" s="177"/>
      <c r="B9" s="177"/>
      <c r="C9" s="178"/>
      <c r="D9" s="178"/>
      <c r="E9" s="178"/>
      <c r="F9" s="178"/>
      <c r="G9" s="178"/>
      <c r="H9" s="170"/>
      <c r="I9" s="170"/>
      <c r="J9" s="170"/>
      <c r="K9" s="170"/>
      <c r="L9" s="170"/>
      <c r="M9" s="170"/>
      <c r="N9" s="170" t="s">
        <v>673</v>
      </c>
    </row>
    <row r="10" spans="1:166" ht="12" customHeight="1" x14ac:dyDescent="0.25">
      <c r="A10" s="587" t="s">
        <v>205</v>
      </c>
      <c r="B10" s="589" t="s">
        <v>105</v>
      </c>
      <c r="C10" s="589" t="s">
        <v>106</v>
      </c>
      <c r="D10" s="591" t="s">
        <v>206</v>
      </c>
      <c r="E10" s="589" t="s">
        <v>107</v>
      </c>
      <c r="F10" s="593" t="s">
        <v>505</v>
      </c>
      <c r="G10" s="595" t="s">
        <v>674</v>
      </c>
      <c r="H10" s="595"/>
      <c r="I10" s="593" t="s">
        <v>566</v>
      </c>
      <c r="J10" s="595" t="s">
        <v>674</v>
      </c>
      <c r="K10" s="595"/>
      <c r="L10" s="593" t="s">
        <v>687</v>
      </c>
      <c r="M10" s="595" t="s">
        <v>674</v>
      </c>
      <c r="N10" s="595"/>
    </row>
    <row r="11" spans="1:166" ht="52.5" customHeight="1" x14ac:dyDescent="0.25">
      <c r="A11" s="588"/>
      <c r="B11" s="590"/>
      <c r="C11" s="590"/>
      <c r="D11" s="592"/>
      <c r="E11" s="590"/>
      <c r="F11" s="594"/>
      <c r="G11" s="443" t="s">
        <v>675</v>
      </c>
      <c r="H11" s="443" t="s">
        <v>676</v>
      </c>
      <c r="I11" s="594"/>
      <c r="J11" s="443" t="s">
        <v>675</v>
      </c>
      <c r="K11" s="443" t="s">
        <v>676</v>
      </c>
      <c r="L11" s="594"/>
      <c r="M11" s="443" t="s">
        <v>675</v>
      </c>
      <c r="N11" s="443" t="s">
        <v>676</v>
      </c>
    </row>
    <row r="12" spans="1:166" s="183" customFormat="1" ht="11.25" customHeight="1" x14ac:dyDescent="0.2">
      <c r="A12" s="179">
        <v>1</v>
      </c>
      <c r="B12" s="179">
        <v>2</v>
      </c>
      <c r="C12" s="179">
        <v>3</v>
      </c>
      <c r="D12" s="179">
        <v>4</v>
      </c>
      <c r="E12" s="179">
        <v>5</v>
      </c>
      <c r="F12" s="180">
        <v>6</v>
      </c>
      <c r="G12" s="181">
        <v>7</v>
      </c>
      <c r="H12" s="182">
        <v>8</v>
      </c>
      <c r="I12" s="180">
        <v>6</v>
      </c>
      <c r="J12" s="181">
        <v>7</v>
      </c>
      <c r="K12" s="182">
        <v>8</v>
      </c>
      <c r="L12" s="180">
        <v>6</v>
      </c>
      <c r="M12" s="181">
        <v>7</v>
      </c>
      <c r="N12" s="182">
        <v>8</v>
      </c>
    </row>
    <row r="13" spans="1:166" s="183" customFormat="1" ht="53.25" hidden="1" customHeight="1" x14ac:dyDescent="0.2">
      <c r="A13" s="17" t="s">
        <v>677</v>
      </c>
      <c r="B13" s="13" t="s">
        <v>212</v>
      </c>
      <c r="C13" s="13" t="s">
        <v>212</v>
      </c>
      <c r="D13" s="13"/>
      <c r="E13" s="13"/>
      <c r="F13" s="184"/>
      <c r="G13" s="185"/>
      <c r="H13" s="185"/>
      <c r="I13" s="184"/>
      <c r="J13" s="185"/>
      <c r="K13" s="185"/>
      <c r="L13" s="184"/>
      <c r="M13" s="185"/>
      <c r="N13" s="185"/>
    </row>
    <row r="14" spans="1:166" s="190" customFormat="1" ht="65.25" hidden="1" customHeight="1" x14ac:dyDescent="0.25">
      <c r="A14" s="186" t="s">
        <v>678</v>
      </c>
      <c r="B14" s="187" t="s">
        <v>212</v>
      </c>
      <c r="C14" s="187" t="s">
        <v>212</v>
      </c>
      <c r="D14" s="187"/>
      <c r="E14" s="187"/>
      <c r="F14" s="188"/>
      <c r="G14" s="189"/>
      <c r="H14" s="189"/>
      <c r="I14" s="188"/>
      <c r="J14" s="189"/>
      <c r="K14" s="189"/>
      <c r="L14" s="188"/>
      <c r="M14" s="189"/>
      <c r="N14" s="189"/>
    </row>
    <row r="15" spans="1:166" s="195" customFormat="1" ht="33.75" hidden="1" customHeight="1" x14ac:dyDescent="0.25">
      <c r="A15" s="191" t="s">
        <v>120</v>
      </c>
      <c r="B15" s="192" t="s">
        <v>212</v>
      </c>
      <c r="C15" s="192" t="s">
        <v>212</v>
      </c>
      <c r="D15" s="192" t="s">
        <v>51</v>
      </c>
      <c r="E15" s="192" t="s">
        <v>121</v>
      </c>
      <c r="F15" s="193">
        <f>G15+H15</f>
        <v>0</v>
      </c>
      <c r="G15" s="194">
        <v>0</v>
      </c>
      <c r="H15" s="194">
        <v>0</v>
      </c>
      <c r="I15" s="193">
        <f>J15+K15</f>
        <v>0</v>
      </c>
      <c r="J15" s="194">
        <v>0</v>
      </c>
      <c r="K15" s="194">
        <v>0</v>
      </c>
      <c r="L15" s="193">
        <f>M15+N15</f>
        <v>0</v>
      </c>
      <c r="M15" s="194">
        <v>0</v>
      </c>
      <c r="N15" s="194">
        <v>0</v>
      </c>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c r="ER15" s="176"/>
      <c r="ES15" s="176"/>
      <c r="ET15" s="176"/>
      <c r="EU15" s="176"/>
      <c r="EV15" s="176"/>
      <c r="EW15" s="176"/>
      <c r="EX15" s="176"/>
      <c r="EY15" s="176"/>
      <c r="EZ15" s="176"/>
      <c r="FA15" s="176"/>
      <c r="FB15" s="176"/>
      <c r="FC15" s="176"/>
      <c r="FD15" s="176"/>
      <c r="FE15" s="176"/>
      <c r="FF15" s="176"/>
      <c r="FG15" s="176"/>
      <c r="FH15" s="176"/>
      <c r="FI15" s="176"/>
      <c r="FJ15" s="176"/>
    </row>
    <row r="16" spans="1:166" s="199" customFormat="1" ht="18.75" customHeight="1" x14ac:dyDescent="0.25">
      <c r="A16" s="196" t="s">
        <v>679</v>
      </c>
      <c r="B16" s="30" t="s">
        <v>127</v>
      </c>
      <c r="C16" s="30" t="s">
        <v>109</v>
      </c>
      <c r="D16" s="30"/>
      <c r="E16" s="30"/>
      <c r="F16" s="197"/>
      <c r="G16" s="198"/>
      <c r="H16" s="198"/>
      <c r="I16" s="197"/>
      <c r="J16" s="198"/>
      <c r="K16" s="198"/>
      <c r="L16" s="197"/>
      <c r="M16" s="198"/>
      <c r="N16" s="198"/>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row>
    <row r="17" spans="1:166" s="202" customFormat="1" ht="17.25" customHeight="1" x14ac:dyDescent="0.3">
      <c r="A17" s="18" t="s">
        <v>104</v>
      </c>
      <c r="B17" s="6"/>
      <c r="C17" s="6"/>
      <c r="D17" s="6"/>
      <c r="E17" s="6"/>
      <c r="F17" s="200"/>
      <c r="G17" s="201"/>
      <c r="H17" s="201"/>
      <c r="I17" s="200"/>
      <c r="J17" s="201"/>
      <c r="K17" s="201"/>
      <c r="L17" s="200"/>
      <c r="M17" s="201"/>
      <c r="N17" s="201"/>
    </row>
    <row r="18" spans="1:166" s="205" customFormat="1" ht="32.25" customHeight="1" x14ac:dyDescent="0.25">
      <c r="A18" s="2" t="s">
        <v>257</v>
      </c>
      <c r="B18" s="6" t="s">
        <v>127</v>
      </c>
      <c r="C18" s="6" t="s">
        <v>108</v>
      </c>
      <c r="D18" s="6" t="s">
        <v>67</v>
      </c>
      <c r="E18" s="6" t="s">
        <v>121</v>
      </c>
      <c r="F18" s="203">
        <f>G18+H18</f>
        <v>2475</v>
      </c>
      <c r="G18" s="81">
        <f>1200+1275</f>
        <v>2475</v>
      </c>
      <c r="H18" s="19">
        <v>0</v>
      </c>
      <c r="I18" s="203">
        <f>J18+K18</f>
        <v>1200</v>
      </c>
      <c r="J18" s="81">
        <v>1200</v>
      </c>
      <c r="K18" s="19">
        <v>0</v>
      </c>
      <c r="L18" s="352">
        <f>M18</f>
        <v>1200</v>
      </c>
      <c r="M18" s="81">
        <v>1200</v>
      </c>
      <c r="N18" s="19">
        <v>0</v>
      </c>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row>
    <row r="19" spans="1:166" s="208" customFormat="1" ht="25.95" customHeight="1" x14ac:dyDescent="0.25">
      <c r="A19" s="196" t="s">
        <v>333</v>
      </c>
      <c r="B19" s="30" t="s">
        <v>127</v>
      </c>
      <c r="C19" s="30" t="s">
        <v>111</v>
      </c>
      <c r="D19" s="30"/>
      <c r="E19" s="30"/>
      <c r="F19" s="206"/>
      <c r="G19" s="207"/>
      <c r="H19" s="207"/>
      <c r="I19" s="206"/>
      <c r="J19" s="207"/>
      <c r="K19" s="207"/>
      <c r="L19" s="206"/>
      <c r="M19" s="207"/>
      <c r="N19" s="20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row>
    <row r="20" spans="1:166" s="208" customFormat="1" ht="69" customHeight="1" x14ac:dyDescent="0.25">
      <c r="A20" s="2" t="s">
        <v>680</v>
      </c>
      <c r="B20" s="6" t="s">
        <v>127</v>
      </c>
      <c r="C20" s="6" t="s">
        <v>111</v>
      </c>
      <c r="D20" s="14" t="s">
        <v>681</v>
      </c>
      <c r="E20" s="6" t="s">
        <v>165</v>
      </c>
      <c r="F20" s="203">
        <f>G20+H20</f>
        <v>1470</v>
      </c>
      <c r="G20" s="19">
        <v>0</v>
      </c>
      <c r="H20" s="19">
        <f>'5'!D51</f>
        <v>1470</v>
      </c>
      <c r="I20" s="203">
        <f>J20+K20</f>
        <v>1130</v>
      </c>
      <c r="J20" s="19">
        <v>0</v>
      </c>
      <c r="K20" s="19">
        <v>1130</v>
      </c>
      <c r="L20" s="203">
        <f>M20+N20</f>
        <v>0</v>
      </c>
      <c r="M20" s="19">
        <v>0</v>
      </c>
      <c r="N20" s="19">
        <v>0</v>
      </c>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row>
    <row r="21" spans="1:166" s="208" customFormat="1" ht="23.25" customHeight="1" x14ac:dyDescent="0.25">
      <c r="A21" s="196" t="s">
        <v>217</v>
      </c>
      <c r="B21" s="30" t="s">
        <v>127</v>
      </c>
      <c r="C21" s="30" t="s">
        <v>113</v>
      </c>
      <c r="D21" s="30"/>
      <c r="E21" s="30"/>
      <c r="F21" s="206"/>
      <c r="G21" s="207"/>
      <c r="H21" s="207"/>
      <c r="I21" s="206"/>
      <c r="J21" s="207"/>
      <c r="K21" s="207"/>
      <c r="L21" s="206"/>
      <c r="M21" s="207"/>
      <c r="N21" s="20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row>
    <row r="22" spans="1:166" s="208" customFormat="1" ht="114" hidden="1" customHeight="1" x14ac:dyDescent="0.25">
      <c r="A22" s="12" t="s">
        <v>376</v>
      </c>
      <c r="B22" s="6" t="s">
        <v>127</v>
      </c>
      <c r="C22" s="6" t="s">
        <v>113</v>
      </c>
      <c r="D22" s="6"/>
      <c r="E22" s="6"/>
      <c r="F22" s="209"/>
      <c r="G22" s="201"/>
      <c r="H22" s="201"/>
      <c r="I22" s="209"/>
      <c r="J22" s="201"/>
      <c r="K22" s="201"/>
      <c r="L22" s="209"/>
      <c r="M22" s="201"/>
      <c r="N22" s="201"/>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row>
    <row r="23" spans="1:166" s="208" customFormat="1" ht="73.95" customHeight="1" x14ac:dyDescent="0.25">
      <c r="A23" s="9" t="s">
        <v>682</v>
      </c>
      <c r="B23" s="6" t="s">
        <v>127</v>
      </c>
      <c r="C23" s="6" t="s">
        <v>113</v>
      </c>
      <c r="D23" s="6" t="s">
        <v>383</v>
      </c>
      <c r="E23" s="6" t="s">
        <v>121</v>
      </c>
      <c r="F23" s="203">
        <f>G23+H23</f>
        <v>13034.59071</v>
      </c>
      <c r="G23" s="19"/>
      <c r="H23" s="19">
        <f>'3'!F815</f>
        <v>13034.59071</v>
      </c>
      <c r="I23" s="203">
        <f>J23+K23</f>
        <v>13622.855009999999</v>
      </c>
      <c r="J23" s="19"/>
      <c r="K23" s="24">
        <f>'3'!G815</f>
        <v>13622.855009999999</v>
      </c>
      <c r="L23" s="203">
        <f>M23+N23</f>
        <v>14404.454879999999</v>
      </c>
      <c r="M23" s="19"/>
      <c r="N23" s="24">
        <f>'3'!H841</f>
        <v>14404.454879999999</v>
      </c>
      <c r="O23" s="210"/>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row>
    <row r="24" spans="1:166" s="208" customFormat="1" ht="86.7" hidden="1" customHeight="1" x14ac:dyDescent="0.25">
      <c r="A24" s="12" t="s">
        <v>377</v>
      </c>
      <c r="B24" s="6"/>
      <c r="C24" s="6"/>
      <c r="D24" s="6"/>
      <c r="E24" s="6"/>
      <c r="F24" s="203"/>
      <c r="G24" s="19"/>
      <c r="H24" s="19"/>
      <c r="I24" s="203"/>
      <c r="J24" s="19"/>
      <c r="K24" s="19"/>
      <c r="L24" s="203"/>
      <c r="M24" s="19"/>
      <c r="N24" s="19"/>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row>
    <row r="25" spans="1:166" s="208" customFormat="1" ht="45" hidden="1" customHeight="1" x14ac:dyDescent="0.25">
      <c r="A25" s="9" t="s">
        <v>683</v>
      </c>
      <c r="B25" s="6" t="s">
        <v>127</v>
      </c>
      <c r="C25" s="6" t="s">
        <v>113</v>
      </c>
      <c r="D25" s="6" t="s">
        <v>384</v>
      </c>
      <c r="E25" s="6" t="s">
        <v>121</v>
      </c>
      <c r="F25" s="203">
        <f>G25+H25</f>
        <v>0</v>
      </c>
      <c r="G25" s="19"/>
      <c r="H25" s="19">
        <v>0</v>
      </c>
      <c r="I25" s="203">
        <f>J25+K25</f>
        <v>0</v>
      </c>
      <c r="J25" s="19"/>
      <c r="K25" s="19">
        <v>0</v>
      </c>
      <c r="L25" s="203">
        <f>M25+N25</f>
        <v>0</v>
      </c>
      <c r="M25" s="19"/>
      <c r="N25" s="19">
        <v>0</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row>
    <row r="26" spans="1:166" s="7" customFormat="1" ht="70.5" hidden="1" customHeight="1" x14ac:dyDescent="0.25">
      <c r="A26" s="18" t="s">
        <v>845</v>
      </c>
      <c r="B26" s="6" t="s">
        <v>127</v>
      </c>
      <c r="C26" s="6" t="s">
        <v>113</v>
      </c>
      <c r="D26" s="6"/>
      <c r="E26" s="6"/>
      <c r="F26" s="203"/>
      <c r="G26" s="19"/>
      <c r="H26" s="19"/>
      <c r="I26" s="203"/>
      <c r="J26" s="19"/>
      <c r="K26" s="19"/>
      <c r="L26" s="203"/>
      <c r="M26" s="19"/>
      <c r="N26" s="19"/>
    </row>
    <row r="27" spans="1:166" s="199" customFormat="1" ht="18" hidden="1" customHeight="1" x14ac:dyDescent="0.25">
      <c r="A27" s="12" t="s">
        <v>129</v>
      </c>
      <c r="B27" s="6" t="s">
        <v>127</v>
      </c>
      <c r="C27" s="6" t="s">
        <v>113</v>
      </c>
      <c r="D27" s="6"/>
      <c r="E27" s="6"/>
      <c r="F27" s="203"/>
      <c r="G27" s="19"/>
      <c r="H27" s="19"/>
      <c r="I27" s="203"/>
      <c r="J27" s="19"/>
      <c r="K27" s="19"/>
      <c r="L27" s="203"/>
      <c r="M27" s="19"/>
      <c r="N27" s="19"/>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row>
    <row r="28" spans="1:166" s="199" customFormat="1" ht="84" customHeight="1" x14ac:dyDescent="0.25">
      <c r="A28" s="2" t="s">
        <v>684</v>
      </c>
      <c r="B28" s="6" t="s">
        <v>127</v>
      </c>
      <c r="C28" s="6" t="s">
        <v>113</v>
      </c>
      <c r="D28" s="6" t="s">
        <v>70</v>
      </c>
      <c r="E28" s="6" t="s">
        <v>121</v>
      </c>
      <c r="F28" s="203">
        <f>G28+H28</f>
        <v>5657.1770000000006</v>
      </c>
      <c r="G28" s="19"/>
      <c r="H28" s="19">
        <f>'4'!G945</f>
        <v>5657.1770000000006</v>
      </c>
      <c r="I28" s="203">
        <f>J28+K28</f>
        <v>5882.0349999999999</v>
      </c>
      <c r="J28" s="19"/>
      <c r="K28" s="19">
        <f>'4'!H945</f>
        <v>5882.0349999999999</v>
      </c>
      <c r="L28" s="203">
        <f>M28+N28</f>
        <v>6117.6030000000001</v>
      </c>
      <c r="M28" s="19"/>
      <c r="N28" s="19">
        <f>'4'!I945</f>
        <v>6117.6030000000001</v>
      </c>
    </row>
    <row r="29" spans="1:166" s="199" customFormat="1" ht="71.25" hidden="1" customHeight="1" x14ac:dyDescent="0.25">
      <c r="A29" s="12" t="s">
        <v>678</v>
      </c>
      <c r="B29" s="6" t="s">
        <v>127</v>
      </c>
      <c r="C29" s="6" t="s">
        <v>113</v>
      </c>
      <c r="D29" s="6"/>
      <c r="E29" s="6"/>
      <c r="F29" s="203"/>
      <c r="G29" s="211"/>
      <c r="H29" s="19"/>
      <c r="I29" s="203"/>
      <c r="J29" s="211"/>
      <c r="K29" s="19"/>
      <c r="L29" s="203"/>
      <c r="M29" s="211"/>
      <c r="N29" s="19"/>
    </row>
    <row r="30" spans="1:166" s="199" customFormat="1" ht="70.2" customHeight="1" x14ac:dyDescent="0.25">
      <c r="A30" s="2" t="s">
        <v>685</v>
      </c>
      <c r="B30" s="6" t="s">
        <v>127</v>
      </c>
      <c r="C30" s="6" t="s">
        <v>113</v>
      </c>
      <c r="D30" s="6" t="s">
        <v>51</v>
      </c>
      <c r="E30" s="6" t="s">
        <v>121</v>
      </c>
      <c r="F30" s="203">
        <f>G30+H30</f>
        <v>300</v>
      </c>
      <c r="G30" s="211"/>
      <c r="H30" s="19">
        <f>'3'!F793</f>
        <v>300</v>
      </c>
      <c r="I30" s="203">
        <f>J30+K30</f>
        <v>300</v>
      </c>
      <c r="J30" s="19"/>
      <c r="K30" s="19">
        <v>300</v>
      </c>
      <c r="L30" s="203">
        <f>M30+N30</f>
        <v>300</v>
      </c>
      <c r="M30" s="19"/>
      <c r="N30" s="19">
        <v>300</v>
      </c>
    </row>
    <row r="31" spans="1:166" ht="18" customHeight="1" x14ac:dyDescent="0.25">
      <c r="A31" s="16" t="s">
        <v>132</v>
      </c>
      <c r="B31" s="441"/>
      <c r="C31" s="441"/>
      <c r="D31" s="441"/>
      <c r="E31" s="441"/>
      <c r="F31" s="212">
        <f>F15+F23+F25+F18+F20+F28+F30</f>
        <v>22936.76771</v>
      </c>
      <c r="G31" s="213">
        <f t="shared" ref="G31:N31" si="0">G15+G23+G25+G18+G20+G28+G30</f>
        <v>2475</v>
      </c>
      <c r="H31" s="213">
        <f t="shared" si="0"/>
        <v>20461.76771</v>
      </c>
      <c r="I31" s="212">
        <f t="shared" si="0"/>
        <v>22134.890009999999</v>
      </c>
      <c r="J31" s="213">
        <f t="shared" si="0"/>
        <v>1200</v>
      </c>
      <c r="K31" s="213">
        <f t="shared" si="0"/>
        <v>20934.890009999999</v>
      </c>
      <c r="L31" s="212">
        <f t="shared" si="0"/>
        <v>22022.05788</v>
      </c>
      <c r="M31" s="213">
        <f t="shared" si="0"/>
        <v>1200</v>
      </c>
      <c r="N31" s="442">
        <f t="shared" si="0"/>
        <v>20822.05788</v>
      </c>
    </row>
    <row r="32" spans="1:166" x14ac:dyDescent="0.3">
      <c r="F32" s="214"/>
      <c r="G32" s="215"/>
    </row>
    <row r="33" spans="1:8" ht="15" x14ac:dyDescent="0.25">
      <c r="A33" s="216"/>
      <c r="B33" s="216"/>
      <c r="C33" s="217"/>
      <c r="D33" s="217"/>
      <c r="E33" s="217"/>
      <c r="F33" s="218"/>
      <c r="G33" s="219"/>
      <c r="H33" s="218"/>
    </row>
    <row r="34" spans="1:8" x14ac:dyDescent="0.3">
      <c r="D34" s="584"/>
      <c r="E34" s="584"/>
      <c r="F34" s="584"/>
      <c r="G34" s="219"/>
    </row>
  </sheetData>
  <mergeCells count="22">
    <mergeCell ref="D34:F34"/>
    <mergeCell ref="F4:H4"/>
    <mergeCell ref="L4:N4"/>
    <mergeCell ref="A6:N6"/>
    <mergeCell ref="A7:N8"/>
    <mergeCell ref="A10:A11"/>
    <mergeCell ref="B10:B11"/>
    <mergeCell ref="C10:C11"/>
    <mergeCell ref="D10:D11"/>
    <mergeCell ref="E10:E11"/>
    <mergeCell ref="F10:F11"/>
    <mergeCell ref="G10:H10"/>
    <mergeCell ref="I10:I11"/>
    <mergeCell ref="J10:K10"/>
    <mergeCell ref="L10:L11"/>
    <mergeCell ref="M10:N10"/>
    <mergeCell ref="F1:H1"/>
    <mergeCell ref="L1:N1"/>
    <mergeCell ref="F2:H2"/>
    <mergeCell ref="L2:N2"/>
    <mergeCell ref="F3:H3"/>
    <mergeCell ref="L3:N3"/>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1 </vt:lpstr>
      <vt:lpstr>2  </vt:lpstr>
      <vt:lpstr>3</vt:lpstr>
      <vt:lpstr>4</vt:lpstr>
      <vt:lpstr>5</vt:lpstr>
      <vt:lpstr>7</vt:lpstr>
      <vt:lpstr>10</vt:lpstr>
      <vt:lpstr>'1 '!Область_печати</vt:lpstr>
      <vt:lpstr>'2  '!Область_печати</vt:lpstr>
      <vt:lpstr>'3'!Область_печати</vt:lpstr>
      <vt:lpstr>'4'!Область_печати</vt:lpstr>
      <vt:lpstr>'5'!Область_печати</vt:lpstr>
    </vt:vector>
  </TitlesOfParts>
  <Company>fin540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dc:creator>
  <cp:lastModifiedBy>Юля Игнатова</cp:lastModifiedBy>
  <cp:lastPrinted>2024-06-25T00:50:59Z</cp:lastPrinted>
  <dcterms:created xsi:type="dcterms:W3CDTF">2008-10-27T01:25:53Z</dcterms:created>
  <dcterms:modified xsi:type="dcterms:W3CDTF">2024-06-27T06:42:55Z</dcterms:modified>
</cp:coreProperties>
</file>