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15" windowWidth="20955" windowHeight="9720" activeTab="1"/>
  </bookViews>
  <sheets>
    <sheet name="1" sheetId="1" r:id="rId1"/>
    <sheet name="2  " sheetId="2" r:id="rId2"/>
    <sheet name="3" sheetId="3" r:id="rId3"/>
    <sheet name="4" sheetId="4" r:id="rId4"/>
    <sheet name="5" sheetId="5" r:id="rId5"/>
  </sheets>
  <definedNames>
    <definedName name="_xlnm._FilterDatabase" localSheetId="1" hidden="1">'2  '!$A$8:$F$65</definedName>
    <definedName name="_xlnm._FilterDatabase" localSheetId="2" hidden="1">'3'!$A$10:$H$281</definedName>
    <definedName name="_xlnm._FilterDatabase" localSheetId="3" hidden="1">'4'!$A$10:$I$232</definedName>
    <definedName name="_xlnm._FilterDatabase" localSheetId="4" hidden="1">'5'!$A$9:$F$108</definedName>
    <definedName name="_xlnm.Print_Area" localSheetId="0">'1'!$A$1:$E$21</definedName>
    <definedName name="_xlnm.Print_Area" localSheetId="1">'2  '!$A$1:$F$103</definedName>
    <definedName name="_xlnm.Print_Area" localSheetId="2">'3'!$A$1:$H$1003</definedName>
    <definedName name="_xlnm.Print_Area" localSheetId="3">'4'!$A$1:$I$1026</definedName>
    <definedName name="_xlnm.Print_Area" localSheetId="4">'5'!$A$1:$F$343</definedName>
  </definedNames>
  <calcPr calcId="144525"/>
</workbook>
</file>

<file path=xl/calcChain.xml><?xml version="1.0" encoding="utf-8"?>
<calcChain xmlns="http://schemas.openxmlformats.org/spreadsheetml/2006/main">
  <c r="F329" i="5" l="1"/>
  <c r="E328" i="5"/>
  <c r="D328" i="5"/>
  <c r="F325" i="5"/>
  <c r="E325" i="5"/>
  <c r="F321" i="5"/>
  <c r="E321" i="5"/>
  <c r="D321" i="5"/>
  <c r="F313" i="5"/>
  <c r="E313" i="5"/>
  <c r="D313" i="5"/>
  <c r="D310" i="5"/>
  <c r="D304" i="5"/>
  <c r="D302" i="5"/>
  <c r="D299" i="5"/>
  <c r="D295" i="5"/>
  <c r="F288" i="5"/>
  <c r="E288" i="5"/>
  <c r="D288" i="5"/>
  <c r="D286" i="5"/>
  <c r="D283" i="5"/>
  <c r="D276" i="5"/>
  <c r="F272" i="5"/>
  <c r="E272" i="5"/>
  <c r="D272" i="5"/>
  <c r="F271" i="5"/>
  <c r="E271" i="5"/>
  <c r="D271" i="5"/>
  <c r="F270" i="5"/>
  <c r="D270" i="5"/>
  <c r="F263" i="5"/>
  <c r="D261" i="5"/>
  <c r="F259" i="5"/>
  <c r="E259" i="5"/>
  <c r="D259" i="5"/>
  <c r="D256" i="5" s="1"/>
  <c r="F257" i="5"/>
  <c r="F256" i="5" s="1"/>
  <c r="E257" i="5"/>
  <c r="D257" i="5"/>
  <c r="E256" i="5"/>
  <c r="E255" i="5"/>
  <c r="D255" i="5"/>
  <c r="F254" i="5"/>
  <c r="F252" i="5" s="1"/>
  <c r="F253" i="5"/>
  <c r="E253" i="5"/>
  <c r="E254" i="5" s="1"/>
  <c r="E252" i="5" s="1"/>
  <c r="D253" i="5"/>
  <c r="D252" i="5" s="1"/>
  <c r="F247" i="5"/>
  <c r="E247" i="5"/>
  <c r="D247" i="5"/>
  <c r="F244" i="5"/>
  <c r="E244" i="5"/>
  <c r="D244" i="5"/>
  <c r="F243" i="5"/>
  <c r="E243" i="5"/>
  <c r="D243" i="5"/>
  <c r="F238" i="5"/>
  <c r="E238" i="5"/>
  <c r="E237" i="5"/>
  <c r="F236" i="5"/>
  <c r="F237" i="5" s="1"/>
  <c r="E236" i="5"/>
  <c r="D236" i="5"/>
  <c r="D235" i="5" s="1"/>
  <c r="E235" i="5"/>
  <c r="F233" i="5"/>
  <c r="F232" i="5" s="1"/>
  <c r="E233" i="5"/>
  <c r="E232" i="5" s="1"/>
  <c r="D233" i="5"/>
  <c r="D232" i="5" s="1"/>
  <c r="D231" i="5"/>
  <c r="F227" i="5"/>
  <c r="E227" i="5"/>
  <c r="E224" i="5" s="1"/>
  <c r="D227" i="5"/>
  <c r="D224" i="5" s="1"/>
  <c r="F224" i="5"/>
  <c r="F218" i="5"/>
  <c r="E218" i="5"/>
  <c r="D218" i="5"/>
  <c r="F211" i="5"/>
  <c r="F209" i="5" s="1"/>
  <c r="E211" i="5"/>
  <c r="E209" i="5" s="1"/>
  <c r="D211" i="5"/>
  <c r="D209" i="5" s="1"/>
  <c r="F204" i="5"/>
  <c r="E204" i="5"/>
  <c r="D204" i="5"/>
  <c r="F201" i="5"/>
  <c r="E201" i="5"/>
  <c r="D201" i="5"/>
  <c r="D199" i="5"/>
  <c r="F198" i="5"/>
  <c r="E198" i="5"/>
  <c r="D198" i="5"/>
  <c r="F196" i="5"/>
  <c r="F197" i="5" s="1"/>
  <c r="E196" i="5"/>
  <c r="E197" i="5" s="1"/>
  <c r="E195" i="5" s="1"/>
  <c r="D196" i="5"/>
  <c r="D195" i="5"/>
  <c r="F193" i="5"/>
  <c r="E193" i="5"/>
  <c r="D193" i="5"/>
  <c r="E192" i="5"/>
  <c r="F191" i="5"/>
  <c r="E191" i="5"/>
  <c r="E190" i="5" s="1"/>
  <c r="D191" i="5"/>
  <c r="D190" i="5" s="1"/>
  <c r="F190" i="5"/>
  <c r="F188" i="5"/>
  <c r="F187" i="5" s="1"/>
  <c r="E188" i="5"/>
  <c r="D188" i="5"/>
  <c r="E187" i="5"/>
  <c r="D187" i="5"/>
  <c r="F185" i="5"/>
  <c r="F186" i="5" s="1"/>
  <c r="E185" i="5"/>
  <c r="E186" i="5" s="1"/>
  <c r="E184" i="5" s="1"/>
  <c r="D185" i="5"/>
  <c r="D184" i="5"/>
  <c r="F183" i="5"/>
  <c r="E183" i="5"/>
  <c r="F182" i="5"/>
  <c r="E182" i="5"/>
  <c r="D182" i="5"/>
  <c r="E181" i="5"/>
  <c r="F180" i="5"/>
  <c r="F181" i="5" s="1"/>
  <c r="F179" i="5" s="1"/>
  <c r="E180" i="5"/>
  <c r="E179" i="5" s="1"/>
  <c r="D180" i="5"/>
  <c r="D179" i="5"/>
  <c r="D177" i="5"/>
  <c r="F176" i="5"/>
  <c r="E176" i="5"/>
  <c r="D176" i="5"/>
  <c r="F175" i="5"/>
  <c r="E175" i="5"/>
  <c r="E174" i="5" s="1"/>
  <c r="F174" i="5"/>
  <c r="D174" i="5"/>
  <c r="D172" i="5"/>
  <c r="D171" i="5" s="1"/>
  <c r="D154" i="5" s="1"/>
  <c r="F171" i="5"/>
  <c r="E171" i="5"/>
  <c r="F168" i="5"/>
  <c r="E168" i="5"/>
  <c r="D168" i="5"/>
  <c r="F165" i="5"/>
  <c r="E165" i="5"/>
  <c r="D165" i="5"/>
  <c r="F163" i="5"/>
  <c r="E163" i="5"/>
  <c r="D163" i="5"/>
  <c r="D162" i="5" s="1"/>
  <c r="F162" i="5"/>
  <c r="E162" i="5"/>
  <c r="F161" i="5"/>
  <c r="E161" i="5"/>
  <c r="D161" i="5"/>
  <c r="F157" i="5"/>
  <c r="E157" i="5"/>
  <c r="F156" i="5"/>
  <c r="E156" i="5"/>
  <c r="D156" i="5"/>
  <c r="F154" i="5"/>
  <c r="E154" i="5"/>
  <c r="F151" i="5"/>
  <c r="E151" i="5"/>
  <c r="D151" i="5"/>
  <c r="F148" i="5"/>
  <c r="E148" i="5"/>
  <c r="D148" i="5"/>
  <c r="F147" i="5"/>
  <c r="F145" i="5" s="1"/>
  <c r="F146" i="5"/>
  <c r="E146" i="5"/>
  <c r="E147" i="5" s="1"/>
  <c r="F144" i="5"/>
  <c r="F142" i="5" s="1"/>
  <c r="F143" i="5"/>
  <c r="E143" i="5"/>
  <c r="E144" i="5" s="1"/>
  <c r="D143" i="5"/>
  <c r="D142" i="5" s="1"/>
  <c r="F135" i="5"/>
  <c r="E135" i="5"/>
  <c r="D135" i="5"/>
  <c r="D124" i="5"/>
  <c r="F122" i="5"/>
  <c r="E122" i="5"/>
  <c r="D122" i="5"/>
  <c r="F119" i="5"/>
  <c r="E119" i="5"/>
  <c r="D119" i="5"/>
  <c r="F115" i="5"/>
  <c r="E115" i="5"/>
  <c r="D115" i="5"/>
  <c r="D112" i="5" s="1"/>
  <c r="F112" i="5"/>
  <c r="E112" i="5"/>
  <c r="F110" i="5"/>
  <c r="E110" i="5"/>
  <c r="D110" i="5"/>
  <c r="F106" i="5"/>
  <c r="E106" i="5"/>
  <c r="D106" i="5"/>
  <c r="F103" i="5"/>
  <c r="E103" i="5"/>
  <c r="D103" i="5"/>
  <c r="F101" i="5"/>
  <c r="F100" i="5"/>
  <c r="E100" i="5"/>
  <c r="D100" i="5"/>
  <c r="F98" i="5"/>
  <c r="E98" i="5"/>
  <c r="E97" i="5" s="1"/>
  <c r="D98" i="5"/>
  <c r="D97" i="5" s="1"/>
  <c r="F97" i="5"/>
  <c r="F95" i="5"/>
  <c r="F94" i="5" s="1"/>
  <c r="E95" i="5"/>
  <c r="D95" i="5"/>
  <c r="E94" i="5"/>
  <c r="D94" i="5"/>
  <c r="F92" i="5"/>
  <c r="E92" i="5"/>
  <c r="D92" i="5"/>
  <c r="F91" i="5"/>
  <c r="F89" i="5" s="1"/>
  <c r="F73" i="5" s="1"/>
  <c r="F90" i="5"/>
  <c r="F88" i="5"/>
  <c r="E88" i="5"/>
  <c r="F87" i="5"/>
  <c r="E87" i="5"/>
  <c r="D87" i="5"/>
  <c r="F84" i="5"/>
  <c r="E84" i="5"/>
  <c r="D84" i="5"/>
  <c r="D83" i="5" s="1"/>
  <c r="F83" i="5"/>
  <c r="E83" i="5"/>
  <c r="E80" i="5"/>
  <c r="D80" i="5"/>
  <c r="F79" i="5"/>
  <c r="E79" i="5"/>
  <c r="D79" i="5"/>
  <c r="D78" i="5"/>
  <c r="D76" i="5"/>
  <c r="F74" i="5"/>
  <c r="E74" i="5"/>
  <c r="D74" i="5"/>
  <c r="D72" i="5"/>
  <c r="D70" i="5" s="1"/>
  <c r="F70" i="5"/>
  <c r="E70" i="5"/>
  <c r="F66" i="5"/>
  <c r="E66" i="5"/>
  <c r="D66" i="5"/>
  <c r="F65" i="5"/>
  <c r="E65" i="5"/>
  <c r="D65" i="5"/>
  <c r="F64" i="5"/>
  <c r="E64" i="5"/>
  <c r="E62" i="5" s="1"/>
  <c r="D64" i="5"/>
  <c r="F62" i="5"/>
  <c r="D62" i="5"/>
  <c r="D58" i="5"/>
  <c r="F57" i="5"/>
  <c r="E57" i="5"/>
  <c r="D57" i="5"/>
  <c r="F55" i="5"/>
  <c r="E55" i="5"/>
  <c r="D55" i="5"/>
  <c r="F51" i="5"/>
  <c r="E51" i="5"/>
  <c r="D51" i="5"/>
  <c r="F47" i="5"/>
  <c r="E47" i="5"/>
  <c r="E46" i="5" s="1"/>
  <c r="D47" i="5"/>
  <c r="F46" i="5"/>
  <c r="D46" i="5"/>
  <c r="F45" i="5"/>
  <c r="E45" i="5"/>
  <c r="E43" i="5" s="1"/>
  <c r="D45" i="5"/>
  <c r="F43" i="5"/>
  <c r="D43" i="5"/>
  <c r="F41" i="5"/>
  <c r="E41" i="5"/>
  <c r="E42" i="5" s="1"/>
  <c r="E40" i="5" s="1"/>
  <c r="D41" i="5"/>
  <c r="D42" i="5" s="1"/>
  <c r="D40" i="5" s="1"/>
  <c r="G803" i="4" s="1"/>
  <c r="F39" i="5"/>
  <c r="E39" i="5"/>
  <c r="F36" i="5"/>
  <c r="F34" i="5" s="1"/>
  <c r="E36" i="5"/>
  <c r="D36" i="5"/>
  <c r="D34" i="5" s="1"/>
  <c r="D28" i="5" s="1"/>
  <c r="E34" i="5"/>
  <c r="F32" i="5"/>
  <c r="F33" i="5" s="1"/>
  <c r="F31" i="5" s="1"/>
  <c r="E32" i="5"/>
  <c r="E33" i="5" s="1"/>
  <c r="D31" i="5"/>
  <c r="D29" i="5"/>
  <c r="F28" i="5"/>
  <c r="E28" i="5"/>
  <c r="F25" i="5"/>
  <c r="E25" i="5"/>
  <c r="D25" i="5"/>
  <c r="F21" i="5"/>
  <c r="E21" i="5"/>
  <c r="D21" i="5"/>
  <c r="D17" i="5"/>
  <c r="D15" i="5"/>
  <c r="D14" i="5" s="1"/>
  <c r="F14" i="5"/>
  <c r="E14" i="5"/>
  <c r="I1024" i="4"/>
  <c r="H1024" i="4"/>
  <c r="H1023" i="4" s="1"/>
  <c r="H1022" i="4" s="1"/>
  <c r="H1015" i="4" s="1"/>
  <c r="H1014" i="4" s="1"/>
  <c r="H1013" i="4" s="1"/>
  <c r="H1012" i="4" s="1"/>
  <c r="G1024" i="4"/>
  <c r="I1023" i="4"/>
  <c r="G1023" i="4"/>
  <c r="G1022" i="4" s="1"/>
  <c r="I1022" i="4"/>
  <c r="I1021" i="4"/>
  <c r="I1020" i="4" s="1"/>
  <c r="I1015" i="4" s="1"/>
  <c r="I1014" i="4" s="1"/>
  <c r="I1013" i="4" s="1"/>
  <c r="I1012" i="4" s="1"/>
  <c r="H1021" i="4"/>
  <c r="G1021" i="4"/>
  <c r="H1020" i="4"/>
  <c r="G1020" i="4"/>
  <c r="I1019" i="4"/>
  <c r="H1019" i="4"/>
  <c r="I1018" i="4"/>
  <c r="H1018" i="4"/>
  <c r="I1017" i="4"/>
  <c r="I1016" i="4" s="1"/>
  <c r="H1017" i="4"/>
  <c r="G1017" i="4"/>
  <c r="H1016" i="4"/>
  <c r="G1016" i="4"/>
  <c r="I1010" i="4"/>
  <c r="I1009" i="4" s="1"/>
  <c r="H1010" i="4"/>
  <c r="G1010" i="4"/>
  <c r="G1009" i="4" s="1"/>
  <c r="H1009" i="4"/>
  <c r="I1007" i="4"/>
  <c r="I1006" i="4" s="1"/>
  <c r="I1005" i="4" s="1"/>
  <c r="H1007" i="4"/>
  <c r="G1007" i="4"/>
  <c r="G1006" i="4" s="1"/>
  <c r="G1005" i="4" s="1"/>
  <c r="H1006" i="4"/>
  <c r="H1005" i="4" s="1"/>
  <c r="I996" i="4"/>
  <c r="I995" i="4" s="1"/>
  <c r="H996" i="4"/>
  <c r="G996" i="4"/>
  <c r="H995" i="4"/>
  <c r="G995" i="4"/>
  <c r="I991" i="4"/>
  <c r="H991" i="4"/>
  <c r="H990" i="4" s="1"/>
  <c r="H989" i="4" s="1"/>
  <c r="H988" i="4" s="1"/>
  <c r="H987" i="4" s="1"/>
  <c r="I990" i="4"/>
  <c r="I989" i="4"/>
  <c r="I988" i="4" s="1"/>
  <c r="I987" i="4" s="1"/>
  <c r="I977" i="4"/>
  <c r="I976" i="4" s="1"/>
  <c r="I975" i="4" s="1"/>
  <c r="I974" i="4" s="1"/>
  <c r="H977" i="4"/>
  <c r="H976" i="4" s="1"/>
  <c r="H975" i="4" s="1"/>
  <c r="H974" i="4" s="1"/>
  <c r="G977" i="4"/>
  <c r="G976" i="4"/>
  <c r="G975" i="4" s="1"/>
  <c r="G974" i="4" s="1"/>
  <c r="I967" i="4"/>
  <c r="H967" i="4"/>
  <c r="G967" i="4"/>
  <c r="G966" i="4" s="1"/>
  <c r="G965" i="4" s="1"/>
  <c r="G964" i="4" s="1"/>
  <c r="I966" i="4"/>
  <c r="H966" i="4"/>
  <c r="I965" i="4"/>
  <c r="I964" i="4" s="1"/>
  <c r="H965" i="4"/>
  <c r="H964" i="4"/>
  <c r="I963" i="4"/>
  <c r="H963" i="4"/>
  <c r="G963" i="4"/>
  <c r="G962" i="4" s="1"/>
  <c r="G959" i="4" s="1"/>
  <c r="I962" i="4"/>
  <c r="H962" i="4"/>
  <c r="I961" i="4"/>
  <c r="I960" i="4" s="1"/>
  <c r="I959" i="4" s="1"/>
  <c r="H961" i="4"/>
  <c r="H960" i="4" s="1"/>
  <c r="H959" i="4" s="1"/>
  <c r="G961" i="4"/>
  <c r="G960" i="4"/>
  <c r="I958" i="4"/>
  <c r="H958" i="4"/>
  <c r="G958" i="4"/>
  <c r="I957" i="4"/>
  <c r="H957" i="4"/>
  <c r="G957" i="4"/>
  <c r="I953" i="4"/>
  <c r="H953" i="4"/>
  <c r="H952" i="4" s="1"/>
  <c r="H951" i="4" s="1"/>
  <c r="H950" i="4" s="1"/>
  <c r="G953" i="4"/>
  <c r="I952" i="4"/>
  <c r="G952" i="4"/>
  <c r="I951" i="4"/>
  <c r="I950" i="4" s="1"/>
  <c r="G951" i="4"/>
  <c r="G950" i="4" s="1"/>
  <c r="G948" i="4"/>
  <c r="G947" i="4" s="1"/>
  <c r="I945" i="4"/>
  <c r="H945" i="4"/>
  <c r="G945" i="4"/>
  <c r="G943" i="4"/>
  <c r="G940" i="4" s="1"/>
  <c r="G939" i="4" s="1"/>
  <c r="I937" i="4"/>
  <c r="H937" i="4"/>
  <c r="G937" i="4"/>
  <c r="I936" i="4"/>
  <c r="I935" i="4" s="1"/>
  <c r="I934" i="4" s="1"/>
  <c r="H936" i="4"/>
  <c r="G936" i="4"/>
  <c r="H935" i="4"/>
  <c r="G935" i="4"/>
  <c r="H934" i="4"/>
  <c r="G934" i="4"/>
  <c r="I933" i="4"/>
  <c r="H933" i="4"/>
  <c r="H931" i="4" s="1"/>
  <c r="G933" i="4"/>
  <c r="G931" i="4" s="1"/>
  <c r="I931" i="4"/>
  <c r="I930" i="4"/>
  <c r="I929" i="4" s="1"/>
  <c r="I928" i="4" s="1"/>
  <c r="I927" i="4" s="1"/>
  <c r="I926" i="4" s="1"/>
  <c r="I925" i="4" s="1"/>
  <c r="I924" i="4" s="1"/>
  <c r="H930" i="4"/>
  <c r="H929" i="4" s="1"/>
  <c r="G930" i="4"/>
  <c r="G929" i="4"/>
  <c r="G928" i="4" s="1"/>
  <c r="G927" i="4" s="1"/>
  <c r="G926" i="4" s="1"/>
  <c r="H928" i="4"/>
  <c r="H927" i="4" s="1"/>
  <c r="H926" i="4" s="1"/>
  <c r="H925" i="4" s="1"/>
  <c r="H924" i="4" s="1"/>
  <c r="G925" i="4"/>
  <c r="G924" i="4" s="1"/>
  <c r="I922" i="4"/>
  <c r="I921" i="4" s="1"/>
  <c r="H922" i="4"/>
  <c r="G922" i="4"/>
  <c r="G921" i="4" s="1"/>
  <c r="H921" i="4"/>
  <c r="I919" i="4"/>
  <c r="H919" i="4"/>
  <c r="G919" i="4"/>
  <c r="I914" i="4"/>
  <c r="G914" i="4"/>
  <c r="I913" i="4"/>
  <c r="I912" i="4" s="1"/>
  <c r="G913" i="4"/>
  <c r="G912" i="4" s="1"/>
  <c r="I911" i="4"/>
  <c r="I910" i="4" s="1"/>
  <c r="I909" i="4"/>
  <c r="I904" i="4"/>
  <c r="H904" i="4"/>
  <c r="G904" i="4"/>
  <c r="G903" i="4" s="1"/>
  <c r="I903" i="4"/>
  <c r="H903" i="4"/>
  <c r="I901" i="4"/>
  <c r="I900" i="4" s="1"/>
  <c r="H901" i="4"/>
  <c r="H900" i="4" s="1"/>
  <c r="G901" i="4"/>
  <c r="G900" i="4" s="1"/>
  <c r="G895" i="4" s="1"/>
  <c r="G894" i="4" s="1"/>
  <c r="I898" i="4"/>
  <c r="H898" i="4"/>
  <c r="G898" i="4"/>
  <c r="I896" i="4"/>
  <c r="I895" i="4" s="1"/>
  <c r="I894" i="4" s="1"/>
  <c r="H896" i="4"/>
  <c r="G896" i="4"/>
  <c r="I892" i="4"/>
  <c r="I891" i="4" s="1"/>
  <c r="H892" i="4"/>
  <c r="G892" i="4"/>
  <c r="G891" i="4" s="1"/>
  <c r="G888" i="4" s="1"/>
  <c r="G887" i="4" s="1"/>
  <c r="G886" i="4" s="1"/>
  <c r="G885" i="4" s="1"/>
  <c r="H891" i="4"/>
  <c r="I889" i="4"/>
  <c r="H889" i="4"/>
  <c r="H888" i="4" s="1"/>
  <c r="H887" i="4" s="1"/>
  <c r="H886" i="4" s="1"/>
  <c r="G889" i="4"/>
  <c r="G884" i="4"/>
  <c r="I883" i="4"/>
  <c r="I882" i="4" s="1"/>
  <c r="H883" i="4"/>
  <c r="G883" i="4"/>
  <c r="H882" i="4"/>
  <c r="H881" i="4" s="1"/>
  <c r="G882" i="4"/>
  <c r="H880" i="4"/>
  <c r="I878" i="4"/>
  <c r="I877" i="4" s="1"/>
  <c r="H878" i="4"/>
  <c r="G878" i="4"/>
  <c r="G877" i="4" s="1"/>
  <c r="H877" i="4"/>
  <c r="I876" i="4"/>
  <c r="I875" i="4" s="1"/>
  <c r="I874" i="4" s="1"/>
  <c r="H876" i="4"/>
  <c r="G876" i="4"/>
  <c r="G875" i="4" s="1"/>
  <c r="G874" i="4" s="1"/>
  <c r="H875" i="4"/>
  <c r="H874" i="4"/>
  <c r="I873" i="4"/>
  <c r="H873" i="4"/>
  <c r="H872" i="4" s="1"/>
  <c r="G873" i="4"/>
  <c r="G872" i="4" s="1"/>
  <c r="G871" i="4" s="1"/>
  <c r="G870" i="4" s="1"/>
  <c r="I872" i="4"/>
  <c r="I871" i="4"/>
  <c r="I870" i="4" s="1"/>
  <c r="H871" i="4"/>
  <c r="H870" i="4" s="1"/>
  <c r="I869" i="4"/>
  <c r="H869" i="4"/>
  <c r="H868" i="4" s="1"/>
  <c r="G869" i="4"/>
  <c r="I868" i="4"/>
  <c r="I867" i="4" s="1"/>
  <c r="G868" i="4"/>
  <c r="G867" i="4" s="1"/>
  <c r="H867" i="4"/>
  <c r="I865" i="4"/>
  <c r="H865" i="4"/>
  <c r="H864" i="4" s="1"/>
  <c r="G865" i="4"/>
  <c r="G864" i="4" s="1"/>
  <c r="G863" i="4" s="1"/>
  <c r="I864" i="4"/>
  <c r="I863" i="4"/>
  <c r="H863" i="4"/>
  <c r="G862" i="4"/>
  <c r="I861" i="4"/>
  <c r="H861" i="4"/>
  <c r="H860" i="4" s="1"/>
  <c r="G861" i="4"/>
  <c r="I860" i="4"/>
  <c r="I859" i="4" s="1"/>
  <c r="G860" i="4"/>
  <c r="G859" i="4" s="1"/>
  <c r="H859" i="4"/>
  <c r="I858" i="4"/>
  <c r="H858" i="4"/>
  <c r="G858" i="4"/>
  <c r="I856" i="4"/>
  <c r="H856" i="4"/>
  <c r="G856" i="4"/>
  <c r="I828" i="4"/>
  <c r="I827" i="4" s="1"/>
  <c r="H828" i="4"/>
  <c r="G828" i="4"/>
  <c r="G827" i="4" s="1"/>
  <c r="H827" i="4"/>
  <c r="H826" i="4" s="1"/>
  <c r="I826" i="4"/>
  <c r="G826" i="4"/>
  <c r="I824" i="4"/>
  <c r="H824" i="4"/>
  <c r="H823" i="4" s="1"/>
  <c r="G824" i="4"/>
  <c r="I823" i="4"/>
  <c r="G823" i="4"/>
  <c r="I821" i="4"/>
  <c r="H821" i="4"/>
  <c r="G821" i="4"/>
  <c r="I815" i="4"/>
  <c r="I814" i="4" s="1"/>
  <c r="H815" i="4"/>
  <c r="H814" i="4" s="1"/>
  <c r="G815" i="4"/>
  <c r="G814" i="4"/>
  <c r="I813" i="4"/>
  <c r="H813" i="4"/>
  <c r="H812" i="4" s="1"/>
  <c r="G813" i="4"/>
  <c r="I812" i="4"/>
  <c r="I811" i="4" s="1"/>
  <c r="G812" i="4"/>
  <c r="G811" i="4" s="1"/>
  <c r="H811" i="4"/>
  <c r="I810" i="4"/>
  <c r="I809" i="4" s="1"/>
  <c r="H810" i="4"/>
  <c r="H809" i="4" s="1"/>
  <c r="H808" i="4" s="1"/>
  <c r="G810" i="4"/>
  <c r="G809" i="4"/>
  <c r="G808" i="4" s="1"/>
  <c r="I808" i="4"/>
  <c r="I807" i="4" s="1"/>
  <c r="H807" i="4"/>
  <c r="I806" i="4"/>
  <c r="I805" i="4" s="1"/>
  <c r="I804" i="4" s="1"/>
  <c r="H806" i="4"/>
  <c r="G806" i="4"/>
  <c r="H805" i="4"/>
  <c r="H804" i="4" s="1"/>
  <c r="G805" i="4"/>
  <c r="G804" i="4" s="1"/>
  <c r="G800" i="4" s="1"/>
  <c r="I803" i="4"/>
  <c r="I802" i="4" s="1"/>
  <c r="I801" i="4" s="1"/>
  <c r="H803" i="4"/>
  <c r="H802" i="4" s="1"/>
  <c r="G802" i="4"/>
  <c r="G801" i="4" s="1"/>
  <c r="H801" i="4"/>
  <c r="H800" i="4" s="1"/>
  <c r="I799" i="4"/>
  <c r="H799" i="4"/>
  <c r="G799" i="4"/>
  <c r="I798" i="4"/>
  <c r="I797" i="4" s="1"/>
  <c r="H798" i="4"/>
  <c r="H797" i="4" s="1"/>
  <c r="G798" i="4"/>
  <c r="G797" i="4"/>
  <c r="I796" i="4"/>
  <c r="H796" i="4"/>
  <c r="G796" i="4"/>
  <c r="G795" i="4" s="1"/>
  <c r="I795" i="4"/>
  <c r="I794" i="4" s="1"/>
  <c r="I793" i="4" s="1"/>
  <c r="H795" i="4"/>
  <c r="H794" i="4" s="1"/>
  <c r="H793" i="4" s="1"/>
  <c r="G794" i="4"/>
  <c r="I792" i="4"/>
  <c r="I791" i="4" s="1"/>
  <c r="H792" i="4"/>
  <c r="G792" i="4"/>
  <c r="G791" i="4" s="1"/>
  <c r="G790" i="4" s="1"/>
  <c r="H791" i="4"/>
  <c r="I790" i="4"/>
  <c r="I786" i="4" s="1"/>
  <c r="H790" i="4"/>
  <c r="H786" i="4" s="1"/>
  <c r="I788" i="4"/>
  <c r="H788" i="4"/>
  <c r="H787" i="4" s="1"/>
  <c r="G788" i="4"/>
  <c r="G787" i="4" s="1"/>
  <c r="I787" i="4"/>
  <c r="I785" i="4"/>
  <c r="I784" i="4" s="1"/>
  <c r="H785" i="4"/>
  <c r="H783" i="4" s="1"/>
  <c r="G785" i="4"/>
  <c r="G784" i="4" s="1"/>
  <c r="H784" i="4"/>
  <c r="I783" i="4"/>
  <c r="G783" i="4"/>
  <c r="I781" i="4"/>
  <c r="H781" i="4"/>
  <c r="G781" i="4"/>
  <c r="I780" i="4"/>
  <c r="H780" i="4"/>
  <c r="G780" i="4"/>
  <c r="I778" i="4"/>
  <c r="H778" i="4"/>
  <c r="H777" i="4" s="1"/>
  <c r="G778" i="4"/>
  <c r="G777" i="4" s="1"/>
  <c r="G776" i="4" s="1"/>
  <c r="I777" i="4"/>
  <c r="I776" i="4"/>
  <c r="H776" i="4"/>
  <c r="I775" i="4"/>
  <c r="I774" i="4" s="1"/>
  <c r="H775" i="4"/>
  <c r="G775" i="4"/>
  <c r="G774" i="4" s="1"/>
  <c r="G773" i="4" s="1"/>
  <c r="H774" i="4"/>
  <c r="H773" i="4" s="1"/>
  <c r="I773" i="4"/>
  <c r="I768" i="4"/>
  <c r="H768" i="4"/>
  <c r="H767" i="4" s="1"/>
  <c r="G768" i="4"/>
  <c r="G767" i="4" s="1"/>
  <c r="G766" i="4" s="1"/>
  <c r="I767" i="4"/>
  <c r="I766" i="4" s="1"/>
  <c r="I765" i="4" s="1"/>
  <c r="H766" i="4"/>
  <c r="H765" i="4" s="1"/>
  <c r="G765" i="4"/>
  <c r="I763" i="4"/>
  <c r="H763" i="4"/>
  <c r="H762" i="4" s="1"/>
  <c r="G763" i="4"/>
  <c r="G762" i="4" s="1"/>
  <c r="I762" i="4"/>
  <c r="I754" i="4"/>
  <c r="I753" i="4" s="1"/>
  <c r="I752" i="4" s="1"/>
  <c r="I746" i="4" s="1"/>
  <c r="I745" i="4" s="1"/>
  <c r="H754" i="4"/>
  <c r="G754" i="4"/>
  <c r="G753" i="4" s="1"/>
  <c r="H753" i="4"/>
  <c r="H752" i="4" s="1"/>
  <c r="G752" i="4"/>
  <c r="I751" i="4"/>
  <c r="H751" i="4"/>
  <c r="H750" i="4" s="1"/>
  <c r="G751" i="4"/>
  <c r="G750" i="4" s="1"/>
  <c r="G749" i="4" s="1"/>
  <c r="I750" i="4"/>
  <c r="I749" i="4" s="1"/>
  <c r="H749" i="4"/>
  <c r="I748" i="4"/>
  <c r="I747" i="4" s="1"/>
  <c r="H748" i="4"/>
  <c r="H747" i="4" s="1"/>
  <c r="G748" i="4"/>
  <c r="G747" i="4"/>
  <c r="G746" i="4" s="1"/>
  <c r="G745" i="4" s="1"/>
  <c r="I741" i="4"/>
  <c r="I740" i="4" s="1"/>
  <c r="H741" i="4"/>
  <c r="H740" i="4" s="1"/>
  <c r="G741" i="4"/>
  <c r="G740" i="4"/>
  <c r="I739" i="4"/>
  <c r="H739" i="4"/>
  <c r="H738" i="4" s="1"/>
  <c r="G739" i="4"/>
  <c r="G738" i="4" s="1"/>
  <c r="I738" i="4"/>
  <c r="I737" i="4"/>
  <c r="I736" i="4" s="1"/>
  <c r="I735" i="4" s="1"/>
  <c r="I734" i="4" s="1"/>
  <c r="H737" i="4"/>
  <c r="G737" i="4"/>
  <c r="H736" i="4"/>
  <c r="H735" i="4" s="1"/>
  <c r="G736" i="4"/>
  <c r="G735" i="4" s="1"/>
  <c r="G734" i="4" s="1"/>
  <c r="I731" i="4"/>
  <c r="H731" i="4"/>
  <c r="G731" i="4"/>
  <c r="I730" i="4"/>
  <c r="I729" i="4" s="1"/>
  <c r="H730" i="4"/>
  <c r="H729" i="4" s="1"/>
  <c r="H728" i="4" s="1"/>
  <c r="H727" i="4" s="1"/>
  <c r="G730" i="4"/>
  <c r="G729" i="4" s="1"/>
  <c r="G728" i="4" s="1"/>
  <c r="G727" i="4" s="1"/>
  <c r="I728" i="4"/>
  <c r="I727" i="4"/>
  <c r="I725" i="4"/>
  <c r="H725" i="4"/>
  <c r="G725" i="4"/>
  <c r="I724" i="4"/>
  <c r="H724" i="4"/>
  <c r="H723" i="4" s="1"/>
  <c r="G724" i="4"/>
  <c r="G723" i="4" s="1"/>
  <c r="I723" i="4"/>
  <c r="I722" i="4"/>
  <c r="I721" i="4" s="1"/>
  <c r="I720" i="4" s="1"/>
  <c r="I719" i="4" s="1"/>
  <c r="H722" i="4"/>
  <c r="G722" i="4"/>
  <c r="H721" i="4"/>
  <c r="H720" i="4" s="1"/>
  <c r="H719" i="4" s="1"/>
  <c r="G721" i="4"/>
  <c r="G720" i="4" s="1"/>
  <c r="I718" i="4"/>
  <c r="H718" i="4"/>
  <c r="I715" i="4"/>
  <c r="H715" i="4"/>
  <c r="H714" i="4" s="1"/>
  <c r="G715" i="4"/>
  <c r="G714" i="4" s="1"/>
  <c r="I714" i="4"/>
  <c r="I712" i="4"/>
  <c r="H712" i="4"/>
  <c r="G712" i="4"/>
  <c r="I710" i="4"/>
  <c r="I709" i="4" s="1"/>
  <c r="H710" i="4"/>
  <c r="H709" i="4" s="1"/>
  <c r="G710" i="4"/>
  <c r="G709" i="4" s="1"/>
  <c r="I707" i="4"/>
  <c r="H707" i="4"/>
  <c r="G707" i="4"/>
  <c r="G706" i="4" s="1"/>
  <c r="I706" i="4"/>
  <c r="H706" i="4"/>
  <c r="I705" i="4"/>
  <c r="H705" i="4"/>
  <c r="H704" i="4" s="1"/>
  <c r="I704" i="4"/>
  <c r="G704" i="4"/>
  <c r="I703" i="4"/>
  <c r="I702" i="4" s="1"/>
  <c r="I701" i="4" s="1"/>
  <c r="I700" i="4" s="1"/>
  <c r="H703" i="4"/>
  <c r="H702" i="4" s="1"/>
  <c r="H701" i="4" s="1"/>
  <c r="H700" i="4" s="1"/>
  <c r="G703" i="4"/>
  <c r="G702" i="4"/>
  <c r="G701" i="4" s="1"/>
  <c r="G700" i="4" s="1"/>
  <c r="I698" i="4"/>
  <c r="I697" i="4" s="1"/>
  <c r="H698" i="4"/>
  <c r="G698" i="4"/>
  <c r="H697" i="4"/>
  <c r="G697" i="4"/>
  <c r="I696" i="4"/>
  <c r="H696" i="4"/>
  <c r="H695" i="4" s="1"/>
  <c r="G696" i="4"/>
  <c r="G695" i="4" s="1"/>
  <c r="I695" i="4"/>
  <c r="G694" i="4"/>
  <c r="G693" i="4" s="1"/>
  <c r="I693" i="4"/>
  <c r="H693" i="4"/>
  <c r="I690" i="4"/>
  <c r="G690" i="4"/>
  <c r="I689" i="4"/>
  <c r="G689" i="4"/>
  <c r="G684" i="4"/>
  <c r="I683" i="4"/>
  <c r="I682" i="4" s="1"/>
  <c r="H683" i="4"/>
  <c r="G683" i="4"/>
  <c r="G682" i="4" s="1"/>
  <c r="H682" i="4"/>
  <c r="I681" i="4"/>
  <c r="I680" i="4" s="1"/>
  <c r="H681" i="4"/>
  <c r="H680" i="4" s="1"/>
  <c r="G681" i="4"/>
  <c r="G680" i="4"/>
  <c r="I679" i="4"/>
  <c r="H679" i="4"/>
  <c r="I678" i="4"/>
  <c r="I675" i="4" s="1"/>
  <c r="H678" i="4"/>
  <c r="I677" i="4"/>
  <c r="I676" i="4" s="1"/>
  <c r="H677" i="4"/>
  <c r="G677" i="4"/>
  <c r="G676" i="4" s="1"/>
  <c r="H676" i="4"/>
  <c r="I673" i="4"/>
  <c r="H673" i="4"/>
  <c r="G673" i="4"/>
  <c r="I663" i="4"/>
  <c r="I662" i="4" s="1"/>
  <c r="I661" i="4" s="1"/>
  <c r="I660" i="4" s="1"/>
  <c r="H663" i="4"/>
  <c r="G663" i="4"/>
  <c r="H662" i="4"/>
  <c r="H661" i="4" s="1"/>
  <c r="H660" i="4" s="1"/>
  <c r="G662" i="4"/>
  <c r="G661" i="4" s="1"/>
  <c r="G660" i="4" s="1"/>
  <c r="I659" i="4"/>
  <c r="H659" i="4"/>
  <c r="G659" i="4"/>
  <c r="I658" i="4"/>
  <c r="I657" i="4" s="1"/>
  <c r="I656" i="4" s="1"/>
  <c r="H658" i="4"/>
  <c r="G658" i="4"/>
  <c r="H657" i="4"/>
  <c r="H656" i="4" s="1"/>
  <c r="H655" i="4" s="1"/>
  <c r="G657" i="4"/>
  <c r="G656" i="4" s="1"/>
  <c r="I652" i="4"/>
  <c r="H652" i="4"/>
  <c r="H651" i="4" s="1"/>
  <c r="G652" i="4"/>
  <c r="I651" i="4"/>
  <c r="I647" i="4" s="1"/>
  <c r="G651" i="4"/>
  <c r="I649" i="4"/>
  <c r="H649" i="4"/>
  <c r="G649" i="4"/>
  <c r="I648" i="4"/>
  <c r="H648" i="4"/>
  <c r="G648" i="4"/>
  <c r="H647" i="4"/>
  <c r="G647" i="4"/>
  <c r="I646" i="4"/>
  <c r="H646" i="4"/>
  <c r="I645" i="4"/>
  <c r="I644" i="4" s="1"/>
  <c r="I640" i="4" s="1"/>
  <c r="H645" i="4"/>
  <c r="H644" i="4"/>
  <c r="H640" i="4" s="1"/>
  <c r="I643" i="4"/>
  <c r="H643" i="4"/>
  <c r="H642" i="4" s="1"/>
  <c r="I642" i="4"/>
  <c r="I641" i="4" s="1"/>
  <c r="H641" i="4"/>
  <c r="I638" i="4"/>
  <c r="H638" i="4"/>
  <c r="H637" i="4" s="1"/>
  <c r="H633" i="4" s="1"/>
  <c r="G638" i="4"/>
  <c r="I637" i="4"/>
  <c r="G637" i="4"/>
  <c r="I635" i="4"/>
  <c r="H635" i="4"/>
  <c r="G635" i="4"/>
  <c r="I634" i="4"/>
  <c r="H634" i="4"/>
  <c r="G634" i="4"/>
  <c r="G633" i="4"/>
  <c r="I631" i="4"/>
  <c r="H631" i="4"/>
  <c r="G631" i="4"/>
  <c r="G630" i="4" s="1"/>
  <c r="I630" i="4"/>
  <c r="I629" i="4" s="1"/>
  <c r="H630" i="4"/>
  <c r="H629" i="4" s="1"/>
  <c r="G629" i="4"/>
  <c r="I627" i="4"/>
  <c r="H627" i="4"/>
  <c r="G627" i="4"/>
  <c r="G626" i="4"/>
  <c r="G625" i="4" s="1"/>
  <c r="G624" i="4" s="1"/>
  <c r="I625" i="4"/>
  <c r="H625" i="4"/>
  <c r="H624" i="4" s="1"/>
  <c r="I624" i="4"/>
  <c r="I622" i="4"/>
  <c r="H622" i="4"/>
  <c r="G622" i="4"/>
  <c r="I620" i="4"/>
  <c r="I619" i="4" s="1"/>
  <c r="H620" i="4"/>
  <c r="G620" i="4"/>
  <c r="H619" i="4"/>
  <c r="G619" i="4"/>
  <c r="I617" i="4"/>
  <c r="H617" i="4"/>
  <c r="G617" i="4"/>
  <c r="G614" i="4" s="1"/>
  <c r="G613" i="4" s="1"/>
  <c r="I615" i="4"/>
  <c r="H615" i="4"/>
  <c r="G615" i="4"/>
  <c r="I614" i="4"/>
  <c r="I613" i="4" s="1"/>
  <c r="H614" i="4"/>
  <c r="H613" i="4" s="1"/>
  <c r="I612" i="4"/>
  <c r="H612" i="4"/>
  <c r="G612" i="4"/>
  <c r="G611" i="4" s="1"/>
  <c r="I611" i="4"/>
  <c r="I610" i="4" s="1"/>
  <c r="H611" i="4"/>
  <c r="H610" i="4" s="1"/>
  <c r="G610" i="4"/>
  <c r="A602" i="4"/>
  <c r="A601" i="4"/>
  <c r="A600" i="4"/>
  <c r="I597" i="4"/>
  <c r="H597" i="4"/>
  <c r="G595" i="4"/>
  <c r="I594" i="4"/>
  <c r="H594" i="4"/>
  <c r="H593" i="4" s="1"/>
  <c r="I593" i="4"/>
  <c r="G593" i="4"/>
  <c r="G592" i="4"/>
  <c r="I590" i="4"/>
  <c r="H590" i="4"/>
  <c r="H589" i="4" s="1"/>
  <c r="G590" i="4"/>
  <c r="G589" i="4" s="1"/>
  <c r="G585" i="4" s="1"/>
  <c r="G584" i="4" s="1"/>
  <c r="I589" i="4"/>
  <c r="I587" i="4"/>
  <c r="I586" i="4" s="1"/>
  <c r="H587" i="4"/>
  <c r="G587" i="4"/>
  <c r="H586" i="4"/>
  <c r="G586" i="4"/>
  <c r="G583" i="4"/>
  <c r="G582" i="4"/>
  <c r="I576" i="4"/>
  <c r="H576" i="4"/>
  <c r="H573" i="4" s="1"/>
  <c r="G576" i="4"/>
  <c r="I574" i="4"/>
  <c r="H574" i="4"/>
  <c r="G574" i="4"/>
  <c r="G573" i="4" s="1"/>
  <c r="I573" i="4"/>
  <c r="G572" i="4"/>
  <c r="G569" i="4"/>
  <c r="G568" i="4"/>
  <c r="I556" i="4"/>
  <c r="I555" i="4" s="1"/>
  <c r="H556" i="4"/>
  <c r="G556" i="4"/>
  <c r="H555" i="4"/>
  <c r="G555" i="4"/>
  <c r="I551" i="4"/>
  <c r="I550" i="4" s="1"/>
  <c r="I549" i="4" s="1"/>
  <c r="H551" i="4"/>
  <c r="H550" i="4" s="1"/>
  <c r="H549" i="4" s="1"/>
  <c r="G551" i="4"/>
  <c r="G550" i="4"/>
  <c r="G549" i="4" s="1"/>
  <c r="I547" i="4"/>
  <c r="I546" i="4" s="1"/>
  <c r="I545" i="4" s="1"/>
  <c r="I544" i="4" s="1"/>
  <c r="H547" i="4"/>
  <c r="G547" i="4"/>
  <c r="H546" i="4"/>
  <c r="G546" i="4"/>
  <c r="G545" i="4"/>
  <c r="G544" i="4" s="1"/>
  <c r="I542" i="4"/>
  <c r="I541" i="4" s="1"/>
  <c r="H542" i="4"/>
  <c r="G542" i="4"/>
  <c r="G541" i="4" s="1"/>
  <c r="H541" i="4"/>
  <c r="I540" i="4"/>
  <c r="I539" i="4" s="1"/>
  <c r="H540" i="4"/>
  <c r="H539" i="4" s="1"/>
  <c r="H538" i="4" s="1"/>
  <c r="H537" i="4" s="1"/>
  <c r="G540" i="4"/>
  <c r="G539" i="4" s="1"/>
  <c r="G538" i="4" s="1"/>
  <c r="G537" i="4" s="1"/>
  <c r="I538" i="4"/>
  <c r="I537" i="4" s="1"/>
  <c r="I536" i="4"/>
  <c r="I535" i="4" s="1"/>
  <c r="I534" i="4" s="1"/>
  <c r="H536" i="4"/>
  <c r="H535" i="4" s="1"/>
  <c r="H534" i="4" s="1"/>
  <c r="H532" i="4" s="1"/>
  <c r="G536" i="4"/>
  <c r="G535" i="4" s="1"/>
  <c r="G534" i="4" s="1"/>
  <c r="G533" i="4" s="1"/>
  <c r="H533" i="4"/>
  <c r="I528" i="4"/>
  <c r="I527" i="4" s="1"/>
  <c r="H528" i="4"/>
  <c r="G528" i="4"/>
  <c r="H527" i="4"/>
  <c r="H525" i="4" s="1"/>
  <c r="G527" i="4"/>
  <c r="G525" i="4" s="1"/>
  <c r="G526" i="4"/>
  <c r="I524" i="4"/>
  <c r="I523" i="4" s="1"/>
  <c r="I522" i="4" s="1"/>
  <c r="H524" i="4"/>
  <c r="G524" i="4"/>
  <c r="H523" i="4"/>
  <c r="H522" i="4" s="1"/>
  <c r="G523" i="4"/>
  <c r="G522" i="4"/>
  <c r="I521" i="4"/>
  <c r="H521" i="4"/>
  <c r="G521" i="4"/>
  <c r="G520" i="4" s="1"/>
  <c r="G519" i="4" s="1"/>
  <c r="I520" i="4"/>
  <c r="I519" i="4" s="1"/>
  <c r="H520" i="4"/>
  <c r="H519" i="4"/>
  <c r="I518" i="4"/>
  <c r="H518" i="4"/>
  <c r="H517" i="4" s="1"/>
  <c r="G518" i="4"/>
  <c r="G517" i="4" s="1"/>
  <c r="I517" i="4"/>
  <c r="I516" i="4"/>
  <c r="I515" i="4" s="1"/>
  <c r="I514" i="4" s="1"/>
  <c r="H516" i="4"/>
  <c r="G516" i="4"/>
  <c r="H515" i="4"/>
  <c r="H514" i="4" s="1"/>
  <c r="G515" i="4"/>
  <c r="G514" i="4"/>
  <c r="I513" i="4"/>
  <c r="H513" i="4"/>
  <c r="G513" i="4"/>
  <c r="I512" i="4"/>
  <c r="I511" i="4" s="1"/>
  <c r="H512" i="4"/>
  <c r="G512" i="4"/>
  <c r="H511" i="4"/>
  <c r="G511" i="4"/>
  <c r="I510" i="4"/>
  <c r="H510" i="4"/>
  <c r="G510" i="4"/>
  <c r="G509" i="4" s="1"/>
  <c r="G508" i="4" s="1"/>
  <c r="G507" i="4" s="1"/>
  <c r="I509" i="4"/>
  <c r="H509" i="4"/>
  <c r="I508" i="4"/>
  <c r="H508" i="4"/>
  <c r="H507" i="4"/>
  <c r="I505" i="4"/>
  <c r="H505" i="4"/>
  <c r="G505" i="4"/>
  <c r="G504" i="4" s="1"/>
  <c r="I504" i="4"/>
  <c r="H504" i="4"/>
  <c r="I502" i="4"/>
  <c r="I501" i="4" s="1"/>
  <c r="H502" i="4"/>
  <c r="G502" i="4"/>
  <c r="H501" i="4"/>
  <c r="G501" i="4"/>
  <c r="I499" i="4"/>
  <c r="H499" i="4"/>
  <c r="G499" i="4"/>
  <c r="G498" i="4" s="1"/>
  <c r="G494" i="4" s="1"/>
  <c r="I498" i="4"/>
  <c r="H498" i="4"/>
  <c r="I496" i="4"/>
  <c r="I495" i="4" s="1"/>
  <c r="H496" i="4"/>
  <c r="G496" i="4"/>
  <c r="H495" i="4"/>
  <c r="H494" i="4" s="1"/>
  <c r="G495" i="4"/>
  <c r="I493" i="4"/>
  <c r="H493" i="4"/>
  <c r="G493" i="4"/>
  <c r="I492" i="4"/>
  <c r="I491" i="4" s="1"/>
  <c r="H492" i="4"/>
  <c r="G492" i="4"/>
  <c r="H491" i="4"/>
  <c r="H489" i="4" s="1"/>
  <c r="G491" i="4"/>
  <c r="G489" i="4" s="1"/>
  <c r="I487" i="4"/>
  <c r="I486" i="4" s="1"/>
  <c r="H487" i="4"/>
  <c r="G487" i="4"/>
  <c r="H486" i="4"/>
  <c r="G486" i="4"/>
  <c r="I485" i="4"/>
  <c r="H485" i="4"/>
  <c r="G485" i="4"/>
  <c r="G484" i="4" s="1"/>
  <c r="G483" i="4" s="1"/>
  <c r="I484" i="4"/>
  <c r="H484" i="4"/>
  <c r="I483" i="4"/>
  <c r="H483" i="4"/>
  <c r="G482" i="4"/>
  <c r="I481" i="4"/>
  <c r="I480" i="4" s="1"/>
  <c r="H481" i="4"/>
  <c r="G481" i="4"/>
  <c r="H480" i="4"/>
  <c r="G480" i="4"/>
  <c r="G476" i="4" s="1"/>
  <c r="G479" i="4"/>
  <c r="I478" i="4"/>
  <c r="I477" i="4" s="1"/>
  <c r="H478" i="4"/>
  <c r="H477" i="4" s="1"/>
  <c r="G478" i="4"/>
  <c r="G477" i="4"/>
  <c r="I475" i="4"/>
  <c r="I473" i="4" s="1"/>
  <c r="H475" i="4"/>
  <c r="G475" i="4"/>
  <c r="I474" i="4"/>
  <c r="H474" i="4"/>
  <c r="H473" i="4" s="1"/>
  <c r="G474" i="4"/>
  <c r="G473" i="4"/>
  <c r="I472" i="4"/>
  <c r="H472" i="4"/>
  <c r="G472" i="4"/>
  <c r="I471" i="4"/>
  <c r="I470" i="4" s="1"/>
  <c r="I469" i="4" s="1"/>
  <c r="H471" i="4"/>
  <c r="G471" i="4"/>
  <c r="H470" i="4"/>
  <c r="H469" i="4" s="1"/>
  <c r="G470" i="4"/>
  <c r="G469" i="4"/>
  <c r="I467" i="4"/>
  <c r="H467" i="4"/>
  <c r="G467" i="4"/>
  <c r="I465" i="4"/>
  <c r="I464" i="4" s="1"/>
  <c r="I461" i="4" s="1"/>
  <c r="H465" i="4"/>
  <c r="G465" i="4"/>
  <c r="H464" i="4"/>
  <c r="H461" i="4" s="1"/>
  <c r="G464" i="4"/>
  <c r="I463" i="4"/>
  <c r="H463" i="4"/>
  <c r="G463" i="4"/>
  <c r="G462" i="4" s="1"/>
  <c r="G461" i="4" s="1"/>
  <c r="I462" i="4"/>
  <c r="H462" i="4"/>
  <c r="I460" i="4"/>
  <c r="H460" i="4"/>
  <c r="H459" i="4" s="1"/>
  <c r="H458" i="4" s="1"/>
  <c r="G460" i="4"/>
  <c r="I459" i="4"/>
  <c r="G459" i="4"/>
  <c r="G458" i="4" s="1"/>
  <c r="G454" i="4" s="1"/>
  <c r="I458" i="4"/>
  <c r="I457" i="4"/>
  <c r="I456" i="4" s="1"/>
  <c r="I455" i="4" s="1"/>
  <c r="I454" i="4" s="1"/>
  <c r="H457" i="4"/>
  <c r="G457" i="4"/>
  <c r="H456" i="4"/>
  <c r="H455" i="4" s="1"/>
  <c r="G456" i="4"/>
  <c r="G455" i="4"/>
  <c r="I453" i="4"/>
  <c r="I452" i="4" s="1"/>
  <c r="I451" i="4" s="1"/>
  <c r="I447" i="4" s="1"/>
  <c r="H453" i="4"/>
  <c r="G453" i="4"/>
  <c r="H452" i="4"/>
  <c r="H451" i="4" s="1"/>
  <c r="H447" i="4" s="1"/>
  <c r="G452" i="4"/>
  <c r="G451" i="4"/>
  <c r="I450" i="4"/>
  <c r="H450" i="4"/>
  <c r="G450" i="4"/>
  <c r="I449" i="4"/>
  <c r="I448" i="4" s="1"/>
  <c r="H449" i="4"/>
  <c r="G449" i="4"/>
  <c r="H448" i="4"/>
  <c r="G448" i="4"/>
  <c r="G447" i="4"/>
  <c r="I445" i="4"/>
  <c r="H445" i="4"/>
  <c r="G445" i="4"/>
  <c r="I444" i="4"/>
  <c r="I440" i="4" s="1"/>
  <c r="H444" i="4"/>
  <c r="G444" i="4"/>
  <c r="I442" i="4"/>
  <c r="H442" i="4"/>
  <c r="H441" i="4" s="1"/>
  <c r="H440" i="4" s="1"/>
  <c r="G442" i="4"/>
  <c r="I441" i="4"/>
  <c r="G441" i="4"/>
  <c r="G440" i="4" s="1"/>
  <c r="I432" i="4"/>
  <c r="H432" i="4"/>
  <c r="G432" i="4"/>
  <c r="I431" i="4"/>
  <c r="I428" i="4" s="1"/>
  <c r="H431" i="4"/>
  <c r="G431" i="4"/>
  <c r="I430" i="4"/>
  <c r="H430" i="4"/>
  <c r="H429" i="4" s="1"/>
  <c r="G430" i="4"/>
  <c r="I429" i="4"/>
  <c r="G429" i="4"/>
  <c r="G428" i="4" s="1"/>
  <c r="I424" i="4"/>
  <c r="H424" i="4"/>
  <c r="G424" i="4"/>
  <c r="I423" i="4"/>
  <c r="I420" i="4" s="1"/>
  <c r="H423" i="4"/>
  <c r="G423" i="4"/>
  <c r="I422" i="4"/>
  <c r="H422" i="4"/>
  <c r="H421" i="4" s="1"/>
  <c r="H420" i="4" s="1"/>
  <c r="G422" i="4"/>
  <c r="I421" i="4"/>
  <c r="G421" i="4"/>
  <c r="G420" i="4" s="1"/>
  <c r="I418" i="4"/>
  <c r="I415" i="4" s="1"/>
  <c r="I414" i="4" s="1"/>
  <c r="I413" i="4" s="1"/>
  <c r="H418" i="4"/>
  <c r="G418" i="4"/>
  <c r="I416" i="4"/>
  <c r="H416" i="4"/>
  <c r="H415" i="4" s="1"/>
  <c r="H414" i="4" s="1"/>
  <c r="H413" i="4" s="1"/>
  <c r="G416" i="4"/>
  <c r="G415" i="4"/>
  <c r="G414" i="4" s="1"/>
  <c r="G413" i="4" s="1"/>
  <c r="I411" i="4"/>
  <c r="H411" i="4"/>
  <c r="H410" i="4" s="1"/>
  <c r="H409" i="4" s="1"/>
  <c r="G411" i="4"/>
  <c r="I410" i="4"/>
  <c r="G410" i="4"/>
  <c r="G409" i="4" s="1"/>
  <c r="I409" i="4"/>
  <c r="I405" i="4"/>
  <c r="H405" i="4"/>
  <c r="G405" i="4"/>
  <c r="I404" i="4"/>
  <c r="I403" i="4" s="1"/>
  <c r="I402" i="4" s="1"/>
  <c r="H404" i="4"/>
  <c r="G404" i="4"/>
  <c r="H403" i="4"/>
  <c r="H402" i="4" s="1"/>
  <c r="G403" i="4"/>
  <c r="G402" i="4"/>
  <c r="G400" i="4"/>
  <c r="G399" i="4" s="1"/>
  <c r="G398" i="4" s="1"/>
  <c r="G397" i="4" s="1"/>
  <c r="I399" i="4"/>
  <c r="H399" i="4"/>
  <c r="I398" i="4"/>
  <c r="I397" i="4" s="1"/>
  <c r="H398" i="4"/>
  <c r="H397" i="4"/>
  <c r="I395" i="4"/>
  <c r="H395" i="4"/>
  <c r="G395" i="4"/>
  <c r="G394" i="4" s="1"/>
  <c r="I394" i="4"/>
  <c r="H394" i="4"/>
  <c r="I392" i="4"/>
  <c r="H392" i="4"/>
  <c r="G392" i="4"/>
  <c r="I391" i="4"/>
  <c r="H391" i="4"/>
  <c r="H390" i="4" s="1"/>
  <c r="G391" i="4"/>
  <c r="I390" i="4"/>
  <c r="G390" i="4"/>
  <c r="I378" i="4"/>
  <c r="I377" i="4" s="1"/>
  <c r="I376" i="4" s="1"/>
  <c r="H378" i="4"/>
  <c r="H377" i="4" s="1"/>
  <c r="H376" i="4" s="1"/>
  <c r="G378" i="4"/>
  <c r="G377" i="4"/>
  <c r="G376" i="4" s="1"/>
  <c r="I375" i="4"/>
  <c r="I374" i="4" s="1"/>
  <c r="I373" i="4" s="1"/>
  <c r="H375" i="4"/>
  <c r="G375" i="4"/>
  <c r="H374" i="4"/>
  <c r="H373" i="4" s="1"/>
  <c r="G374" i="4"/>
  <c r="G373" i="4"/>
  <c r="I371" i="4"/>
  <c r="H371" i="4"/>
  <c r="G371" i="4"/>
  <c r="G370" i="4" s="1"/>
  <c r="I370" i="4"/>
  <c r="I369" i="4" s="1"/>
  <c r="H370" i="4"/>
  <c r="G369" i="4"/>
  <c r="I365" i="4"/>
  <c r="I364" i="4" s="1"/>
  <c r="H365" i="4"/>
  <c r="H364" i="4" s="1"/>
  <c r="G365" i="4"/>
  <c r="G364" i="4"/>
  <c r="I362" i="4"/>
  <c r="H362" i="4"/>
  <c r="G362" i="4"/>
  <c r="G361" i="4" s="1"/>
  <c r="I361" i="4"/>
  <c r="H361" i="4"/>
  <c r="I359" i="4"/>
  <c r="I358" i="4" s="1"/>
  <c r="I357" i="4" s="1"/>
  <c r="I356" i="4" s="1"/>
  <c r="H359" i="4"/>
  <c r="H358" i="4" s="1"/>
  <c r="H357" i="4" s="1"/>
  <c r="H356" i="4" s="1"/>
  <c r="G359" i="4"/>
  <c r="G358" i="4"/>
  <c r="G353" i="4"/>
  <c r="G352" i="4"/>
  <c r="I351" i="4"/>
  <c r="H351" i="4"/>
  <c r="G351" i="4"/>
  <c r="I350" i="4"/>
  <c r="H350" i="4"/>
  <c r="G350" i="4"/>
  <c r="I349" i="4"/>
  <c r="H349" i="4"/>
  <c r="G349" i="4"/>
  <c r="I348" i="4"/>
  <c r="I347" i="4" s="1"/>
  <c r="I346" i="4" s="1"/>
  <c r="I345" i="4" s="1"/>
  <c r="H348" i="4"/>
  <c r="G348" i="4"/>
  <c r="G347" i="4" s="1"/>
  <c r="G346" i="4" s="1"/>
  <c r="G345" i="4" s="1"/>
  <c r="H347" i="4"/>
  <c r="H346" i="4"/>
  <c r="H345" i="4"/>
  <c r="I343" i="4"/>
  <c r="H343" i="4"/>
  <c r="G343" i="4"/>
  <c r="I338" i="4"/>
  <c r="H338" i="4"/>
  <c r="G338" i="4"/>
  <c r="I336" i="4"/>
  <c r="H336" i="4"/>
  <c r="G336" i="4"/>
  <c r="I335" i="4"/>
  <c r="H335" i="4"/>
  <c r="G335" i="4"/>
  <c r="I327" i="4"/>
  <c r="H327" i="4"/>
  <c r="G327" i="4"/>
  <c r="I326" i="4"/>
  <c r="I325" i="4" s="1"/>
  <c r="I324" i="4" s="1"/>
  <c r="H326" i="4"/>
  <c r="G326" i="4"/>
  <c r="H325" i="4"/>
  <c r="H324" i="4" s="1"/>
  <c r="G325" i="4"/>
  <c r="G324" i="4"/>
  <c r="I323" i="4"/>
  <c r="H323" i="4"/>
  <c r="G323" i="4"/>
  <c r="I322" i="4"/>
  <c r="I321" i="4" s="1"/>
  <c r="H322" i="4"/>
  <c r="G322" i="4"/>
  <c r="H321" i="4"/>
  <c r="G321" i="4"/>
  <c r="I320" i="4"/>
  <c r="H320" i="4"/>
  <c r="G320" i="4"/>
  <c r="G319" i="4" s="1"/>
  <c r="G318" i="4" s="1"/>
  <c r="I319" i="4"/>
  <c r="H319" i="4"/>
  <c r="I318" i="4"/>
  <c r="H318" i="4"/>
  <c r="I317" i="4"/>
  <c r="H317" i="4"/>
  <c r="H316" i="4" s="1"/>
  <c r="H315" i="4" s="1"/>
  <c r="G317" i="4"/>
  <c r="I316" i="4"/>
  <c r="G316" i="4"/>
  <c r="G315" i="4" s="1"/>
  <c r="I315" i="4"/>
  <c r="I314" i="4"/>
  <c r="I313" i="4" s="1"/>
  <c r="H314" i="4"/>
  <c r="G314" i="4"/>
  <c r="H313" i="4"/>
  <c r="H312" i="4" s="1"/>
  <c r="G313" i="4"/>
  <c r="G312" i="4"/>
  <c r="I310" i="4"/>
  <c r="I309" i="4" s="1"/>
  <c r="I308" i="4" s="1"/>
  <c r="H310" i="4"/>
  <c r="G310" i="4"/>
  <c r="H309" i="4"/>
  <c r="H308" i="4" s="1"/>
  <c r="G309" i="4"/>
  <c r="G308" i="4"/>
  <c r="I307" i="4"/>
  <c r="H307" i="4"/>
  <c r="G307" i="4"/>
  <c r="I306" i="4"/>
  <c r="I305" i="4" s="1"/>
  <c r="H306" i="4"/>
  <c r="G306" i="4"/>
  <c r="H305" i="4"/>
  <c r="H304" i="4" s="1"/>
  <c r="H303" i="4" s="1"/>
  <c r="G305" i="4"/>
  <c r="G304" i="4"/>
  <c r="G303" i="4"/>
  <c r="I302" i="4"/>
  <c r="H302" i="4"/>
  <c r="G302" i="4"/>
  <c r="I301" i="4"/>
  <c r="H301" i="4"/>
  <c r="G301" i="4"/>
  <c r="I300" i="4"/>
  <c r="I299" i="4" s="1"/>
  <c r="I298" i="4" s="1"/>
  <c r="H300" i="4"/>
  <c r="G300" i="4"/>
  <c r="H299" i="4"/>
  <c r="H298" i="4" s="1"/>
  <c r="G299" i="4"/>
  <c r="G298" i="4"/>
  <c r="I296" i="4"/>
  <c r="H296" i="4"/>
  <c r="G296" i="4"/>
  <c r="I295" i="4"/>
  <c r="H295" i="4"/>
  <c r="G295" i="4"/>
  <c r="I294" i="4"/>
  <c r="H294" i="4"/>
  <c r="H293" i="4" s="1"/>
  <c r="G294" i="4"/>
  <c r="G293" i="4" s="1"/>
  <c r="I293" i="4"/>
  <c r="I292" i="4"/>
  <c r="I290" i="4"/>
  <c r="I289" i="4" s="1"/>
  <c r="H290" i="4"/>
  <c r="G290" i="4"/>
  <c r="H289" i="4"/>
  <c r="G289" i="4"/>
  <c r="I287" i="4"/>
  <c r="H287" i="4"/>
  <c r="G287" i="4"/>
  <c r="G286" i="4" s="1"/>
  <c r="G285" i="4" s="1"/>
  <c r="I286" i="4"/>
  <c r="H286" i="4"/>
  <c r="I285" i="4"/>
  <c r="H285" i="4"/>
  <c r="I282" i="4"/>
  <c r="H282" i="4"/>
  <c r="G282" i="4"/>
  <c r="I281" i="4"/>
  <c r="H281" i="4"/>
  <c r="G281" i="4"/>
  <c r="I280" i="4"/>
  <c r="H280" i="4"/>
  <c r="G280" i="4"/>
  <c r="I279" i="4"/>
  <c r="H279" i="4"/>
  <c r="G279" i="4"/>
  <c r="I278" i="4"/>
  <c r="I277" i="4" s="1"/>
  <c r="H278" i="4"/>
  <c r="G278" i="4"/>
  <c r="H277" i="4"/>
  <c r="G277" i="4"/>
  <c r="I276" i="4"/>
  <c r="H276" i="4"/>
  <c r="G276" i="4"/>
  <c r="G275" i="4" s="1"/>
  <c r="G274" i="4" s="1"/>
  <c r="I275" i="4"/>
  <c r="H275" i="4"/>
  <c r="I274" i="4"/>
  <c r="H274" i="4"/>
  <c r="I273" i="4"/>
  <c r="H273" i="4"/>
  <c r="G273" i="4"/>
  <c r="I272" i="4"/>
  <c r="I271" i="4" s="1"/>
  <c r="I270" i="4" s="1"/>
  <c r="H272" i="4"/>
  <c r="G272" i="4"/>
  <c r="G271" i="4" s="1"/>
  <c r="G270" i="4" s="1"/>
  <c r="H271" i="4"/>
  <c r="H270" i="4" s="1"/>
  <c r="I269" i="4"/>
  <c r="H269" i="4"/>
  <c r="H268" i="4" s="1"/>
  <c r="H267" i="4" s="1"/>
  <c r="G269" i="4"/>
  <c r="I268" i="4"/>
  <c r="I267" i="4" s="1"/>
  <c r="G268" i="4"/>
  <c r="G267" i="4" s="1"/>
  <c r="I266" i="4"/>
  <c r="I265" i="4" s="1"/>
  <c r="I264" i="4" s="1"/>
  <c r="I263" i="4" s="1"/>
  <c r="I262" i="4" s="1"/>
  <c r="H266" i="4"/>
  <c r="G266" i="4"/>
  <c r="H265" i="4"/>
  <c r="H264" i="4" s="1"/>
  <c r="G265" i="4"/>
  <c r="G264" i="4"/>
  <c r="G263" i="4" s="1"/>
  <c r="G262" i="4" s="1"/>
  <c r="I261" i="4"/>
  <c r="H261" i="4"/>
  <c r="G261" i="4"/>
  <c r="I260" i="4"/>
  <c r="H260" i="4"/>
  <c r="G260" i="4"/>
  <c r="I256" i="4"/>
  <c r="H256" i="4"/>
  <c r="H255" i="4" s="1"/>
  <c r="H254" i="4" s="1"/>
  <c r="H253" i="4" s="1"/>
  <c r="G256" i="4"/>
  <c r="I255" i="4"/>
  <c r="G255" i="4"/>
  <c r="G254" i="4" s="1"/>
  <c r="G253" i="4" s="1"/>
  <c r="G252" i="4" s="1"/>
  <c r="I254" i="4"/>
  <c r="I253" i="4" s="1"/>
  <c r="I251" i="4"/>
  <c r="I250" i="4" s="1"/>
  <c r="I247" i="4" s="1"/>
  <c r="I246" i="4" s="1"/>
  <c r="I245" i="4" s="1"/>
  <c r="H251" i="4"/>
  <c r="H250" i="4"/>
  <c r="G250" i="4"/>
  <c r="I248" i="4"/>
  <c r="H248" i="4"/>
  <c r="G248" i="4"/>
  <c r="G247" i="4" s="1"/>
  <c r="G246" i="4" s="1"/>
  <c r="G245" i="4" s="1"/>
  <c r="H247" i="4"/>
  <c r="H246" i="4"/>
  <c r="H245" i="4"/>
  <c r="I242" i="4"/>
  <c r="I241" i="4" s="1"/>
  <c r="H242" i="4"/>
  <c r="G242" i="4"/>
  <c r="G241" i="4" s="1"/>
  <c r="H241" i="4"/>
  <c r="I240" i="4"/>
  <c r="I239" i="4" s="1"/>
  <c r="H240" i="4"/>
  <c r="H238" i="4" s="1"/>
  <c r="G240" i="4"/>
  <c r="H239" i="4"/>
  <c r="G239" i="4"/>
  <c r="I238" i="4"/>
  <c r="G238" i="4"/>
  <c r="I235" i="4"/>
  <c r="H235" i="4"/>
  <c r="G235" i="4"/>
  <c r="I234" i="4"/>
  <c r="H234" i="4"/>
  <c r="G234" i="4"/>
  <c r="I230" i="4"/>
  <c r="H230" i="4"/>
  <c r="H229" i="4" s="1"/>
  <c r="H228" i="4" s="1"/>
  <c r="G230" i="4"/>
  <c r="I229" i="4"/>
  <c r="G229" i="4"/>
  <c r="G228" i="4" s="1"/>
  <c r="I228" i="4"/>
  <c r="I227" i="4"/>
  <c r="I225" i="4"/>
  <c r="H225" i="4"/>
  <c r="G225" i="4"/>
  <c r="G224" i="4" s="1"/>
  <c r="G223" i="4" s="1"/>
  <c r="I224" i="4"/>
  <c r="H224" i="4"/>
  <c r="I223" i="4"/>
  <c r="H223" i="4"/>
  <c r="I221" i="4"/>
  <c r="H221" i="4"/>
  <c r="H220" i="4" s="1"/>
  <c r="H219" i="4" s="1"/>
  <c r="G221" i="4"/>
  <c r="I220" i="4"/>
  <c r="G220" i="4"/>
  <c r="G219" i="4" s="1"/>
  <c r="I219" i="4"/>
  <c r="I217" i="4"/>
  <c r="H217" i="4"/>
  <c r="G217" i="4"/>
  <c r="I216" i="4"/>
  <c r="H216" i="4"/>
  <c r="H215" i="4" s="1"/>
  <c r="H214" i="4" s="1"/>
  <c r="G216" i="4"/>
  <c r="I215" i="4"/>
  <c r="G215" i="4"/>
  <c r="G214" i="4" s="1"/>
  <c r="I214" i="4"/>
  <c r="I213" i="4"/>
  <c r="I212" i="4" s="1"/>
  <c r="I211" i="4" s="1"/>
  <c r="I210" i="4" s="1"/>
  <c r="I209" i="4" s="1"/>
  <c r="H213" i="4"/>
  <c r="G213" i="4"/>
  <c r="H212" i="4"/>
  <c r="H211" i="4" s="1"/>
  <c r="G212" i="4"/>
  <c r="G211" i="4"/>
  <c r="I207" i="4"/>
  <c r="I206" i="4" s="1"/>
  <c r="I205" i="4" s="1"/>
  <c r="H207" i="4"/>
  <c r="H206" i="4" s="1"/>
  <c r="H205" i="4" s="1"/>
  <c r="G207" i="4"/>
  <c r="G206" i="4"/>
  <c r="G205" i="4" s="1"/>
  <c r="I204" i="4"/>
  <c r="H202" i="4"/>
  <c r="G202" i="4"/>
  <c r="I198" i="4"/>
  <c r="H198" i="4"/>
  <c r="G198" i="4"/>
  <c r="G197" i="4" s="1"/>
  <c r="I197" i="4"/>
  <c r="H197" i="4"/>
  <c r="I196" i="4"/>
  <c r="I195" i="4" s="1"/>
  <c r="I194" i="4" s="1"/>
  <c r="I193" i="4" s="1"/>
  <c r="H196" i="4"/>
  <c r="H195" i="4" s="1"/>
  <c r="H194" i="4" s="1"/>
  <c r="H193" i="4" s="1"/>
  <c r="G196" i="4"/>
  <c r="G195" i="4"/>
  <c r="G194" i="4" s="1"/>
  <c r="I191" i="4"/>
  <c r="H191" i="4"/>
  <c r="H190" i="4" s="1"/>
  <c r="H189" i="4" s="1"/>
  <c r="H188" i="4" s="1"/>
  <c r="H176" i="4" s="1"/>
  <c r="G191" i="4"/>
  <c r="G190" i="4" s="1"/>
  <c r="G189" i="4" s="1"/>
  <c r="G188" i="4" s="1"/>
  <c r="I190" i="4"/>
  <c r="I189" i="4"/>
  <c r="I188" i="4" s="1"/>
  <c r="G187" i="4"/>
  <c r="I186" i="4"/>
  <c r="I185" i="4" s="1"/>
  <c r="H186" i="4"/>
  <c r="G186" i="4"/>
  <c r="H185" i="4"/>
  <c r="G185" i="4"/>
  <c r="I184" i="4"/>
  <c r="I183" i="4" s="1"/>
  <c r="I182" i="4" s="1"/>
  <c r="I181" i="4" s="1"/>
  <c r="H184" i="4"/>
  <c r="G184" i="4"/>
  <c r="H183" i="4"/>
  <c r="G183" i="4"/>
  <c r="H182" i="4"/>
  <c r="G182" i="4"/>
  <c r="H181" i="4"/>
  <c r="G181" i="4"/>
  <c r="I180" i="4"/>
  <c r="I179" i="4" s="1"/>
  <c r="I178" i="4" s="1"/>
  <c r="I177" i="4" s="1"/>
  <c r="H180" i="4"/>
  <c r="G180" i="4"/>
  <c r="H179" i="4"/>
  <c r="H178" i="4" s="1"/>
  <c r="H177" i="4" s="1"/>
  <c r="G179" i="4"/>
  <c r="G178" i="4"/>
  <c r="G177" i="4" s="1"/>
  <c r="I175" i="4"/>
  <c r="H175" i="4"/>
  <c r="G175" i="4"/>
  <c r="I174" i="4"/>
  <c r="I173" i="4" s="1"/>
  <c r="H174" i="4"/>
  <c r="G174" i="4"/>
  <c r="H173" i="4"/>
  <c r="G173" i="4"/>
  <c r="I171" i="4"/>
  <c r="H171" i="4"/>
  <c r="G171" i="4"/>
  <c r="G170" i="4" s="1"/>
  <c r="I170" i="4"/>
  <c r="H170" i="4"/>
  <c r="I168" i="4"/>
  <c r="H168" i="4"/>
  <c r="G168" i="4"/>
  <c r="I166" i="4"/>
  <c r="H166" i="4"/>
  <c r="G166" i="4"/>
  <c r="I165" i="4"/>
  <c r="H165" i="4"/>
  <c r="G165" i="4"/>
  <c r="I163" i="4"/>
  <c r="H163" i="4"/>
  <c r="G163" i="4"/>
  <c r="I162" i="4"/>
  <c r="H162" i="4"/>
  <c r="G162" i="4"/>
  <c r="I160" i="4"/>
  <c r="H160" i="4"/>
  <c r="G160" i="4"/>
  <c r="I159" i="4"/>
  <c r="I158" i="4" s="1"/>
  <c r="I157" i="4" s="1"/>
  <c r="H159" i="4"/>
  <c r="G159" i="4"/>
  <c r="H158" i="4"/>
  <c r="H157" i="4" s="1"/>
  <c r="G158" i="4"/>
  <c r="G157" i="4"/>
  <c r="I155" i="4"/>
  <c r="H155" i="4"/>
  <c r="G155" i="4"/>
  <c r="I154" i="4"/>
  <c r="I153" i="4" s="1"/>
  <c r="I152" i="4" s="1"/>
  <c r="H154" i="4"/>
  <c r="G154" i="4"/>
  <c r="H153" i="4"/>
  <c r="H152" i="4" s="1"/>
  <c r="G153" i="4"/>
  <c r="G152" i="4"/>
  <c r="I151" i="4"/>
  <c r="H151" i="4"/>
  <c r="G151" i="4"/>
  <c r="I150" i="4"/>
  <c r="I149" i="4" s="1"/>
  <c r="H150" i="4"/>
  <c r="G150" i="4"/>
  <c r="H149" i="4"/>
  <c r="G149" i="4"/>
  <c r="I148" i="4"/>
  <c r="I147" i="4" s="1"/>
  <c r="I146" i="4" s="1"/>
  <c r="H148" i="4"/>
  <c r="G148" i="4"/>
  <c r="G147" i="4" s="1"/>
  <c r="G146" i="4" s="1"/>
  <c r="H147" i="4"/>
  <c r="H146" i="4" s="1"/>
  <c r="I145" i="4"/>
  <c r="H145" i="4"/>
  <c r="G145" i="4"/>
  <c r="I144" i="4"/>
  <c r="I143" i="4" s="1"/>
  <c r="H144" i="4"/>
  <c r="G144" i="4"/>
  <c r="H143" i="4"/>
  <c r="G143" i="4"/>
  <c r="I141" i="4"/>
  <c r="H141" i="4"/>
  <c r="G141" i="4"/>
  <c r="G140" i="4" s="1"/>
  <c r="I140" i="4"/>
  <c r="H140" i="4"/>
  <c r="I138" i="4"/>
  <c r="I137" i="4" s="1"/>
  <c r="I133" i="4" s="1"/>
  <c r="I132" i="4" s="1"/>
  <c r="I128" i="4" s="1"/>
  <c r="H138" i="4"/>
  <c r="G138" i="4"/>
  <c r="H137" i="4"/>
  <c r="G137" i="4"/>
  <c r="I135" i="4"/>
  <c r="H135" i="4"/>
  <c r="G135" i="4"/>
  <c r="G134" i="4" s="1"/>
  <c r="G133" i="4" s="1"/>
  <c r="G132" i="4" s="1"/>
  <c r="G128" i="4" s="1"/>
  <c r="I134" i="4"/>
  <c r="H134" i="4"/>
  <c r="H133" i="4"/>
  <c r="H132" i="4"/>
  <c r="I130" i="4"/>
  <c r="H130" i="4"/>
  <c r="G130" i="4"/>
  <c r="G129" i="4" s="1"/>
  <c r="I129" i="4"/>
  <c r="H129" i="4"/>
  <c r="H128" i="4"/>
  <c r="I127" i="4"/>
  <c r="H127" i="4"/>
  <c r="H126" i="4" s="1"/>
  <c r="H125" i="4" s="1"/>
  <c r="G127" i="4"/>
  <c r="G126" i="4" s="1"/>
  <c r="G125" i="4" s="1"/>
  <c r="I126" i="4"/>
  <c r="I125" i="4"/>
  <c r="I124" i="4"/>
  <c r="H124" i="4"/>
  <c r="H123" i="4" s="1"/>
  <c r="H122" i="4" s="1"/>
  <c r="G124" i="4"/>
  <c r="I123" i="4"/>
  <c r="G123" i="4"/>
  <c r="G122" i="4" s="1"/>
  <c r="I122" i="4"/>
  <c r="I120" i="4"/>
  <c r="I119" i="4" s="1"/>
  <c r="H120" i="4"/>
  <c r="G120" i="4"/>
  <c r="H119" i="4"/>
  <c r="G119" i="4"/>
  <c r="I118" i="4"/>
  <c r="H118" i="4"/>
  <c r="G118" i="4"/>
  <c r="G117" i="4" s="1"/>
  <c r="G116" i="4" s="1"/>
  <c r="I117" i="4"/>
  <c r="H117" i="4"/>
  <c r="I116" i="4"/>
  <c r="H116" i="4"/>
  <c r="I114" i="4"/>
  <c r="H114" i="4"/>
  <c r="H113" i="4" s="1"/>
  <c r="G114" i="4"/>
  <c r="I113" i="4"/>
  <c r="G113" i="4"/>
  <c r="I111" i="4"/>
  <c r="H111" i="4"/>
  <c r="G111" i="4"/>
  <c r="G110" i="4" s="1"/>
  <c r="G109" i="4" s="1"/>
  <c r="I110" i="4"/>
  <c r="H110" i="4"/>
  <c r="I109" i="4"/>
  <c r="H109" i="4"/>
  <c r="F109" i="4"/>
  <c r="I108" i="4"/>
  <c r="H108" i="4"/>
  <c r="I107" i="4"/>
  <c r="H107" i="4"/>
  <c r="I99" i="4"/>
  <c r="H99" i="4"/>
  <c r="G99" i="4"/>
  <c r="G98" i="4"/>
  <c r="G97" i="4" s="1"/>
  <c r="G96" i="4" s="1"/>
  <c r="I97" i="4"/>
  <c r="H97" i="4"/>
  <c r="I96" i="4"/>
  <c r="H96" i="4"/>
  <c r="I94" i="4"/>
  <c r="H94" i="4"/>
  <c r="G94" i="4"/>
  <c r="I93" i="4"/>
  <c r="H93" i="4"/>
  <c r="H92" i="4" s="1"/>
  <c r="H91" i="4" s="1"/>
  <c r="G93" i="4"/>
  <c r="G92" i="4" s="1"/>
  <c r="G91" i="4" s="1"/>
  <c r="I92" i="4"/>
  <c r="I91" i="4"/>
  <c r="I90" i="4"/>
  <c r="I89" i="4" s="1"/>
  <c r="I88" i="4" s="1"/>
  <c r="H90" i="4"/>
  <c r="H89" i="4" s="1"/>
  <c r="H88" i="4" s="1"/>
  <c r="G90" i="4"/>
  <c r="G89" i="4"/>
  <c r="G88" i="4" s="1"/>
  <c r="I87" i="4"/>
  <c r="I86" i="4" s="1"/>
  <c r="I85" i="4" s="1"/>
  <c r="H87" i="4"/>
  <c r="G87" i="4"/>
  <c r="H86" i="4"/>
  <c r="H85" i="4" s="1"/>
  <c r="G86" i="4"/>
  <c r="G85" i="4"/>
  <c r="I84" i="4"/>
  <c r="H84" i="4"/>
  <c r="G84" i="4"/>
  <c r="I83" i="4"/>
  <c r="H83" i="4"/>
  <c r="G83" i="4"/>
  <c r="I82" i="4"/>
  <c r="H82" i="4"/>
  <c r="H81" i="4" s="1"/>
  <c r="H80" i="4" s="1"/>
  <c r="H79" i="4" s="1"/>
  <c r="H78" i="4" s="1"/>
  <c r="G82" i="4"/>
  <c r="I81" i="4"/>
  <c r="G81" i="4"/>
  <c r="G80" i="4" s="1"/>
  <c r="I80" i="4"/>
  <c r="I76" i="4"/>
  <c r="H76" i="4"/>
  <c r="G76" i="4"/>
  <c r="G75" i="4" s="1"/>
  <c r="I75" i="4"/>
  <c r="H75" i="4"/>
  <c r="I72" i="4"/>
  <c r="H72" i="4"/>
  <c r="G72" i="4"/>
  <c r="I70" i="4"/>
  <c r="H70" i="4"/>
  <c r="G70" i="4"/>
  <c r="I64" i="4"/>
  <c r="H64" i="4"/>
  <c r="G64" i="4"/>
  <c r="I63" i="4"/>
  <c r="H63" i="4"/>
  <c r="G63" i="4"/>
  <c r="I62" i="4"/>
  <c r="H62" i="4"/>
  <c r="H61" i="4" s="1"/>
  <c r="H60" i="4" s="1"/>
  <c r="G62" i="4"/>
  <c r="I61" i="4"/>
  <c r="G61" i="4"/>
  <c r="G60" i="4" s="1"/>
  <c r="I60" i="4"/>
  <c r="I58" i="4"/>
  <c r="H58" i="4"/>
  <c r="G58" i="4"/>
  <c r="I53" i="4"/>
  <c r="H53" i="4"/>
  <c r="G53" i="4"/>
  <c r="I47" i="4"/>
  <c r="I46" i="4" s="1"/>
  <c r="H47" i="4"/>
  <c r="H46" i="4" s="1"/>
  <c r="G47" i="4"/>
  <c r="G46" i="4"/>
  <c r="I42" i="4"/>
  <c r="H42" i="4"/>
  <c r="H41" i="4" s="1"/>
  <c r="H40" i="4" s="1"/>
  <c r="H39" i="4" s="1"/>
  <c r="H38" i="4" s="1"/>
  <c r="H37" i="4" s="1"/>
  <c r="G42" i="4"/>
  <c r="G41" i="4" s="1"/>
  <c r="G40" i="4" s="1"/>
  <c r="G39" i="4" s="1"/>
  <c r="G38" i="4" s="1"/>
  <c r="G37" i="4" s="1"/>
  <c r="I41" i="4"/>
  <c r="I40" i="4"/>
  <c r="I39" i="4" s="1"/>
  <c r="I38" i="4" s="1"/>
  <c r="I37" i="4" s="1"/>
  <c r="I32" i="4"/>
  <c r="H32" i="4"/>
  <c r="G32" i="4"/>
  <c r="G31" i="4" s="1"/>
  <c r="G30" i="4" s="1"/>
  <c r="I31" i="4"/>
  <c r="H31" i="4"/>
  <c r="I30" i="4"/>
  <c r="H30" i="4"/>
  <c r="I29" i="4"/>
  <c r="H29" i="4"/>
  <c r="H28" i="4" s="1"/>
  <c r="G29" i="4"/>
  <c r="G28" i="4" s="1"/>
  <c r="G23" i="4" s="1"/>
  <c r="G22" i="4" s="1"/>
  <c r="G21" i="4" s="1"/>
  <c r="G20" i="4" s="1"/>
  <c r="I28" i="4"/>
  <c r="G27" i="4"/>
  <c r="G26" i="4"/>
  <c r="I25" i="4"/>
  <c r="H25" i="4"/>
  <c r="G25" i="4"/>
  <c r="I24" i="4"/>
  <c r="H24" i="4"/>
  <c r="G24" i="4"/>
  <c r="I19" i="4"/>
  <c r="I18" i="4" s="1"/>
  <c r="I17" i="4" s="1"/>
  <c r="I16" i="4" s="1"/>
  <c r="I15" i="4" s="1"/>
  <c r="I14" i="4" s="1"/>
  <c r="H19" i="4"/>
  <c r="G19" i="4"/>
  <c r="H18" i="4"/>
  <c r="H17" i="4" s="1"/>
  <c r="H16" i="4" s="1"/>
  <c r="H15" i="4" s="1"/>
  <c r="G18" i="4"/>
  <c r="G17" i="4"/>
  <c r="G16" i="4" s="1"/>
  <c r="G15" i="4" s="1"/>
  <c r="H14" i="4"/>
  <c r="G14" i="4"/>
  <c r="H1001" i="3"/>
  <c r="H1000" i="3" s="1"/>
  <c r="G1001" i="3"/>
  <c r="G1000" i="3" s="1"/>
  <c r="G995" i="3" s="1"/>
  <c r="F1000" i="3"/>
  <c r="F995" i="3" s="1"/>
  <c r="H999" i="3"/>
  <c r="H998" i="3" s="1"/>
  <c r="G999" i="3"/>
  <c r="G998" i="3"/>
  <c r="F998" i="3"/>
  <c r="H997" i="3"/>
  <c r="G997" i="3"/>
  <c r="H996" i="3"/>
  <c r="G996" i="3"/>
  <c r="F996" i="3"/>
  <c r="H991" i="3"/>
  <c r="G991" i="3"/>
  <c r="F991" i="3"/>
  <c r="H990" i="3"/>
  <c r="G990" i="3"/>
  <c r="F990" i="3"/>
  <c r="H989" i="3"/>
  <c r="H988" i="3" s="1"/>
  <c r="H987" i="3" s="1"/>
  <c r="G989" i="3"/>
  <c r="F989" i="3"/>
  <c r="G988" i="3"/>
  <c r="G987" i="3" s="1"/>
  <c r="F988" i="3"/>
  <c r="F987" i="3"/>
  <c r="H985" i="3"/>
  <c r="G985" i="3"/>
  <c r="F985" i="3"/>
  <c r="H984" i="3"/>
  <c r="H983" i="3" s="1"/>
  <c r="G984" i="3"/>
  <c r="F984" i="3"/>
  <c r="G983" i="3"/>
  <c r="F983" i="3"/>
  <c r="H982" i="3"/>
  <c r="G982" i="3"/>
  <c r="F982" i="3"/>
  <c r="F981" i="3" s="1"/>
  <c r="F980" i="3" s="1"/>
  <c r="F979" i="3" s="1"/>
  <c r="F978" i="3" s="1"/>
  <c r="F977" i="3" s="1"/>
  <c r="H981" i="3"/>
  <c r="G981" i="3"/>
  <c r="H980" i="3"/>
  <c r="H979" i="3" s="1"/>
  <c r="H978" i="3" s="1"/>
  <c r="H977" i="3" s="1"/>
  <c r="G980" i="3"/>
  <c r="G979" i="3"/>
  <c r="G978" i="3" s="1"/>
  <c r="G977" i="3" s="1"/>
  <c r="H976" i="3"/>
  <c r="G976" i="3"/>
  <c r="H974" i="3"/>
  <c r="H973" i="3" s="1"/>
  <c r="H972" i="3" s="1"/>
  <c r="H971" i="3" s="1"/>
  <c r="G974" i="3"/>
  <c r="G973" i="3" s="1"/>
  <c r="G972" i="3" s="1"/>
  <c r="G971" i="3" s="1"/>
  <c r="F974" i="3"/>
  <c r="F973" i="3"/>
  <c r="F972" i="3" s="1"/>
  <c r="F971" i="3" s="1"/>
  <c r="H970" i="3"/>
  <c r="G970" i="3"/>
  <c r="G969" i="3" s="1"/>
  <c r="G968" i="3" s="1"/>
  <c r="G967" i="3" s="1"/>
  <c r="F970" i="3"/>
  <c r="H969" i="3"/>
  <c r="F969" i="3"/>
  <c r="F968" i="3" s="1"/>
  <c r="F967" i="3" s="1"/>
  <c r="H968" i="3"/>
  <c r="H967" i="3"/>
  <c r="H966" i="3" s="1"/>
  <c r="H962" i="3"/>
  <c r="H961" i="3" s="1"/>
  <c r="H957" i="3" s="1"/>
  <c r="G962" i="3"/>
  <c r="F962" i="3"/>
  <c r="G961" i="3"/>
  <c r="G957" i="3" s="1"/>
  <c r="F961" i="3"/>
  <c r="H959" i="3"/>
  <c r="G959" i="3"/>
  <c r="F959" i="3"/>
  <c r="F958" i="3" s="1"/>
  <c r="F957" i="3" s="1"/>
  <c r="H958" i="3"/>
  <c r="G958" i="3"/>
  <c r="H956" i="3"/>
  <c r="I1004" i="4" s="1"/>
  <c r="I1003" i="4" s="1"/>
  <c r="I1002" i="4" s="1"/>
  <c r="G956" i="3"/>
  <c r="H1004" i="4" s="1"/>
  <c r="H1003" i="4" s="1"/>
  <c r="H1002" i="4" s="1"/>
  <c r="H998" i="4" s="1"/>
  <c r="F956" i="3"/>
  <c r="G1004" i="4" s="1"/>
  <c r="G1003" i="4" s="1"/>
  <c r="G1002" i="4" s="1"/>
  <c r="G998" i="4" s="1"/>
  <c r="H955" i="3"/>
  <c r="F955" i="3"/>
  <c r="F954" i="3" s="1"/>
  <c r="H954" i="3"/>
  <c r="H953" i="3"/>
  <c r="I1001" i="4" s="1"/>
  <c r="I1000" i="4" s="1"/>
  <c r="I999" i="4" s="1"/>
  <c r="G953" i="3"/>
  <c r="H1001" i="4" s="1"/>
  <c r="H1000" i="4" s="1"/>
  <c r="H999" i="4" s="1"/>
  <c r="F953" i="3"/>
  <c r="G1001" i="4" s="1"/>
  <c r="G1000" i="4" s="1"/>
  <c r="G999" i="4" s="1"/>
  <c r="G952" i="3"/>
  <c r="G951" i="3" s="1"/>
  <c r="F952" i="3"/>
  <c r="F951" i="3"/>
  <c r="F950" i="3" s="1"/>
  <c r="H948" i="3"/>
  <c r="H947" i="3" s="1"/>
  <c r="H943" i="3" s="1"/>
  <c r="G948" i="3"/>
  <c r="F948" i="3"/>
  <c r="G947" i="3"/>
  <c r="G943" i="3" s="1"/>
  <c r="F947" i="3"/>
  <c r="F943" i="3"/>
  <c r="H942" i="3"/>
  <c r="G942" i="3"/>
  <c r="H941" i="3"/>
  <c r="H940" i="3" s="1"/>
  <c r="G941" i="3"/>
  <c r="G940" i="3"/>
  <c r="H939" i="3"/>
  <c r="G939" i="3"/>
  <c r="H938" i="3"/>
  <c r="G938" i="3"/>
  <c r="H937" i="3"/>
  <c r="H936" i="3" s="1"/>
  <c r="G937" i="3"/>
  <c r="G936" i="3"/>
  <c r="H934" i="3"/>
  <c r="G934" i="3"/>
  <c r="F934" i="3"/>
  <c r="F933" i="3" s="1"/>
  <c r="F929" i="3" s="1"/>
  <c r="H933" i="3"/>
  <c r="G933" i="3"/>
  <c r="H931" i="3"/>
  <c r="H930" i="3" s="1"/>
  <c r="H929" i="3" s="1"/>
  <c r="G931" i="3"/>
  <c r="F931" i="3"/>
  <c r="G930" i="3"/>
  <c r="G929" i="3" s="1"/>
  <c r="F930" i="3"/>
  <c r="H927" i="3"/>
  <c r="G927" i="3"/>
  <c r="F927" i="3"/>
  <c r="H926" i="3"/>
  <c r="H925" i="3" s="1"/>
  <c r="G926" i="3"/>
  <c r="F926" i="3"/>
  <c r="G925" i="3"/>
  <c r="F925" i="3"/>
  <c r="H919" i="3"/>
  <c r="G919" i="3"/>
  <c r="F919" i="3"/>
  <c r="F916" i="3" s="1"/>
  <c r="H917" i="3"/>
  <c r="G917" i="3"/>
  <c r="F917" i="3"/>
  <c r="H916" i="3"/>
  <c r="G916" i="3"/>
  <c r="H914" i="3"/>
  <c r="G914" i="3"/>
  <c r="G913" i="3" s="1"/>
  <c r="G912" i="3" s="1"/>
  <c r="F914" i="3"/>
  <c r="H913" i="3"/>
  <c r="F913" i="3"/>
  <c r="F912" i="3" s="1"/>
  <c r="H912" i="3"/>
  <c r="H898" i="3"/>
  <c r="H897" i="3" s="1"/>
  <c r="H896" i="3" s="1"/>
  <c r="G898" i="3"/>
  <c r="F898" i="3"/>
  <c r="G897" i="3"/>
  <c r="G896" i="3" s="1"/>
  <c r="F897" i="3"/>
  <c r="F896" i="3"/>
  <c r="H892" i="3"/>
  <c r="I606" i="4" s="1"/>
  <c r="I605" i="4" s="1"/>
  <c r="G892" i="3"/>
  <c r="H606" i="4" s="1"/>
  <c r="H605" i="4" s="1"/>
  <c r="F892" i="3"/>
  <c r="G606" i="4" s="1"/>
  <c r="G605" i="4" s="1"/>
  <c r="H891" i="3"/>
  <c r="G891" i="3"/>
  <c r="H890" i="3"/>
  <c r="I604" i="4" s="1"/>
  <c r="I603" i="4" s="1"/>
  <c r="I602" i="4" s="1"/>
  <c r="G890" i="3"/>
  <c r="H604" i="4" s="1"/>
  <c r="H603" i="4" s="1"/>
  <c r="H602" i="4" s="1"/>
  <c r="F890" i="3"/>
  <c r="G604" i="4" s="1"/>
  <c r="G603" i="4" s="1"/>
  <c r="G889" i="3"/>
  <c r="G888" i="3" s="1"/>
  <c r="F889" i="3"/>
  <c r="H884" i="3"/>
  <c r="I596" i="4" s="1"/>
  <c r="I595" i="4" s="1"/>
  <c r="G884" i="3"/>
  <c r="H596" i="4" s="1"/>
  <c r="H595" i="4" s="1"/>
  <c r="H883" i="3"/>
  <c r="F883" i="3"/>
  <c r="H881" i="3"/>
  <c r="H880" i="3" s="1"/>
  <c r="G881" i="3"/>
  <c r="F881" i="3"/>
  <c r="F880" i="3"/>
  <c r="H878" i="3"/>
  <c r="G878" i="3"/>
  <c r="F878" i="3"/>
  <c r="F877" i="3" s="1"/>
  <c r="F873" i="3" s="1"/>
  <c r="F872" i="3" s="1"/>
  <c r="H877" i="3"/>
  <c r="G877" i="3"/>
  <c r="H875" i="3"/>
  <c r="H874" i="3" s="1"/>
  <c r="G875" i="3"/>
  <c r="F875" i="3"/>
  <c r="G874" i="3"/>
  <c r="F874" i="3"/>
  <c r="F871" i="3"/>
  <c r="F870" i="3"/>
  <c r="F869" i="3"/>
  <c r="H859" i="3"/>
  <c r="I572" i="4" s="1"/>
  <c r="G859" i="3"/>
  <c r="H572" i="4" s="1"/>
  <c r="G858" i="3"/>
  <c r="H571" i="4" s="1"/>
  <c r="H570" i="4" s="1"/>
  <c r="F858" i="3"/>
  <c r="G571" i="4" s="1"/>
  <c r="G570" i="4" s="1"/>
  <c r="G567" i="4" s="1"/>
  <c r="F857" i="3"/>
  <c r="F855" i="3"/>
  <c r="F854" i="3"/>
  <c r="H848" i="3"/>
  <c r="I561" i="4" s="1"/>
  <c r="I560" i="4" s="1"/>
  <c r="I559" i="4" s="1"/>
  <c r="G848" i="3"/>
  <c r="H561" i="4" s="1"/>
  <c r="H560" i="4" s="1"/>
  <c r="H559" i="4" s="1"/>
  <c r="F848" i="3"/>
  <c r="G561" i="4" s="1"/>
  <c r="G560" i="4" s="1"/>
  <c r="G559" i="4" s="1"/>
  <c r="H847" i="3"/>
  <c r="H846" i="3" s="1"/>
  <c r="G847" i="3"/>
  <c r="F847" i="3"/>
  <c r="G846" i="3"/>
  <c r="F846" i="3"/>
  <c r="H845" i="3"/>
  <c r="I558" i="4" s="1"/>
  <c r="I557" i="4" s="1"/>
  <c r="G845" i="3"/>
  <c r="H558" i="4" s="1"/>
  <c r="H557" i="4" s="1"/>
  <c r="H844" i="3"/>
  <c r="G844" i="3"/>
  <c r="H843" i="3"/>
  <c r="H842" i="3" s="1"/>
  <c r="H841" i="3" s="1"/>
  <c r="G843" i="3"/>
  <c r="F843" i="3"/>
  <c r="G842" i="3"/>
  <c r="G841" i="3" s="1"/>
  <c r="F842" i="3"/>
  <c r="F836" i="3"/>
  <c r="G991" i="4" s="1"/>
  <c r="G990" i="4" s="1"/>
  <c r="G989" i="4" s="1"/>
  <c r="G988" i="4" s="1"/>
  <c r="G987" i="4" s="1"/>
  <c r="H835" i="3"/>
  <c r="G835" i="3"/>
  <c r="H834" i="3"/>
  <c r="H833" i="3" s="1"/>
  <c r="H832" i="3" s="1"/>
  <c r="G834" i="3"/>
  <c r="G833" i="3"/>
  <c r="G832" i="3" s="1"/>
  <c r="H827" i="3"/>
  <c r="I982" i="4" s="1"/>
  <c r="I981" i="4" s="1"/>
  <c r="I980" i="4" s="1"/>
  <c r="G827" i="3"/>
  <c r="H982" i="4" s="1"/>
  <c r="H981" i="4" s="1"/>
  <c r="H980" i="4" s="1"/>
  <c r="F827" i="3"/>
  <c r="G982" i="4" s="1"/>
  <c r="G981" i="4" s="1"/>
  <c r="G980" i="4" s="1"/>
  <c r="H826" i="3"/>
  <c r="H825" i="3" s="1"/>
  <c r="G826" i="3"/>
  <c r="F826" i="3"/>
  <c r="G825" i="3"/>
  <c r="F825" i="3"/>
  <c r="H822" i="3"/>
  <c r="H821" i="3" s="1"/>
  <c r="H820" i="3" s="1"/>
  <c r="G822" i="3"/>
  <c r="F822" i="3"/>
  <c r="G821" i="3"/>
  <c r="G820" i="3" s="1"/>
  <c r="G816" i="3" s="1"/>
  <c r="G815" i="3" s="1"/>
  <c r="F821" i="3"/>
  <c r="F820" i="3"/>
  <c r="F816" i="3" s="1"/>
  <c r="F815" i="3" s="1"/>
  <c r="H818" i="3"/>
  <c r="G818" i="3"/>
  <c r="F818" i="3"/>
  <c r="H817" i="3"/>
  <c r="H816" i="3" s="1"/>
  <c r="H815" i="3" s="1"/>
  <c r="G817" i="3"/>
  <c r="F817" i="3"/>
  <c r="H814" i="3"/>
  <c r="G814" i="3"/>
  <c r="F814" i="3"/>
  <c r="H813" i="3"/>
  <c r="H812" i="3" s="1"/>
  <c r="G813" i="3"/>
  <c r="F813" i="3"/>
  <c r="G812" i="3"/>
  <c r="F812" i="3"/>
  <c r="H811" i="3"/>
  <c r="G811" i="3"/>
  <c r="F811" i="3"/>
  <c r="F810" i="3" s="1"/>
  <c r="F809" i="3" s="1"/>
  <c r="F808" i="3" s="1"/>
  <c r="H810" i="3"/>
  <c r="G810" i="3"/>
  <c r="H809" i="3"/>
  <c r="H808" i="3" s="1"/>
  <c r="G809" i="3"/>
  <c r="G808" i="3"/>
  <c r="H807" i="3"/>
  <c r="G807" i="3"/>
  <c r="F807" i="3"/>
  <c r="F806" i="3" s="1"/>
  <c r="F805" i="3" s="1"/>
  <c r="H806" i="3"/>
  <c r="G806" i="3"/>
  <c r="H805" i="3"/>
  <c r="H804" i="3" s="1"/>
  <c r="G805" i="3"/>
  <c r="G803" i="3" s="1"/>
  <c r="G804" i="3"/>
  <c r="H800" i="3"/>
  <c r="H799" i="3" s="1"/>
  <c r="H798" i="3" s="1"/>
  <c r="H797" i="3" s="1"/>
  <c r="G800" i="3"/>
  <c r="F800" i="3"/>
  <c r="G799" i="3"/>
  <c r="G798" i="3" s="1"/>
  <c r="G797" i="3" s="1"/>
  <c r="F799" i="3"/>
  <c r="F798" i="3"/>
  <c r="F797" i="3" s="1"/>
  <c r="H795" i="3"/>
  <c r="H792" i="3" s="1"/>
  <c r="H791" i="3" s="1"/>
  <c r="G795" i="3"/>
  <c r="F795" i="3"/>
  <c r="H793" i="3"/>
  <c r="G793" i="3"/>
  <c r="G792" i="3" s="1"/>
  <c r="G791" i="3" s="1"/>
  <c r="F793" i="3"/>
  <c r="F792" i="3"/>
  <c r="F791" i="3" s="1"/>
  <c r="H790" i="3"/>
  <c r="H789" i="3" s="1"/>
  <c r="H788" i="3" s="1"/>
  <c r="G790" i="3"/>
  <c r="F790" i="3"/>
  <c r="G789" i="3"/>
  <c r="G788" i="3" s="1"/>
  <c r="F789" i="3"/>
  <c r="F788" i="3"/>
  <c r="H787" i="3"/>
  <c r="G787" i="3"/>
  <c r="F787" i="3"/>
  <c r="H786" i="3"/>
  <c r="H785" i="3" s="1"/>
  <c r="G786" i="3"/>
  <c r="F786" i="3"/>
  <c r="G785" i="3"/>
  <c r="F785" i="3"/>
  <c r="H784" i="3"/>
  <c r="G784" i="3"/>
  <c r="F784" i="3"/>
  <c r="F783" i="3" s="1"/>
  <c r="H783" i="3"/>
  <c r="G783" i="3"/>
  <c r="H782" i="3"/>
  <c r="H781" i="3" s="1"/>
  <c r="H780" i="3" s="1"/>
  <c r="G782" i="3"/>
  <c r="F782" i="3"/>
  <c r="G781" i="3"/>
  <c r="G780" i="3" s="1"/>
  <c r="F781" i="3"/>
  <c r="F780" i="3"/>
  <c r="H778" i="3"/>
  <c r="G778" i="3"/>
  <c r="F778" i="3"/>
  <c r="H777" i="3"/>
  <c r="G777" i="3"/>
  <c r="F777" i="3"/>
  <c r="H775" i="3"/>
  <c r="G775" i="3"/>
  <c r="G774" i="3" s="1"/>
  <c r="F775" i="3"/>
  <c r="H774" i="3"/>
  <c r="F774" i="3"/>
  <c r="H773" i="3"/>
  <c r="G773" i="3"/>
  <c r="F773" i="3"/>
  <c r="H772" i="3"/>
  <c r="H771" i="3" s="1"/>
  <c r="G772" i="3"/>
  <c r="F772" i="3"/>
  <c r="G771" i="3"/>
  <c r="F771" i="3"/>
  <c r="H770" i="3"/>
  <c r="G770" i="3"/>
  <c r="F770" i="3"/>
  <c r="F769" i="3" s="1"/>
  <c r="F768" i="3" s="1"/>
  <c r="F767" i="3" s="1"/>
  <c r="F756" i="3" s="1"/>
  <c r="H769" i="3"/>
  <c r="G769" i="3"/>
  <c r="H768" i="3"/>
  <c r="H767" i="3" s="1"/>
  <c r="G768" i="3"/>
  <c r="G767" i="3"/>
  <c r="H765" i="3"/>
  <c r="G765" i="3"/>
  <c r="G764" i="3" s="1"/>
  <c r="F765" i="3"/>
  <c r="F764" i="3" s="1"/>
  <c r="H764" i="3"/>
  <c r="H762" i="3"/>
  <c r="H761" i="3" s="1"/>
  <c r="H760" i="3" s="1"/>
  <c r="G762" i="3"/>
  <c r="F762" i="3"/>
  <c r="G761" i="3"/>
  <c r="G760" i="3" s="1"/>
  <c r="F761" i="3"/>
  <c r="F760" i="3"/>
  <c r="H759" i="3"/>
  <c r="G759" i="3"/>
  <c r="F759" i="3"/>
  <c r="H758" i="3"/>
  <c r="H757" i="3" s="1"/>
  <c r="G758" i="3"/>
  <c r="F758" i="3"/>
  <c r="G757" i="3"/>
  <c r="G756" i="3" s="1"/>
  <c r="F757" i="3"/>
  <c r="H754" i="3"/>
  <c r="H753" i="3" s="1"/>
  <c r="H752" i="3" s="1"/>
  <c r="G754" i="3"/>
  <c r="F754" i="3"/>
  <c r="G753" i="3"/>
  <c r="G752" i="3" s="1"/>
  <c r="F753" i="3"/>
  <c r="F752" i="3"/>
  <c r="H751" i="3"/>
  <c r="G751" i="3"/>
  <c r="F751" i="3"/>
  <c r="H750" i="3"/>
  <c r="H749" i="3" s="1"/>
  <c r="G750" i="3"/>
  <c r="F750" i="3"/>
  <c r="G749" i="3"/>
  <c r="F749" i="3"/>
  <c r="H748" i="3"/>
  <c r="G748" i="3"/>
  <c r="F748" i="3"/>
  <c r="F747" i="3" s="1"/>
  <c r="F746" i="3" s="1"/>
  <c r="F745" i="3" s="1"/>
  <c r="H747" i="3"/>
  <c r="G747" i="3"/>
  <c r="H746" i="3"/>
  <c r="H745" i="3" s="1"/>
  <c r="G746" i="3"/>
  <c r="G745" i="3"/>
  <c r="H743" i="3"/>
  <c r="G743" i="3"/>
  <c r="F743" i="3"/>
  <c r="F742" i="3" s="1"/>
  <c r="F738" i="3" s="1"/>
  <c r="H742" i="3"/>
  <c r="G742" i="3"/>
  <c r="H740" i="3"/>
  <c r="H739" i="3" s="1"/>
  <c r="H738" i="3" s="1"/>
  <c r="G740" i="3"/>
  <c r="F740" i="3"/>
  <c r="G739" i="3"/>
  <c r="G738" i="3" s="1"/>
  <c r="F739" i="3"/>
  <c r="H737" i="3"/>
  <c r="G737" i="3"/>
  <c r="F737" i="3"/>
  <c r="H736" i="3"/>
  <c r="H733" i="3" s="1"/>
  <c r="G736" i="3"/>
  <c r="F736" i="3"/>
  <c r="H735" i="3"/>
  <c r="G735" i="3"/>
  <c r="G734" i="3" s="1"/>
  <c r="G733" i="3" s="1"/>
  <c r="F735" i="3"/>
  <c r="H734" i="3"/>
  <c r="F734" i="3"/>
  <c r="F733" i="3" s="1"/>
  <c r="H732" i="3"/>
  <c r="H731" i="3" s="1"/>
  <c r="H730" i="3" s="1"/>
  <c r="G732" i="3"/>
  <c r="F732" i="3"/>
  <c r="G731" i="3"/>
  <c r="G730" i="3" s="1"/>
  <c r="F731" i="3"/>
  <c r="F730" i="3"/>
  <c r="H729" i="3"/>
  <c r="G729" i="3"/>
  <c r="F729" i="3"/>
  <c r="H728" i="3"/>
  <c r="H727" i="3" s="1"/>
  <c r="G728" i="3"/>
  <c r="F728" i="3"/>
  <c r="G727" i="3"/>
  <c r="F727" i="3"/>
  <c r="F726" i="3"/>
  <c r="H725" i="3"/>
  <c r="G725" i="3"/>
  <c r="F725" i="3"/>
  <c r="H724" i="3"/>
  <c r="H723" i="3" s="1"/>
  <c r="G724" i="3"/>
  <c r="F724" i="3"/>
  <c r="G723" i="3"/>
  <c r="F723" i="3"/>
  <c r="H722" i="3"/>
  <c r="G722" i="3"/>
  <c r="F722" i="3"/>
  <c r="F721" i="3" s="1"/>
  <c r="F720" i="3" s="1"/>
  <c r="H721" i="3"/>
  <c r="G721" i="3"/>
  <c r="H720" i="3"/>
  <c r="G720" i="3"/>
  <c r="F719" i="3"/>
  <c r="G439" i="4" s="1"/>
  <c r="G438" i="4" s="1"/>
  <c r="G437" i="4" s="1"/>
  <c r="F718" i="3"/>
  <c r="F717" i="3" s="1"/>
  <c r="H711" i="3"/>
  <c r="G711" i="3"/>
  <c r="F711" i="3"/>
  <c r="H710" i="3"/>
  <c r="G710" i="3"/>
  <c r="G709" i="3" s="1"/>
  <c r="G706" i="3" s="1"/>
  <c r="F710" i="3"/>
  <c r="H709" i="3"/>
  <c r="F709" i="3"/>
  <c r="H708" i="3"/>
  <c r="G708" i="3"/>
  <c r="F708" i="3"/>
  <c r="H707" i="3"/>
  <c r="H706" i="3" s="1"/>
  <c r="G707" i="3"/>
  <c r="F707" i="3"/>
  <c r="F706" i="3"/>
  <c r="H696" i="3"/>
  <c r="G696" i="3"/>
  <c r="G693" i="3" s="1"/>
  <c r="F696" i="3"/>
  <c r="H694" i="3"/>
  <c r="G694" i="3"/>
  <c r="F694" i="3"/>
  <c r="F693" i="3" s="1"/>
  <c r="H693" i="3"/>
  <c r="H691" i="3"/>
  <c r="H690" i="3" s="1"/>
  <c r="G691" i="3"/>
  <c r="F691" i="3"/>
  <c r="G690" i="3"/>
  <c r="F690" i="3"/>
  <c r="H688" i="3"/>
  <c r="G688" i="3"/>
  <c r="F688" i="3"/>
  <c r="F685" i="3" s="1"/>
  <c r="F684" i="3" s="1"/>
  <c r="H686" i="3"/>
  <c r="G686" i="3"/>
  <c r="F686" i="3"/>
  <c r="H685" i="3"/>
  <c r="H684" i="3" s="1"/>
  <c r="H683" i="3" s="1"/>
  <c r="G685" i="3"/>
  <c r="G684" i="3"/>
  <c r="G683" i="3" s="1"/>
  <c r="H682" i="3"/>
  <c r="G682" i="3"/>
  <c r="F682" i="3"/>
  <c r="H681" i="3"/>
  <c r="H680" i="3" s="1"/>
  <c r="G681" i="3"/>
  <c r="F681" i="3"/>
  <c r="G680" i="3"/>
  <c r="F680" i="3"/>
  <c r="H677" i="3"/>
  <c r="G677" i="3"/>
  <c r="F677" i="3"/>
  <c r="F676" i="3" s="1"/>
  <c r="H676" i="3"/>
  <c r="G676" i="3"/>
  <c r="H675" i="3"/>
  <c r="H674" i="3" s="1"/>
  <c r="G675" i="3"/>
  <c r="F675" i="3"/>
  <c r="F674" i="3" s="1"/>
  <c r="F671" i="3" s="1"/>
  <c r="G674" i="3"/>
  <c r="H673" i="3"/>
  <c r="H672" i="3" s="1"/>
  <c r="H671" i="3" s="1"/>
  <c r="G673" i="3"/>
  <c r="F673" i="3"/>
  <c r="G672" i="3"/>
  <c r="G671" i="3" s="1"/>
  <c r="F672" i="3"/>
  <c r="H670" i="3"/>
  <c r="G670" i="3"/>
  <c r="F670" i="3"/>
  <c r="H669" i="3"/>
  <c r="G669" i="3"/>
  <c r="F669" i="3"/>
  <c r="H668" i="3"/>
  <c r="G668" i="3"/>
  <c r="G667" i="3" s="1"/>
  <c r="G666" i="3" s="1"/>
  <c r="G665" i="3" s="1"/>
  <c r="F668" i="3"/>
  <c r="H667" i="3"/>
  <c r="F667" i="3"/>
  <c r="H666" i="3"/>
  <c r="H665" i="3" s="1"/>
  <c r="F666" i="3"/>
  <c r="F665" i="3" s="1"/>
  <c r="H664" i="3"/>
  <c r="I949" i="4" s="1"/>
  <c r="I948" i="4" s="1"/>
  <c r="I947" i="4" s="1"/>
  <c r="G664" i="3"/>
  <c r="H949" i="4" s="1"/>
  <c r="H948" i="4" s="1"/>
  <c r="H947" i="4" s="1"/>
  <c r="F664" i="3"/>
  <c r="G663" i="3"/>
  <c r="G662" i="3" s="1"/>
  <c r="G653" i="3" s="1"/>
  <c r="F663" i="3"/>
  <c r="F662" i="3" s="1"/>
  <c r="F653" i="3" s="1"/>
  <c r="H661" i="3"/>
  <c r="I944" i="4" s="1"/>
  <c r="I943" i="4" s="1"/>
  <c r="G661" i="3"/>
  <c r="H944" i="4" s="1"/>
  <c r="H943" i="4" s="1"/>
  <c r="G660" i="3"/>
  <c r="F660" i="3"/>
  <c r="H658" i="3"/>
  <c r="G658" i="3"/>
  <c r="F658" i="3"/>
  <c r="H657" i="3"/>
  <c r="G657" i="3"/>
  <c r="F657" i="3"/>
  <c r="H655" i="3"/>
  <c r="G655" i="3"/>
  <c r="F655" i="3"/>
  <c r="H652" i="3"/>
  <c r="G652" i="3"/>
  <c r="F652" i="3"/>
  <c r="F651" i="3" s="1"/>
  <c r="F650" i="3" s="1"/>
  <c r="H651" i="3"/>
  <c r="G651" i="3"/>
  <c r="H650" i="3"/>
  <c r="G650" i="3"/>
  <c r="H648" i="3"/>
  <c r="G648" i="3"/>
  <c r="F648" i="3"/>
  <c r="H647" i="3"/>
  <c r="G647" i="3"/>
  <c r="F647" i="3"/>
  <c r="F646" i="3" s="1"/>
  <c r="F645" i="3" s="1"/>
  <c r="H646" i="3"/>
  <c r="G646" i="3"/>
  <c r="H645" i="3"/>
  <c r="G645" i="3"/>
  <c r="H642" i="3"/>
  <c r="G642" i="3"/>
  <c r="F642" i="3"/>
  <c r="H640" i="3"/>
  <c r="G640" i="3"/>
  <c r="F640" i="3"/>
  <c r="H639" i="3"/>
  <c r="G639" i="3"/>
  <c r="F639" i="3"/>
  <c r="H638" i="3"/>
  <c r="H637" i="3" s="1"/>
  <c r="G638" i="3"/>
  <c r="F638" i="3"/>
  <c r="G637" i="3"/>
  <c r="F637" i="3"/>
  <c r="H636" i="3"/>
  <c r="G636" i="3"/>
  <c r="F636" i="3"/>
  <c r="H635" i="3"/>
  <c r="I918" i="4" s="1"/>
  <c r="I917" i="4" s="1"/>
  <c r="I916" i="4" s="1"/>
  <c r="I915" i="4" s="1"/>
  <c r="G635" i="3"/>
  <c r="H918" i="4" s="1"/>
  <c r="H917" i="4" s="1"/>
  <c r="H916" i="4" s="1"/>
  <c r="H915" i="4" s="1"/>
  <c r="F635" i="3"/>
  <c r="G918" i="4" s="1"/>
  <c r="G917" i="4" s="1"/>
  <c r="G916" i="4" s="1"/>
  <c r="G915" i="4" s="1"/>
  <c r="G634" i="3"/>
  <c r="G631" i="3" s="1"/>
  <c r="G630" i="3" s="1"/>
  <c r="F634" i="3"/>
  <c r="H632" i="3"/>
  <c r="G632" i="3"/>
  <c r="F632" i="3"/>
  <c r="F631" i="3" s="1"/>
  <c r="F630" i="3" s="1"/>
  <c r="H629" i="3"/>
  <c r="F629" i="3"/>
  <c r="H628" i="3"/>
  <c r="F628" i="3"/>
  <c r="F627" i="3" s="1"/>
  <c r="H627" i="3"/>
  <c r="H626" i="3"/>
  <c r="H625" i="3" s="1"/>
  <c r="H624" i="3" s="1"/>
  <c r="H623" i="3" s="1"/>
  <c r="H622" i="3"/>
  <c r="G622" i="3"/>
  <c r="H408" i="4" s="1"/>
  <c r="H407" i="4" s="1"/>
  <c r="H406" i="4" s="1"/>
  <c r="F622" i="3"/>
  <c r="G408" i="4" s="1"/>
  <c r="G407" i="4" s="1"/>
  <c r="G406" i="4" s="1"/>
  <c r="F621" i="3"/>
  <c r="F620" i="3" s="1"/>
  <c r="H616" i="3"/>
  <c r="H615" i="3" s="1"/>
  <c r="G616" i="3"/>
  <c r="F616" i="3"/>
  <c r="G615" i="3"/>
  <c r="F615" i="3"/>
  <c r="H613" i="3"/>
  <c r="G613" i="3"/>
  <c r="F613" i="3"/>
  <c r="F612" i="3" s="1"/>
  <c r="H612" i="3"/>
  <c r="G612" i="3"/>
  <c r="H610" i="3"/>
  <c r="H609" i="3" s="1"/>
  <c r="H608" i="3" s="1"/>
  <c r="G610" i="3"/>
  <c r="F610" i="3"/>
  <c r="G609" i="3"/>
  <c r="G608" i="3" s="1"/>
  <c r="F609" i="3"/>
  <c r="F608" i="3"/>
  <c r="H606" i="3"/>
  <c r="G606" i="3"/>
  <c r="F606" i="3"/>
  <c r="H604" i="3"/>
  <c r="H603" i="3" s="1"/>
  <c r="H602" i="3" s="1"/>
  <c r="H601" i="3" s="1"/>
  <c r="H600" i="3" s="1"/>
  <c r="G604" i="3"/>
  <c r="F604" i="3"/>
  <c r="G603" i="3"/>
  <c r="G602" i="3" s="1"/>
  <c r="G601" i="3" s="1"/>
  <c r="G600" i="3" s="1"/>
  <c r="F603" i="3"/>
  <c r="F602" i="3"/>
  <c r="F601" i="3" s="1"/>
  <c r="F600" i="3" s="1"/>
  <c r="H590" i="3"/>
  <c r="G590" i="3"/>
  <c r="G589" i="3" s="1"/>
  <c r="G588" i="3" s="1"/>
  <c r="F590" i="3"/>
  <c r="H589" i="3"/>
  <c r="F589" i="3"/>
  <c r="F588" i="3" s="1"/>
  <c r="H588" i="3"/>
  <c r="H587" i="3"/>
  <c r="H586" i="3" s="1"/>
  <c r="H585" i="3" s="1"/>
  <c r="G587" i="3"/>
  <c r="F587" i="3"/>
  <c r="G586" i="3"/>
  <c r="G585" i="3" s="1"/>
  <c r="F586" i="3"/>
  <c r="F585" i="3"/>
  <c r="F583" i="3" s="1"/>
  <c r="H581" i="3"/>
  <c r="G581" i="3"/>
  <c r="G580" i="3" s="1"/>
  <c r="F581" i="3"/>
  <c r="H580" i="3"/>
  <c r="F580" i="3"/>
  <c r="H578" i="3"/>
  <c r="G578" i="3"/>
  <c r="F578" i="3"/>
  <c r="H577" i="3"/>
  <c r="H576" i="3" s="1"/>
  <c r="G577" i="3"/>
  <c r="F577" i="3"/>
  <c r="G576" i="3"/>
  <c r="F576" i="3"/>
  <c r="H575" i="3"/>
  <c r="I385" i="4" s="1"/>
  <c r="I384" i="4" s="1"/>
  <c r="I383" i="4" s="1"/>
  <c r="G575" i="3"/>
  <c r="H385" i="4" s="1"/>
  <c r="H384" i="4" s="1"/>
  <c r="H383" i="4" s="1"/>
  <c r="F575" i="3"/>
  <c r="G385" i="4" s="1"/>
  <c r="G384" i="4" s="1"/>
  <c r="G383" i="4" s="1"/>
  <c r="H574" i="3"/>
  <c r="G574" i="3"/>
  <c r="G573" i="3" s="1"/>
  <c r="H573" i="3"/>
  <c r="H572" i="3"/>
  <c r="I382" i="4" s="1"/>
  <c r="I381" i="4" s="1"/>
  <c r="I380" i="4" s="1"/>
  <c r="G572" i="3"/>
  <c r="H382" i="4" s="1"/>
  <c r="H381" i="4" s="1"/>
  <c r="H380" i="4" s="1"/>
  <c r="H379" i="4" s="1"/>
  <c r="F572" i="3"/>
  <c r="G382" i="4" s="1"/>
  <c r="G381" i="4" s="1"/>
  <c r="G380" i="4" s="1"/>
  <c r="H571" i="3"/>
  <c r="F571" i="3"/>
  <c r="F570" i="3" s="1"/>
  <c r="H570" i="3"/>
  <c r="H569" i="3"/>
  <c r="H568" i="3"/>
  <c r="G568" i="3"/>
  <c r="G567" i="3" s="1"/>
  <c r="G564" i="3" s="1"/>
  <c r="F568" i="3"/>
  <c r="H567" i="3"/>
  <c r="F567" i="3"/>
  <c r="F564" i="3" s="1"/>
  <c r="H566" i="3"/>
  <c r="I389" i="4" s="1"/>
  <c r="I388" i="4" s="1"/>
  <c r="I387" i="4" s="1"/>
  <c r="I386" i="4" s="1"/>
  <c r="G566" i="3"/>
  <c r="H389" i="4" s="1"/>
  <c r="H388" i="4" s="1"/>
  <c r="H387" i="4" s="1"/>
  <c r="H386" i="4" s="1"/>
  <c r="F566" i="3"/>
  <c r="G389" i="4" s="1"/>
  <c r="G388" i="4" s="1"/>
  <c r="G387" i="4" s="1"/>
  <c r="G386" i="4" s="1"/>
  <c r="H565" i="3"/>
  <c r="H564" i="3" s="1"/>
  <c r="G565" i="3"/>
  <c r="F565" i="3"/>
  <c r="F562" i="3"/>
  <c r="H561" i="3"/>
  <c r="G561" i="3"/>
  <c r="F561" i="3"/>
  <c r="H560" i="3"/>
  <c r="G560" i="3"/>
  <c r="F560" i="3"/>
  <c r="F558" i="3" s="1"/>
  <c r="H559" i="3"/>
  <c r="G559" i="3"/>
  <c r="F559" i="3"/>
  <c r="H558" i="3"/>
  <c r="H556" i="3" s="1"/>
  <c r="G558" i="3"/>
  <c r="G557" i="3"/>
  <c r="H555" i="3"/>
  <c r="G555" i="3"/>
  <c r="F555" i="3"/>
  <c r="H554" i="3"/>
  <c r="H553" i="3" s="1"/>
  <c r="H531" i="3" s="1"/>
  <c r="G554" i="3"/>
  <c r="F554" i="3"/>
  <c r="G553" i="3"/>
  <c r="F553" i="3"/>
  <c r="H552" i="3"/>
  <c r="G552" i="3"/>
  <c r="F552" i="3"/>
  <c r="F551" i="3" s="1"/>
  <c r="F550" i="3" s="1"/>
  <c r="F549" i="3" s="1"/>
  <c r="H551" i="3"/>
  <c r="G551" i="3"/>
  <c r="H550" i="3"/>
  <c r="H549" i="3" s="1"/>
  <c r="G550" i="3"/>
  <c r="G549" i="3"/>
  <c r="H548" i="3"/>
  <c r="I866" i="4" s="1"/>
  <c r="G548" i="3"/>
  <c r="H866" i="4" s="1"/>
  <c r="F548" i="3"/>
  <c r="G866" i="4" s="1"/>
  <c r="H545" i="3"/>
  <c r="G545" i="3"/>
  <c r="G544" i="3" s="1"/>
  <c r="F545" i="3"/>
  <c r="H544" i="3"/>
  <c r="F544" i="3"/>
  <c r="H543" i="3"/>
  <c r="I862" i="4" s="1"/>
  <c r="G543" i="3"/>
  <c r="H862" i="4" s="1"/>
  <c r="F543" i="3"/>
  <c r="H542" i="3"/>
  <c r="G542" i="3"/>
  <c r="F542" i="3"/>
  <c r="H539" i="3"/>
  <c r="G539" i="3"/>
  <c r="G538" i="3" s="1"/>
  <c r="F539" i="3"/>
  <c r="H538" i="3"/>
  <c r="F538" i="3"/>
  <c r="H537" i="3"/>
  <c r="G537" i="3"/>
  <c r="G535" i="3" s="1"/>
  <c r="G534" i="3" s="1"/>
  <c r="G533" i="3" s="1"/>
  <c r="G532" i="3" s="1"/>
  <c r="F537" i="3"/>
  <c r="H536" i="3"/>
  <c r="H535" i="3" s="1"/>
  <c r="H534" i="3" s="1"/>
  <c r="H533" i="3" s="1"/>
  <c r="H532" i="3" s="1"/>
  <c r="G536" i="3"/>
  <c r="F536" i="3"/>
  <c r="F535" i="3" s="1"/>
  <c r="F534" i="3" s="1"/>
  <c r="F533" i="3" s="1"/>
  <c r="F532" i="3" s="1"/>
  <c r="H524" i="3"/>
  <c r="I845" i="4" s="1"/>
  <c r="I844" i="4" s="1"/>
  <c r="I843" i="4" s="1"/>
  <c r="G524" i="3"/>
  <c r="H845" i="4" s="1"/>
  <c r="H844" i="4" s="1"/>
  <c r="H843" i="4" s="1"/>
  <c r="F524" i="3"/>
  <c r="G845" i="4" s="1"/>
  <c r="G844" i="4" s="1"/>
  <c r="G843" i="4" s="1"/>
  <c r="H523" i="3"/>
  <c r="H522" i="3" s="1"/>
  <c r="G523" i="3"/>
  <c r="G522" i="3" s="1"/>
  <c r="F523" i="3"/>
  <c r="F522" i="3"/>
  <c r="H519" i="3"/>
  <c r="I840" i="4" s="1"/>
  <c r="I839" i="4" s="1"/>
  <c r="I838" i="4" s="1"/>
  <c r="G519" i="3"/>
  <c r="H840" i="4" s="1"/>
  <c r="H839" i="4" s="1"/>
  <c r="H838" i="4" s="1"/>
  <c r="F519" i="3"/>
  <c r="G840" i="4" s="1"/>
  <c r="G839" i="4" s="1"/>
  <c r="G838" i="4" s="1"/>
  <c r="G518" i="3"/>
  <c r="G517" i="3" s="1"/>
  <c r="F518" i="3"/>
  <c r="F517" i="3"/>
  <c r="H507" i="3"/>
  <c r="H506" i="3" s="1"/>
  <c r="H505" i="3" s="1"/>
  <c r="G507" i="3"/>
  <c r="F507" i="3"/>
  <c r="G506" i="3"/>
  <c r="G505" i="3" s="1"/>
  <c r="F506" i="3"/>
  <c r="F505" i="3"/>
  <c r="H503" i="3"/>
  <c r="G503" i="3"/>
  <c r="F503" i="3"/>
  <c r="H502" i="3"/>
  <c r="G502" i="3"/>
  <c r="F502" i="3"/>
  <c r="H494" i="3"/>
  <c r="H493" i="3" s="1"/>
  <c r="H492" i="3" s="1"/>
  <c r="G494" i="3"/>
  <c r="F494" i="3"/>
  <c r="G493" i="3"/>
  <c r="G492" i="3" s="1"/>
  <c r="F493" i="3"/>
  <c r="F492" i="3"/>
  <c r="H491" i="3"/>
  <c r="H490" i="3" s="1"/>
  <c r="H489" i="3" s="1"/>
  <c r="G491" i="3"/>
  <c r="F491" i="3"/>
  <c r="G490" i="3"/>
  <c r="G489" i="3" s="1"/>
  <c r="F490" i="3"/>
  <c r="F489" i="3"/>
  <c r="H488" i="3"/>
  <c r="G488" i="3"/>
  <c r="F488" i="3"/>
  <c r="F487" i="3" s="1"/>
  <c r="F486" i="3" s="1"/>
  <c r="F485" i="3" s="1"/>
  <c r="H487" i="3"/>
  <c r="H486" i="3" s="1"/>
  <c r="G487" i="3"/>
  <c r="G486" i="3"/>
  <c r="G485" i="3" s="1"/>
  <c r="F480" i="3"/>
  <c r="F479" i="3" s="1"/>
  <c r="F478" i="3" s="1"/>
  <c r="H479" i="3"/>
  <c r="G479" i="3"/>
  <c r="G478" i="3" s="1"/>
  <c r="H478" i="3"/>
  <c r="F477" i="3"/>
  <c r="F476" i="3" s="1"/>
  <c r="F475" i="3" s="1"/>
  <c r="F474" i="3" s="1"/>
  <c r="H476" i="3"/>
  <c r="H475" i="3" s="1"/>
  <c r="H474" i="3" s="1"/>
  <c r="G476" i="3"/>
  <c r="G475" i="3"/>
  <c r="H473" i="3"/>
  <c r="G473" i="3"/>
  <c r="G472" i="3" s="1"/>
  <c r="G471" i="3" s="1"/>
  <c r="F473" i="3"/>
  <c r="F472" i="3" s="1"/>
  <c r="F471" i="3" s="1"/>
  <c r="H472" i="3"/>
  <c r="H471" i="3" s="1"/>
  <c r="H470" i="3"/>
  <c r="H469" i="3" s="1"/>
  <c r="H468" i="3" s="1"/>
  <c r="H467" i="3" s="1"/>
  <c r="G470" i="3"/>
  <c r="G469" i="3" s="1"/>
  <c r="G468" i="3" s="1"/>
  <c r="G467" i="3" s="1"/>
  <c r="F470" i="3"/>
  <c r="F469" i="3" s="1"/>
  <c r="F468" i="3" s="1"/>
  <c r="F467" i="3" s="1"/>
  <c r="H466" i="3"/>
  <c r="H465" i="3" s="1"/>
  <c r="H464" i="3" s="1"/>
  <c r="G466" i="3"/>
  <c r="G465" i="3" s="1"/>
  <c r="G464" i="3" s="1"/>
  <c r="F466" i="3"/>
  <c r="F465" i="3" s="1"/>
  <c r="F464" i="3" s="1"/>
  <c r="H462" i="3"/>
  <c r="H461" i="3" s="1"/>
  <c r="G462" i="3"/>
  <c r="F462" i="3"/>
  <c r="G461" i="3"/>
  <c r="F461" i="3"/>
  <c r="H460" i="3"/>
  <c r="G460" i="3"/>
  <c r="G459" i="3" s="1"/>
  <c r="G458" i="3" s="1"/>
  <c r="F460" i="3"/>
  <c r="F459" i="3" s="1"/>
  <c r="F458" i="3" s="1"/>
  <c r="H459" i="3"/>
  <c r="H458" i="3"/>
  <c r="H456" i="3"/>
  <c r="G456" i="3"/>
  <c r="G455" i="3" s="1"/>
  <c r="F456" i="3"/>
  <c r="H455" i="3"/>
  <c r="F455" i="3"/>
  <c r="H454" i="3"/>
  <c r="G454" i="3"/>
  <c r="F454" i="3"/>
  <c r="H453" i="3"/>
  <c r="H452" i="3" s="1"/>
  <c r="G453" i="3"/>
  <c r="F453" i="3"/>
  <c r="G452" i="3"/>
  <c r="F452" i="3"/>
  <c r="H451" i="3"/>
  <c r="G451" i="3"/>
  <c r="F451" i="3"/>
  <c r="F450" i="3" s="1"/>
  <c r="F449" i="3" s="1"/>
  <c r="H450" i="3"/>
  <c r="G450" i="3"/>
  <c r="H449" i="3"/>
  <c r="G449" i="3"/>
  <c r="H444" i="3"/>
  <c r="H443" i="3" s="1"/>
  <c r="H442" i="3" s="1"/>
  <c r="H441" i="3" s="1"/>
  <c r="G444" i="3"/>
  <c r="F444" i="3"/>
  <c r="G443" i="3"/>
  <c r="G442" i="3" s="1"/>
  <c r="G441" i="3" s="1"/>
  <c r="F443" i="3"/>
  <c r="F442" i="3"/>
  <c r="F441" i="3" s="1"/>
  <c r="H440" i="3"/>
  <c r="I761" i="4" s="1"/>
  <c r="I760" i="4" s="1"/>
  <c r="I759" i="4" s="1"/>
  <c r="I758" i="4" s="1"/>
  <c r="G440" i="3"/>
  <c r="H761" i="4" s="1"/>
  <c r="H760" i="4" s="1"/>
  <c r="H759" i="4" s="1"/>
  <c r="H758" i="4" s="1"/>
  <c r="F440" i="3"/>
  <c r="G761" i="4" s="1"/>
  <c r="G760" i="4" s="1"/>
  <c r="G759" i="4" s="1"/>
  <c r="G758" i="4" s="1"/>
  <c r="G439" i="3"/>
  <c r="G438" i="3" s="1"/>
  <c r="G437" i="3" s="1"/>
  <c r="F439" i="3"/>
  <c r="F438" i="3"/>
  <c r="H430" i="3"/>
  <c r="G430" i="3"/>
  <c r="G429" i="3" s="1"/>
  <c r="G428" i="3" s="1"/>
  <c r="F430" i="3"/>
  <c r="F429" i="3" s="1"/>
  <c r="F428" i="3" s="1"/>
  <c r="H429" i="3"/>
  <c r="H428" i="3"/>
  <c r="H427" i="3"/>
  <c r="H426" i="3" s="1"/>
  <c r="H425" i="3" s="1"/>
  <c r="G427" i="3"/>
  <c r="G426" i="3" s="1"/>
  <c r="G425" i="3" s="1"/>
  <c r="F427" i="3"/>
  <c r="F426" i="3"/>
  <c r="F425" i="3"/>
  <c r="H424" i="3"/>
  <c r="H423" i="3" s="1"/>
  <c r="H422" i="3" s="1"/>
  <c r="G424" i="3"/>
  <c r="F424" i="3"/>
  <c r="G423" i="3"/>
  <c r="G422" i="3" s="1"/>
  <c r="G419" i="3" s="1"/>
  <c r="G418" i="3" s="1"/>
  <c r="F423" i="3"/>
  <c r="F422" i="3"/>
  <c r="H421" i="3"/>
  <c r="G421" i="3"/>
  <c r="F421" i="3"/>
  <c r="F420" i="3" s="1"/>
  <c r="H420" i="3"/>
  <c r="G420" i="3"/>
  <c r="F414" i="3"/>
  <c r="F413" i="3"/>
  <c r="H412" i="3"/>
  <c r="G412" i="3"/>
  <c r="F412" i="3"/>
  <c r="F411" i="3" s="1"/>
  <c r="F410" i="3" s="1"/>
  <c r="F407" i="3" s="1"/>
  <c r="F406" i="3" s="1"/>
  <c r="H411" i="3"/>
  <c r="H410" i="3" s="1"/>
  <c r="G411" i="3"/>
  <c r="G410" i="3"/>
  <c r="G409" i="3" s="1"/>
  <c r="G408" i="3" s="1"/>
  <c r="F409" i="3"/>
  <c r="F408" i="3" s="1"/>
  <c r="H404" i="3"/>
  <c r="G404" i="3"/>
  <c r="F404" i="3"/>
  <c r="H399" i="3"/>
  <c r="G399" i="3"/>
  <c r="F399" i="3"/>
  <c r="H397" i="3"/>
  <c r="G397" i="3"/>
  <c r="F397" i="3"/>
  <c r="F396" i="3" s="1"/>
  <c r="F395" i="3" s="1"/>
  <c r="H396" i="3"/>
  <c r="H395" i="3" s="1"/>
  <c r="G396" i="3"/>
  <c r="G395" i="3"/>
  <c r="H392" i="3"/>
  <c r="H391" i="3" s="1"/>
  <c r="H390" i="3" s="1"/>
  <c r="G392" i="3"/>
  <c r="F392" i="3"/>
  <c r="G391" i="3"/>
  <c r="G390" i="3" s="1"/>
  <c r="F391" i="3"/>
  <c r="F390" i="3"/>
  <c r="H389" i="3"/>
  <c r="G389" i="3"/>
  <c r="F389" i="3"/>
  <c r="F388" i="3" s="1"/>
  <c r="F387" i="3" s="1"/>
  <c r="H388" i="3"/>
  <c r="H387" i="3" s="1"/>
  <c r="G388" i="3"/>
  <c r="G387" i="3"/>
  <c r="H386" i="3"/>
  <c r="I331" i="4" s="1"/>
  <c r="I330" i="4" s="1"/>
  <c r="I329" i="4" s="1"/>
  <c r="G386" i="3"/>
  <c r="H331" i="4" s="1"/>
  <c r="H330" i="4" s="1"/>
  <c r="H329" i="4" s="1"/>
  <c r="F386" i="3"/>
  <c r="G331" i="4" s="1"/>
  <c r="G330" i="4" s="1"/>
  <c r="G329" i="4" s="1"/>
  <c r="H385" i="3"/>
  <c r="F385" i="3"/>
  <c r="F384" i="3" s="1"/>
  <c r="H384" i="3"/>
  <c r="H382" i="3"/>
  <c r="G382" i="3"/>
  <c r="F382" i="3"/>
  <c r="H381" i="3"/>
  <c r="G381" i="3"/>
  <c r="G380" i="3" s="1"/>
  <c r="G379" i="3" s="1"/>
  <c r="F381" i="3"/>
  <c r="H380" i="3"/>
  <c r="F380" i="3"/>
  <c r="F379" i="3" s="1"/>
  <c r="H379" i="3"/>
  <c r="H378" i="3"/>
  <c r="H377" i="3" s="1"/>
  <c r="H376" i="3" s="1"/>
  <c r="G378" i="3"/>
  <c r="F378" i="3"/>
  <c r="G377" i="3"/>
  <c r="G376" i="3" s="1"/>
  <c r="F377" i="3"/>
  <c r="F376" i="3"/>
  <c r="H375" i="3"/>
  <c r="G375" i="3"/>
  <c r="F375" i="3"/>
  <c r="H374" i="3"/>
  <c r="H373" i="3" s="1"/>
  <c r="G374" i="3"/>
  <c r="F374" i="3"/>
  <c r="G373" i="3"/>
  <c r="F373" i="3"/>
  <c r="H371" i="3"/>
  <c r="G371" i="3"/>
  <c r="F371" i="3"/>
  <c r="H370" i="3"/>
  <c r="H369" i="3" s="1"/>
  <c r="G370" i="3"/>
  <c r="F370" i="3"/>
  <c r="G369" i="3"/>
  <c r="F369" i="3"/>
  <c r="H368" i="3"/>
  <c r="G368" i="3"/>
  <c r="F368" i="3"/>
  <c r="F367" i="3" s="1"/>
  <c r="F366" i="3" s="1"/>
  <c r="F365" i="3" s="1"/>
  <c r="F364" i="3" s="1"/>
  <c r="H367" i="3"/>
  <c r="G367" i="3"/>
  <c r="H366" i="3"/>
  <c r="H365" i="3" s="1"/>
  <c r="H364" i="3" s="1"/>
  <c r="G366" i="3"/>
  <c r="G365" i="3"/>
  <c r="G364" i="3" s="1"/>
  <c r="H361" i="3"/>
  <c r="H360" i="3" s="1"/>
  <c r="H359" i="3" s="1"/>
  <c r="G361" i="3"/>
  <c r="F361" i="3"/>
  <c r="G360" i="3"/>
  <c r="F360" i="3"/>
  <c r="G359" i="3"/>
  <c r="F359" i="3"/>
  <c r="H358" i="3"/>
  <c r="G358" i="3"/>
  <c r="F358" i="3"/>
  <c r="H357" i="3"/>
  <c r="G357" i="3"/>
  <c r="F357" i="3"/>
  <c r="H356" i="3"/>
  <c r="H355" i="3" s="1"/>
  <c r="H354" i="3" s="1"/>
  <c r="G356" i="3"/>
  <c r="G355" i="3" s="1"/>
  <c r="G354" i="3" s="1"/>
  <c r="F356" i="3"/>
  <c r="F355" i="3" s="1"/>
  <c r="F354" i="3" s="1"/>
  <c r="H352" i="3"/>
  <c r="H351" i="3" s="1"/>
  <c r="G352" i="3"/>
  <c r="F352" i="3"/>
  <c r="G351" i="3"/>
  <c r="F351" i="3"/>
  <c r="F350" i="3"/>
  <c r="H349" i="3"/>
  <c r="H348" i="3" s="1"/>
  <c r="G349" i="3"/>
  <c r="F349" i="3"/>
  <c r="G348" i="3"/>
  <c r="F348" i="3"/>
  <c r="H347" i="3"/>
  <c r="G347" i="3"/>
  <c r="F347" i="3"/>
  <c r="F346" i="3" s="1"/>
  <c r="F345" i="3" s="1"/>
  <c r="F340" i="3" s="1"/>
  <c r="H346" i="3"/>
  <c r="G346" i="3"/>
  <c r="H345" i="3"/>
  <c r="G345" i="3"/>
  <c r="H343" i="3"/>
  <c r="G343" i="3"/>
  <c r="G342" i="3" s="1"/>
  <c r="G341" i="3" s="1"/>
  <c r="F343" i="3"/>
  <c r="H342" i="3"/>
  <c r="H341" i="3" s="1"/>
  <c r="F342" i="3"/>
  <c r="H340" i="3"/>
  <c r="G340" i="3"/>
  <c r="H338" i="3"/>
  <c r="G338" i="3"/>
  <c r="F338" i="3"/>
  <c r="F337" i="3" s="1"/>
  <c r="F336" i="3" s="1"/>
  <c r="H337" i="3"/>
  <c r="G337" i="3"/>
  <c r="H336" i="3"/>
  <c r="G336" i="3"/>
  <c r="H335" i="3"/>
  <c r="G335" i="3"/>
  <c r="G334" i="3" s="1"/>
  <c r="G333" i="3" s="1"/>
  <c r="G318" i="3" s="1"/>
  <c r="F335" i="3"/>
  <c r="H334" i="3"/>
  <c r="F334" i="3"/>
  <c r="F333" i="3" s="1"/>
  <c r="H333" i="3"/>
  <c r="H318" i="3"/>
  <c r="H317" i="3"/>
  <c r="G317" i="3"/>
  <c r="G316" i="3" s="1"/>
  <c r="G310" i="3" s="1"/>
  <c r="G309" i="3" s="1"/>
  <c r="F317" i="3"/>
  <c r="H316" i="3"/>
  <c r="F316" i="3"/>
  <c r="H312" i="3"/>
  <c r="G312" i="3"/>
  <c r="F312" i="3"/>
  <c r="H311" i="3"/>
  <c r="H310" i="3" s="1"/>
  <c r="H309" i="3" s="1"/>
  <c r="G311" i="3"/>
  <c r="F311" i="3"/>
  <c r="F310" i="3"/>
  <c r="F309" i="3"/>
  <c r="H308" i="3"/>
  <c r="G308" i="3"/>
  <c r="F308" i="3"/>
  <c r="H307" i="3"/>
  <c r="H306" i="3" s="1"/>
  <c r="H303" i="3" s="1"/>
  <c r="G307" i="3"/>
  <c r="G306" i="3" s="1"/>
  <c r="G303" i="3" s="1"/>
  <c r="F306" i="3"/>
  <c r="F303" i="3" s="1"/>
  <c r="H304" i="3"/>
  <c r="G304" i="3"/>
  <c r="F304" i="3"/>
  <c r="H300" i="3"/>
  <c r="I244" i="4" s="1"/>
  <c r="I243" i="4" s="1"/>
  <c r="G300" i="3"/>
  <c r="H244" i="4" s="1"/>
  <c r="H243" i="4" s="1"/>
  <c r="F300" i="3"/>
  <c r="G244" i="4" s="1"/>
  <c r="G243" i="4" s="1"/>
  <c r="G299" i="3"/>
  <c r="F299" i="3"/>
  <c r="H298" i="3"/>
  <c r="G298" i="3"/>
  <c r="F298" i="3"/>
  <c r="F297" i="3" s="1"/>
  <c r="H297" i="3"/>
  <c r="G297" i="3"/>
  <c r="H296" i="3"/>
  <c r="H295" i="3" s="1"/>
  <c r="G296" i="3"/>
  <c r="G294" i="3" s="1"/>
  <c r="G284" i="3" s="1"/>
  <c r="F296" i="3"/>
  <c r="G295" i="3"/>
  <c r="F295" i="3"/>
  <c r="H294" i="3"/>
  <c r="F294" i="3"/>
  <c r="H291" i="3"/>
  <c r="G291" i="3"/>
  <c r="F291" i="3"/>
  <c r="H290" i="3"/>
  <c r="G290" i="3"/>
  <c r="F290" i="3"/>
  <c r="H288" i="3"/>
  <c r="G288" i="3"/>
  <c r="F288" i="3"/>
  <c r="H287" i="3"/>
  <c r="G287" i="3"/>
  <c r="F287" i="3"/>
  <c r="F286" i="3" s="1"/>
  <c r="F285" i="3" s="1"/>
  <c r="F284" i="3" s="1"/>
  <c r="H286" i="3"/>
  <c r="G286" i="3"/>
  <c r="H285" i="3"/>
  <c r="H284" i="3" s="1"/>
  <c r="G285" i="3"/>
  <c r="H281" i="3"/>
  <c r="G281" i="3"/>
  <c r="F281" i="3"/>
  <c r="H280" i="3"/>
  <c r="G280" i="3"/>
  <c r="F280" i="3"/>
  <c r="G279" i="3"/>
  <c r="F279" i="3"/>
  <c r="F278" i="3" s="1"/>
  <c r="F277" i="3" s="1"/>
  <c r="G278" i="3"/>
  <c r="H277" i="3"/>
  <c r="G277" i="3"/>
  <c r="H276" i="3"/>
  <c r="G276" i="3"/>
  <c r="F276" i="3"/>
  <c r="F275" i="3" s="1"/>
  <c r="F274" i="3" s="1"/>
  <c r="H275" i="3"/>
  <c r="G275" i="3"/>
  <c r="H274" i="3"/>
  <c r="G274" i="3"/>
  <c r="H273" i="3"/>
  <c r="G273" i="3"/>
  <c r="G272" i="3" s="1"/>
  <c r="G271" i="3" s="1"/>
  <c r="F273" i="3"/>
  <c r="H272" i="3"/>
  <c r="F272" i="3"/>
  <c r="F271" i="3" s="1"/>
  <c r="H271" i="3"/>
  <c r="H270" i="3"/>
  <c r="H269" i="3" s="1"/>
  <c r="H268" i="3" s="1"/>
  <c r="H262" i="3" s="1"/>
  <c r="G270" i="3"/>
  <c r="F270" i="3"/>
  <c r="G269" i="3"/>
  <c r="G268" i="3" s="1"/>
  <c r="G262" i="3" s="1"/>
  <c r="F269" i="3"/>
  <c r="F268" i="3" s="1"/>
  <c r="H266" i="3"/>
  <c r="H265" i="3" s="1"/>
  <c r="G266" i="3"/>
  <c r="F266" i="3"/>
  <c r="G265" i="3"/>
  <c r="F265" i="3"/>
  <c r="G261" i="3"/>
  <c r="F261" i="3"/>
  <c r="G259" i="3"/>
  <c r="F259" i="3"/>
  <c r="H258" i="3"/>
  <c r="H257" i="3"/>
  <c r="H256" i="3" s="1"/>
  <c r="H253" i="3"/>
  <c r="G253" i="3"/>
  <c r="F253" i="3"/>
  <c r="H252" i="3"/>
  <c r="G252" i="3"/>
  <c r="F252" i="3"/>
  <c r="H251" i="3"/>
  <c r="G251" i="3"/>
  <c r="G250" i="3" s="1"/>
  <c r="G249" i="3" s="1"/>
  <c r="F251" i="3"/>
  <c r="H250" i="3"/>
  <c r="F250" i="3"/>
  <c r="F249" i="3" s="1"/>
  <c r="H249" i="3"/>
  <c r="H246" i="3"/>
  <c r="G246" i="3"/>
  <c r="G245" i="3" s="1"/>
  <c r="G244" i="3" s="1"/>
  <c r="G243" i="3" s="1"/>
  <c r="F246" i="3"/>
  <c r="H245" i="3"/>
  <c r="F245" i="3"/>
  <c r="F244" i="3" s="1"/>
  <c r="F243" i="3" s="1"/>
  <c r="F231" i="3" s="1"/>
  <c r="H244" i="3"/>
  <c r="H243" i="3"/>
  <c r="F242" i="3"/>
  <c r="H241" i="3"/>
  <c r="H240" i="3" s="1"/>
  <c r="G241" i="3"/>
  <c r="F241" i="3"/>
  <c r="G240" i="3"/>
  <c r="F240" i="3"/>
  <c r="H238" i="3"/>
  <c r="G238" i="3"/>
  <c r="F238" i="3"/>
  <c r="H237" i="3"/>
  <c r="G237" i="3"/>
  <c r="F237" i="3"/>
  <c r="H236" i="3"/>
  <c r="G236" i="3"/>
  <c r="F236" i="3"/>
  <c r="H234" i="3"/>
  <c r="G234" i="3"/>
  <c r="G233" i="3" s="1"/>
  <c r="G232" i="3" s="1"/>
  <c r="F234" i="3"/>
  <c r="H233" i="3"/>
  <c r="F233" i="3"/>
  <c r="F232" i="3" s="1"/>
  <c r="H232" i="3"/>
  <c r="H231" i="3"/>
  <c r="H230" i="3"/>
  <c r="G230" i="3"/>
  <c r="G229" i="3" s="1"/>
  <c r="G228" i="3" s="1"/>
  <c r="F230" i="3"/>
  <c r="H229" i="3"/>
  <c r="F229" i="3"/>
  <c r="F228" i="3" s="1"/>
  <c r="H228" i="3"/>
  <c r="H226" i="3"/>
  <c r="H225" i="3" s="1"/>
  <c r="G226" i="3"/>
  <c r="F226" i="3"/>
  <c r="G225" i="3"/>
  <c r="F225" i="3"/>
  <c r="H223" i="3"/>
  <c r="G223" i="3"/>
  <c r="F223" i="3"/>
  <c r="H221" i="3"/>
  <c r="G221" i="3"/>
  <c r="F221" i="3"/>
  <c r="H220" i="3"/>
  <c r="G220" i="3"/>
  <c r="F220" i="3"/>
  <c r="H218" i="3"/>
  <c r="G218" i="3"/>
  <c r="G217" i="3" s="1"/>
  <c r="F218" i="3"/>
  <c r="H217" i="3"/>
  <c r="F217" i="3"/>
  <c r="H215" i="3"/>
  <c r="G215" i="3"/>
  <c r="F215" i="3"/>
  <c r="H214" i="3"/>
  <c r="H213" i="3" s="1"/>
  <c r="H212" i="3" s="1"/>
  <c r="G214" i="3"/>
  <c r="F214" i="3"/>
  <c r="G213" i="3"/>
  <c r="G212" i="3" s="1"/>
  <c r="F213" i="3"/>
  <c r="F212" i="3"/>
  <c r="H210" i="3"/>
  <c r="H208" i="3" s="1"/>
  <c r="G210" i="3"/>
  <c r="F210" i="3"/>
  <c r="H209" i="3"/>
  <c r="G209" i="3"/>
  <c r="G207" i="3" s="1"/>
  <c r="G206" i="3" s="1"/>
  <c r="F209" i="3"/>
  <c r="G208" i="3"/>
  <c r="F208" i="3"/>
  <c r="H207" i="3"/>
  <c r="F207" i="3"/>
  <c r="F206" i="3" s="1"/>
  <c r="H206" i="3"/>
  <c r="H205" i="3"/>
  <c r="H204" i="3" s="1"/>
  <c r="H203" i="3" s="1"/>
  <c r="G205" i="3"/>
  <c r="F205" i="3"/>
  <c r="G204" i="3"/>
  <c r="G203" i="3" s="1"/>
  <c r="F204" i="3"/>
  <c r="F203" i="3" s="1"/>
  <c r="H201" i="3"/>
  <c r="H200" i="3" s="1"/>
  <c r="G201" i="3"/>
  <c r="F201" i="3"/>
  <c r="G200" i="3"/>
  <c r="F200" i="3"/>
  <c r="H199" i="3"/>
  <c r="G199" i="3"/>
  <c r="G198" i="3" s="1"/>
  <c r="G197" i="3" s="1"/>
  <c r="F199" i="3"/>
  <c r="H198" i="3"/>
  <c r="F198" i="3"/>
  <c r="F197" i="3" s="1"/>
  <c r="H197" i="3"/>
  <c r="H196" i="3"/>
  <c r="H195" i="3" s="1"/>
  <c r="H194" i="3" s="1"/>
  <c r="G196" i="3"/>
  <c r="F196" i="3"/>
  <c r="F195" i="3" s="1"/>
  <c r="F194" i="3" s="1"/>
  <c r="G195" i="3"/>
  <c r="G194" i="3" s="1"/>
  <c r="H192" i="3"/>
  <c r="G192" i="3"/>
  <c r="G191" i="3" s="1"/>
  <c r="F192" i="3"/>
  <c r="H191" i="3"/>
  <c r="F191" i="3"/>
  <c r="H189" i="3"/>
  <c r="G189" i="3"/>
  <c r="G188" i="3" s="1"/>
  <c r="F189" i="3"/>
  <c r="H188" i="3"/>
  <c r="F188" i="3"/>
  <c r="H186" i="3"/>
  <c r="G186" i="3"/>
  <c r="G185" i="3" s="1"/>
  <c r="F186" i="3"/>
  <c r="H185" i="3"/>
  <c r="H184" i="3" s="1"/>
  <c r="H183" i="3" s="1"/>
  <c r="F185" i="3"/>
  <c r="F184" i="3" s="1"/>
  <c r="F183" i="3" s="1"/>
  <c r="H181" i="3"/>
  <c r="G181" i="3"/>
  <c r="G180" i="3" s="1"/>
  <c r="F181" i="3"/>
  <c r="H180" i="3"/>
  <c r="F180" i="3"/>
  <c r="H178" i="3"/>
  <c r="H177" i="3" s="1"/>
  <c r="H176" i="3" s="1"/>
  <c r="G178" i="3"/>
  <c r="F178" i="3"/>
  <c r="F177" i="3" s="1"/>
  <c r="F176" i="3" s="1"/>
  <c r="G177" i="3"/>
  <c r="G176" i="3" s="1"/>
  <c r="H175" i="3"/>
  <c r="G175" i="3"/>
  <c r="G174" i="3" s="1"/>
  <c r="G173" i="3" s="1"/>
  <c r="F175" i="3"/>
  <c r="H174" i="3"/>
  <c r="H173" i="3" s="1"/>
  <c r="F174" i="3"/>
  <c r="F173" i="3" s="1"/>
  <c r="H171" i="3"/>
  <c r="H170" i="3" s="1"/>
  <c r="G171" i="3"/>
  <c r="F171" i="3"/>
  <c r="F170" i="3" s="1"/>
  <c r="G170" i="3"/>
  <c r="F169" i="3"/>
  <c r="F168" i="3" s="1"/>
  <c r="F167" i="3" s="1"/>
  <c r="H168" i="3"/>
  <c r="G168" i="3"/>
  <c r="G167" i="3" s="1"/>
  <c r="H167" i="3"/>
  <c r="H165" i="3"/>
  <c r="G165" i="3"/>
  <c r="G164" i="3" s="1"/>
  <c r="F165" i="3"/>
  <c r="H164" i="3"/>
  <c r="F164" i="3"/>
  <c r="H162" i="3"/>
  <c r="G162" i="3"/>
  <c r="F162" i="3"/>
  <c r="H160" i="3"/>
  <c r="H159" i="3" s="1"/>
  <c r="H158" i="3" s="1"/>
  <c r="H150" i="3" s="1"/>
  <c r="G160" i="3"/>
  <c r="F160" i="3"/>
  <c r="F159" i="3" s="1"/>
  <c r="F158" i="3" s="1"/>
  <c r="G159" i="3"/>
  <c r="G158" i="3" s="1"/>
  <c r="F157" i="3"/>
  <c r="G108" i="4" s="1"/>
  <c r="G107" i="4" s="1"/>
  <c r="H156" i="3"/>
  <c r="G156" i="3"/>
  <c r="F156" i="3"/>
  <c r="H155" i="3"/>
  <c r="I106" i="4" s="1"/>
  <c r="G155" i="3"/>
  <c r="H106" i="4" s="1"/>
  <c r="F155" i="3"/>
  <c r="G106" i="4" s="1"/>
  <c r="H154" i="3"/>
  <c r="G154" i="3"/>
  <c r="F154" i="3"/>
  <c r="H153" i="3"/>
  <c r="G153" i="3"/>
  <c r="G152" i="3" s="1"/>
  <c r="G151" i="3" s="1"/>
  <c r="G150" i="3" s="1"/>
  <c r="F153" i="3"/>
  <c r="F152" i="3" s="1"/>
  <c r="F151" i="3" s="1"/>
  <c r="F150" i="3" s="1"/>
  <c r="H152" i="3"/>
  <c r="H151" i="3"/>
  <c r="H148" i="3"/>
  <c r="G148" i="3"/>
  <c r="F148" i="3"/>
  <c r="F147" i="3"/>
  <c r="H146" i="3"/>
  <c r="G146" i="3"/>
  <c r="F146" i="3"/>
  <c r="H145" i="3"/>
  <c r="G145" i="3"/>
  <c r="F145" i="3"/>
  <c r="H143" i="3"/>
  <c r="G143" i="3"/>
  <c r="F143" i="3"/>
  <c r="H142" i="3"/>
  <c r="H141" i="3" s="1"/>
  <c r="H140" i="3" s="1"/>
  <c r="G142" i="3"/>
  <c r="F142" i="3"/>
  <c r="G141" i="3"/>
  <c r="F141" i="3"/>
  <c r="G140" i="3"/>
  <c r="F140" i="3"/>
  <c r="H139" i="3"/>
  <c r="G139" i="3"/>
  <c r="F139" i="3"/>
  <c r="F138" i="3" s="1"/>
  <c r="F137" i="3" s="1"/>
  <c r="H138" i="3"/>
  <c r="G138" i="3"/>
  <c r="H137" i="3"/>
  <c r="G137" i="3"/>
  <c r="H135" i="3"/>
  <c r="G135" i="3"/>
  <c r="F135" i="3"/>
  <c r="H134" i="3"/>
  <c r="G134" i="3"/>
  <c r="F134" i="3"/>
  <c r="F133" i="3" s="1"/>
  <c r="F132" i="3" s="1"/>
  <c r="H133" i="3"/>
  <c r="G133" i="3"/>
  <c r="H132" i="3"/>
  <c r="G132" i="3"/>
  <c r="H130" i="3"/>
  <c r="G130" i="3"/>
  <c r="F130" i="3"/>
  <c r="H128" i="3"/>
  <c r="G128" i="3"/>
  <c r="F128" i="3"/>
  <c r="F127" i="3" s="1"/>
  <c r="H127" i="3"/>
  <c r="G127" i="3"/>
  <c r="H123" i="3"/>
  <c r="G123" i="3"/>
  <c r="F123" i="3"/>
  <c r="F122" i="3" s="1"/>
  <c r="H122" i="3"/>
  <c r="G122" i="3"/>
  <c r="H120" i="3"/>
  <c r="H119" i="3" s="1"/>
  <c r="H114" i="3" s="1"/>
  <c r="G120" i="3"/>
  <c r="G119" i="3" s="1"/>
  <c r="G114" i="3" s="1"/>
  <c r="F120" i="3"/>
  <c r="F119" i="3"/>
  <c r="H117" i="3"/>
  <c r="G117" i="3"/>
  <c r="F117" i="3"/>
  <c r="F116" i="3" s="1"/>
  <c r="H116" i="3"/>
  <c r="H115" i="3" s="1"/>
  <c r="G116" i="3"/>
  <c r="G115" i="3"/>
  <c r="H112" i="3"/>
  <c r="G112" i="3"/>
  <c r="F112" i="3"/>
  <c r="H111" i="3"/>
  <c r="I69" i="4" s="1"/>
  <c r="I68" i="4" s="1"/>
  <c r="G111" i="3"/>
  <c r="H69" i="4" s="1"/>
  <c r="H68" i="4" s="1"/>
  <c r="F111" i="3"/>
  <c r="G69" i="4" s="1"/>
  <c r="G68" i="4" s="1"/>
  <c r="G110" i="3"/>
  <c r="F110" i="3"/>
  <c r="H109" i="3"/>
  <c r="I67" i="4" s="1"/>
  <c r="I66" i="4" s="1"/>
  <c r="G109" i="3"/>
  <c r="H67" i="4" s="1"/>
  <c r="H66" i="4" s="1"/>
  <c r="F109" i="3"/>
  <c r="G67" i="4" s="1"/>
  <c r="G66" i="4" s="1"/>
  <c r="H106" i="3"/>
  <c r="H103" i="3" s="1"/>
  <c r="G106" i="3"/>
  <c r="F106" i="3"/>
  <c r="G103" i="3"/>
  <c r="F103" i="3"/>
  <c r="H101" i="3"/>
  <c r="G101" i="3"/>
  <c r="F101" i="3"/>
  <c r="H100" i="3"/>
  <c r="I57" i="4" s="1"/>
  <c r="I56" i="4" s="1"/>
  <c r="I55" i="4" s="1"/>
  <c r="G100" i="3"/>
  <c r="H57" i="4" s="1"/>
  <c r="H56" i="4" s="1"/>
  <c r="H55" i="4" s="1"/>
  <c r="F100" i="3"/>
  <c r="G57" i="4" s="1"/>
  <c r="G56" i="4" s="1"/>
  <c r="G55" i="4" s="1"/>
  <c r="G99" i="3"/>
  <c r="G98" i="3" s="1"/>
  <c r="F99" i="3"/>
  <c r="F98" i="3"/>
  <c r="H96" i="3"/>
  <c r="G96" i="3"/>
  <c r="F96" i="3"/>
  <c r="H95" i="3"/>
  <c r="I52" i="4" s="1"/>
  <c r="I51" i="4" s="1"/>
  <c r="I50" i="4" s="1"/>
  <c r="G95" i="3"/>
  <c r="H52" i="4" s="1"/>
  <c r="H51" i="4" s="1"/>
  <c r="H50" i="4" s="1"/>
  <c r="F95" i="3"/>
  <c r="G52" i="4" s="1"/>
  <c r="G51" i="4" s="1"/>
  <c r="G50" i="4" s="1"/>
  <c r="G94" i="3"/>
  <c r="G93" i="3" s="1"/>
  <c r="F94" i="3"/>
  <c r="F93" i="3"/>
  <c r="H92" i="3"/>
  <c r="I49" i="4" s="1"/>
  <c r="I48" i="4" s="1"/>
  <c r="G92" i="3"/>
  <c r="H49" i="4" s="1"/>
  <c r="H48" i="4" s="1"/>
  <c r="F92" i="3"/>
  <c r="G49" i="4" s="1"/>
  <c r="G48" i="4" s="1"/>
  <c r="H91" i="3"/>
  <c r="G91" i="3"/>
  <c r="F91" i="3"/>
  <c r="H89" i="3"/>
  <c r="G89" i="3"/>
  <c r="G88" i="3" s="1"/>
  <c r="F89" i="3"/>
  <c r="H88" i="3"/>
  <c r="F88" i="3"/>
  <c r="H85" i="3"/>
  <c r="G85" i="3"/>
  <c r="G84" i="3" s="1"/>
  <c r="G83" i="3" s="1"/>
  <c r="F85" i="3"/>
  <c r="H84" i="3"/>
  <c r="H83" i="3" s="1"/>
  <c r="F84" i="3"/>
  <c r="F83" i="3" s="1"/>
  <c r="H78" i="3"/>
  <c r="G78" i="3"/>
  <c r="G77" i="3" s="1"/>
  <c r="F78" i="3"/>
  <c r="H77" i="3"/>
  <c r="H76" i="3" s="1"/>
  <c r="H75" i="3" s="1"/>
  <c r="F77" i="3"/>
  <c r="F74" i="3" s="1"/>
  <c r="H74" i="3"/>
  <c r="H72" i="3"/>
  <c r="G72" i="3"/>
  <c r="F72" i="3"/>
  <c r="H71" i="3"/>
  <c r="G71" i="3"/>
  <c r="G70" i="3" s="1"/>
  <c r="F71" i="3"/>
  <c r="H70" i="3"/>
  <c r="F70" i="3"/>
  <c r="H69" i="3"/>
  <c r="H67" i="3" s="1"/>
  <c r="G69" i="3"/>
  <c r="G67" i="3" s="1"/>
  <c r="F69" i="3"/>
  <c r="H68" i="3"/>
  <c r="F68" i="3"/>
  <c r="F67" i="3"/>
  <c r="H65" i="3"/>
  <c r="G65" i="3"/>
  <c r="F65" i="3"/>
  <c r="F64" i="3"/>
  <c r="G1019" i="4" s="1"/>
  <c r="G1018" i="4" s="1"/>
  <c r="G1015" i="4" s="1"/>
  <c r="G1014" i="4" s="1"/>
  <c r="G1013" i="4" s="1"/>
  <c r="G1012" i="4" s="1"/>
  <c r="H63" i="3"/>
  <c r="H60" i="3" s="1"/>
  <c r="G63" i="3"/>
  <c r="F63" i="3"/>
  <c r="H61" i="3"/>
  <c r="G61" i="3"/>
  <c r="F61" i="3"/>
  <c r="G60" i="3"/>
  <c r="F60" i="3"/>
  <c r="H58" i="3"/>
  <c r="G58" i="3"/>
  <c r="F58" i="3"/>
  <c r="H56" i="3"/>
  <c r="G56" i="3"/>
  <c r="H55" i="3"/>
  <c r="I692" i="4" s="1"/>
  <c r="I691" i="4" s="1"/>
  <c r="I688" i="4" s="1"/>
  <c r="G55" i="3"/>
  <c r="H692" i="4" s="1"/>
  <c r="H691" i="4" s="1"/>
  <c r="F55" i="3"/>
  <c r="G692" i="4" s="1"/>
  <c r="G691" i="4" s="1"/>
  <c r="F54" i="3"/>
  <c r="G53" i="3"/>
  <c r="H690" i="4" s="1"/>
  <c r="H689" i="4" s="1"/>
  <c r="H52" i="3"/>
  <c r="F52" i="3"/>
  <c r="F51" i="3" s="1"/>
  <c r="H43" i="3"/>
  <c r="G43" i="3"/>
  <c r="F43" i="3"/>
  <c r="H42" i="3"/>
  <c r="I27" i="4" s="1"/>
  <c r="I26" i="4" s="1"/>
  <c r="I23" i="4" s="1"/>
  <c r="I22" i="4" s="1"/>
  <c r="I21" i="4" s="1"/>
  <c r="I20" i="4" s="1"/>
  <c r="G42" i="3"/>
  <c r="H27" i="4" s="1"/>
  <c r="H26" i="4" s="1"/>
  <c r="H23" i="4" s="1"/>
  <c r="H22" i="4" s="1"/>
  <c r="H21" i="4" s="1"/>
  <c r="H20" i="4" s="1"/>
  <c r="G41" i="3"/>
  <c r="F41" i="3"/>
  <c r="H39" i="3"/>
  <c r="G39" i="3"/>
  <c r="G38" i="3" s="1"/>
  <c r="F39" i="3"/>
  <c r="F38" i="3" s="1"/>
  <c r="H33" i="3"/>
  <c r="G33" i="3"/>
  <c r="F33" i="3"/>
  <c r="F32" i="3"/>
  <c r="G679" i="4" s="1"/>
  <c r="G678" i="4" s="1"/>
  <c r="H31" i="3"/>
  <c r="G31" i="3"/>
  <c r="H29" i="3"/>
  <c r="H28" i="3" s="1"/>
  <c r="G29" i="3"/>
  <c r="G28" i="3" s="1"/>
  <c r="F29" i="3"/>
  <c r="H26" i="3"/>
  <c r="G26" i="3"/>
  <c r="F26" i="3"/>
  <c r="H25" i="3"/>
  <c r="G25" i="3"/>
  <c r="H672" i="4" s="1"/>
  <c r="H671" i="4" s="1"/>
  <c r="H670" i="4" s="1"/>
  <c r="F25" i="3"/>
  <c r="G672" i="4" s="1"/>
  <c r="G671" i="4" s="1"/>
  <c r="G670" i="4" s="1"/>
  <c r="G24" i="3"/>
  <c r="G23" i="3" s="1"/>
  <c r="G20" i="3"/>
  <c r="H19" i="3"/>
  <c r="H18" i="3" s="1"/>
  <c r="G19" i="3"/>
  <c r="G18" i="3" s="1"/>
  <c r="G17" i="3" s="1"/>
  <c r="G14" i="3" s="1"/>
  <c r="F19" i="3"/>
  <c r="F18" i="3" s="1"/>
  <c r="F17" i="3" s="1"/>
  <c r="H17" i="3"/>
  <c r="H14" i="3" s="1"/>
  <c r="G16" i="3"/>
  <c r="G15" i="3" s="1"/>
  <c r="F100" i="2"/>
  <c r="F53" i="5" s="1"/>
  <c r="E100" i="2"/>
  <c r="E53" i="5" s="1"/>
  <c r="D100" i="2"/>
  <c r="D53" i="5" s="1"/>
  <c r="F99" i="2"/>
  <c r="F54" i="5" s="1"/>
  <c r="E99" i="2"/>
  <c r="E54" i="5" s="1"/>
  <c r="D99" i="2"/>
  <c r="D54" i="5" s="1"/>
  <c r="D98" i="2"/>
  <c r="F97" i="2"/>
  <c r="E97" i="2"/>
  <c r="D97" i="2"/>
  <c r="F96" i="2"/>
  <c r="E96" i="2"/>
  <c r="D96" i="2"/>
  <c r="F95" i="2"/>
  <c r="D95" i="2"/>
  <c r="E94" i="2"/>
  <c r="E319" i="5" s="1"/>
  <c r="D94" i="2"/>
  <c r="D319" i="5" s="1"/>
  <c r="E93" i="2"/>
  <c r="E320" i="5" s="1"/>
  <c r="D93" i="2"/>
  <c r="D320" i="5" s="1"/>
  <c r="F92" i="2"/>
  <c r="F318" i="5" s="1"/>
  <c r="E92" i="2"/>
  <c r="E318" i="5" s="1"/>
  <c r="D92" i="2"/>
  <c r="D318" i="5" s="1"/>
  <c r="C92" i="2"/>
  <c r="F91" i="2"/>
  <c r="E91" i="2"/>
  <c r="D91" i="2"/>
  <c r="F90" i="2"/>
  <c r="F107" i="5" s="1"/>
  <c r="E90" i="2"/>
  <c r="E107" i="5" s="1"/>
  <c r="D90" i="2"/>
  <c r="D107" i="5" s="1"/>
  <c r="F89" i="2"/>
  <c r="F327" i="5" s="1"/>
  <c r="E89" i="2"/>
  <c r="E327" i="5" s="1"/>
  <c r="D89" i="2"/>
  <c r="D327" i="5" s="1"/>
  <c r="F87" i="2"/>
  <c r="E87" i="2"/>
  <c r="D87" i="2"/>
  <c r="F85" i="2"/>
  <c r="F324" i="5" s="1"/>
  <c r="E85" i="2"/>
  <c r="E324" i="5" s="1"/>
  <c r="D85" i="2"/>
  <c r="D239" i="5" s="1"/>
  <c r="D84" i="2"/>
  <c r="D241" i="5" s="1"/>
  <c r="F845" i="3" s="1"/>
  <c r="F82" i="2"/>
  <c r="F326" i="5" s="1"/>
  <c r="E82" i="2"/>
  <c r="E326" i="5" s="1"/>
  <c r="D82" i="2"/>
  <c r="D326" i="5" s="1"/>
  <c r="C80" i="2"/>
  <c r="F79" i="2"/>
  <c r="F323" i="5" s="1"/>
  <c r="E79" i="2"/>
  <c r="E323" i="5" s="1"/>
  <c r="D79" i="2"/>
  <c r="D323" i="5" s="1"/>
  <c r="F78" i="2"/>
  <c r="F322" i="5" s="1"/>
  <c r="E78" i="2"/>
  <c r="E322" i="5" s="1"/>
  <c r="D78" i="2"/>
  <c r="D322" i="5" s="1"/>
  <c r="F76" i="2"/>
  <c r="F49" i="5" s="1"/>
  <c r="E76" i="2"/>
  <c r="E49" i="5" s="1"/>
  <c r="D76" i="2"/>
  <c r="D49" i="5" s="1"/>
  <c r="F75" i="2"/>
  <c r="F68" i="5" s="1"/>
  <c r="E75" i="2"/>
  <c r="E68" i="5" s="1"/>
  <c r="D75" i="2"/>
  <c r="D68" i="5" s="1"/>
  <c r="C73" i="2"/>
  <c r="C72" i="2" s="1"/>
  <c r="D71" i="2"/>
  <c r="D146" i="5" s="1"/>
  <c r="F58" i="2"/>
  <c r="E58" i="2"/>
  <c r="D58" i="2"/>
  <c r="C58" i="2"/>
  <c r="F57" i="2"/>
  <c r="F328" i="5" s="1"/>
  <c r="H261" i="3" s="1"/>
  <c r="E57" i="2"/>
  <c r="E264" i="5" s="1"/>
  <c r="D57" i="2"/>
  <c r="D264" i="5" s="1"/>
  <c r="F56" i="2"/>
  <c r="F159" i="5" s="1"/>
  <c r="E56" i="2"/>
  <c r="E159" i="5" s="1"/>
  <c r="D56" i="2"/>
  <c r="D159" i="5" s="1"/>
  <c r="E55" i="2"/>
  <c r="E90" i="5" s="1"/>
  <c r="D55" i="2"/>
  <c r="D90" i="5" s="1"/>
  <c r="F51" i="2"/>
  <c r="F250" i="5" s="1"/>
  <c r="E51" i="2"/>
  <c r="E250" i="5" s="1"/>
  <c r="D51" i="2"/>
  <c r="D250" i="5" s="1"/>
  <c r="C46" i="2"/>
  <c r="F43" i="2"/>
  <c r="E43" i="2"/>
  <c r="D43" i="2"/>
  <c r="C43" i="2"/>
  <c r="D39" i="2"/>
  <c r="C39" i="2"/>
  <c r="D38" i="2"/>
  <c r="D37" i="2"/>
  <c r="D35" i="2"/>
  <c r="F34" i="2"/>
  <c r="E34" i="2"/>
  <c r="D34" i="2"/>
  <c r="C34" i="2"/>
  <c r="D32" i="2"/>
  <c r="D31" i="2" s="1"/>
  <c r="F31" i="2"/>
  <c r="E31" i="2"/>
  <c r="C31" i="2"/>
  <c r="F29" i="2"/>
  <c r="E29" i="2"/>
  <c r="E10" i="2" s="1"/>
  <c r="D29" i="2"/>
  <c r="C29" i="2"/>
  <c r="D27" i="2"/>
  <c r="D25" i="2"/>
  <c r="D22" i="2" s="1"/>
  <c r="D10" i="2" s="1"/>
  <c r="F22" i="2"/>
  <c r="E22" i="2"/>
  <c r="C22" i="2"/>
  <c r="C10" i="2" s="1"/>
  <c r="D21" i="2"/>
  <c r="F20" i="2"/>
  <c r="E20" i="2"/>
  <c r="D20" i="2"/>
  <c r="C20" i="2"/>
  <c r="F15" i="2"/>
  <c r="E15" i="2"/>
  <c r="D15" i="2"/>
  <c r="C15" i="2"/>
  <c r="F13" i="2"/>
  <c r="E13" i="2"/>
  <c r="D13" i="2"/>
  <c r="C13" i="2"/>
  <c r="F11" i="2"/>
  <c r="E11" i="2"/>
  <c r="D11" i="2"/>
  <c r="C11" i="2"/>
  <c r="F10" i="2"/>
  <c r="D17" i="1"/>
  <c r="D15" i="1" s="1"/>
  <c r="C17" i="1"/>
  <c r="C15" i="1" s="1"/>
  <c r="E15" i="1"/>
  <c r="D13" i="1"/>
  <c r="E13" i="1" s="1"/>
  <c r="E12" i="1" s="1"/>
  <c r="C12" i="1"/>
  <c r="F16" i="3" l="1"/>
  <c r="F15" i="3" s="1"/>
  <c r="F14" i="3"/>
  <c r="C42" i="2"/>
  <c r="C41" i="2" s="1"/>
  <c r="C103" i="2" s="1"/>
  <c r="G837" i="4"/>
  <c r="G836" i="4" s="1"/>
  <c r="G835" i="4" s="1"/>
  <c r="F516" i="3"/>
  <c r="F515" i="3" s="1"/>
  <c r="F514" i="3" s="1"/>
  <c r="H834" i="4"/>
  <c r="H833" i="4" s="1"/>
  <c r="H832" i="4" s="1"/>
  <c r="G513" i="3"/>
  <c r="G512" i="3" s="1"/>
  <c r="G511" i="3" s="1"/>
  <c r="G22" i="3"/>
  <c r="G21" i="3" s="1"/>
  <c r="F37" i="3"/>
  <c r="F36" i="3" s="1"/>
  <c r="F35" i="3"/>
  <c r="G76" i="3"/>
  <c r="G75" i="3" s="1"/>
  <c r="G74" i="3"/>
  <c r="H126" i="3"/>
  <c r="H125" i="3" s="1"/>
  <c r="F179" i="3"/>
  <c r="G184" i="3"/>
  <c r="G183" i="3" s="1"/>
  <c r="G231" i="3"/>
  <c r="H264" i="3"/>
  <c r="H263" i="3" s="1"/>
  <c r="H302" i="3"/>
  <c r="H301" i="3" s="1"/>
  <c r="H283" i="3"/>
  <c r="H409" i="3"/>
  <c r="H408" i="3" s="1"/>
  <c r="H407" i="3"/>
  <c r="H406" i="3" s="1"/>
  <c r="F419" i="3"/>
  <c r="F418" i="3" s="1"/>
  <c r="H448" i="3"/>
  <c r="D46" i="2"/>
  <c r="E251" i="5"/>
  <c r="H581" i="4"/>
  <c r="H580" i="4" s="1"/>
  <c r="H579" i="4" s="1"/>
  <c r="G868" i="3"/>
  <c r="G867" i="3" s="1"/>
  <c r="G866" i="3" s="1"/>
  <c r="D158" i="5"/>
  <c r="F716" i="3"/>
  <c r="E263" i="5"/>
  <c r="G258" i="3"/>
  <c r="G257" i="3" s="1"/>
  <c r="G256" i="3" s="1"/>
  <c r="D73" i="2"/>
  <c r="D72" i="2" s="1"/>
  <c r="E56" i="5"/>
  <c r="H757" i="4"/>
  <c r="H756" i="4" s="1"/>
  <c r="H755" i="4" s="1"/>
  <c r="G436" i="3"/>
  <c r="G435" i="3" s="1"/>
  <c r="G434" i="3" s="1"/>
  <c r="G433" i="3" s="1"/>
  <c r="G432" i="3" s="1"/>
  <c r="F13" i="5"/>
  <c r="I831" i="4"/>
  <c r="I830" i="4" s="1"/>
  <c r="I829" i="4" s="1"/>
  <c r="I820" i="4" s="1"/>
  <c r="I819" i="4" s="1"/>
  <c r="I818" i="4" s="1"/>
  <c r="H510" i="3"/>
  <c r="H509" i="3" s="1"/>
  <c r="H508" i="3" s="1"/>
  <c r="G342" i="4"/>
  <c r="G341" i="4" s="1"/>
  <c r="G340" i="4" s="1"/>
  <c r="F403" i="3"/>
  <c r="F402" i="3" s="1"/>
  <c r="F401" i="3" s="1"/>
  <c r="D238" i="5"/>
  <c r="E69" i="5"/>
  <c r="G829" i="3"/>
  <c r="I36" i="4"/>
  <c r="I35" i="4" s="1"/>
  <c r="I34" i="4" s="1"/>
  <c r="H47" i="3"/>
  <c r="H46" i="3" s="1"/>
  <c r="H45" i="3" s="1"/>
  <c r="D315" i="5"/>
  <c r="F104" i="3"/>
  <c r="D317" i="5"/>
  <c r="F108" i="3"/>
  <c r="F86" i="3" s="1"/>
  <c r="H837" i="4"/>
  <c r="H836" i="4" s="1"/>
  <c r="H835" i="4" s="1"/>
  <c r="G516" i="3"/>
  <c r="G515" i="3" s="1"/>
  <c r="G514" i="3" s="1"/>
  <c r="I834" i="4"/>
  <c r="I833" i="4" s="1"/>
  <c r="I832" i="4" s="1"/>
  <c r="H513" i="3"/>
  <c r="H512" i="3" s="1"/>
  <c r="H511" i="3" s="1"/>
  <c r="G35" i="3"/>
  <c r="G37" i="3"/>
  <c r="G36" i="3" s="1"/>
  <c r="G80" i="3"/>
  <c r="G82" i="3"/>
  <c r="G81" i="3" s="1"/>
  <c r="F126" i="3"/>
  <c r="F125" i="3" s="1"/>
  <c r="G126" i="3"/>
  <c r="G125" i="3" s="1"/>
  <c r="H179" i="3"/>
  <c r="G264" i="3"/>
  <c r="G263" i="3" s="1"/>
  <c r="F262" i="3"/>
  <c r="F264" i="3"/>
  <c r="F263" i="3" s="1"/>
  <c r="F341" i="3"/>
  <c r="H485" i="3"/>
  <c r="F557" i="3"/>
  <c r="D249" i="5"/>
  <c r="G581" i="4"/>
  <c r="G580" i="4" s="1"/>
  <c r="G579" i="4" s="1"/>
  <c r="G578" i="4" s="1"/>
  <c r="F868" i="3"/>
  <c r="F867" i="3" s="1"/>
  <c r="F866" i="3" s="1"/>
  <c r="F865" i="3" s="1"/>
  <c r="E91" i="5"/>
  <c r="H911" i="4"/>
  <c r="H910" i="4" s="1"/>
  <c r="H909" i="4" s="1"/>
  <c r="G626" i="3"/>
  <c r="G625" i="3" s="1"/>
  <c r="G624" i="3" s="1"/>
  <c r="D263" i="5"/>
  <c r="F258" i="3"/>
  <c r="F257" i="3" s="1"/>
  <c r="F256" i="3" s="1"/>
  <c r="H831" i="4"/>
  <c r="H830" i="4" s="1"/>
  <c r="H829" i="4" s="1"/>
  <c r="H820" i="4" s="1"/>
  <c r="H819" i="4" s="1"/>
  <c r="H818" i="4" s="1"/>
  <c r="G510" i="3"/>
  <c r="G509" i="3" s="1"/>
  <c r="G508" i="3" s="1"/>
  <c r="G501" i="3" s="1"/>
  <c r="G500" i="3" s="1"/>
  <c r="G499" i="3" s="1"/>
  <c r="H36" i="4"/>
  <c r="H35" i="4" s="1"/>
  <c r="H34" i="4" s="1"/>
  <c r="G47" i="3"/>
  <c r="G46" i="3" s="1"/>
  <c r="G45" i="3" s="1"/>
  <c r="D12" i="1"/>
  <c r="E46" i="2"/>
  <c r="F251" i="5"/>
  <c r="I581" i="4"/>
  <c r="I580" i="4" s="1"/>
  <c r="I579" i="4" s="1"/>
  <c r="H868" i="3"/>
  <c r="H867" i="3" s="1"/>
  <c r="H866" i="3" s="1"/>
  <c r="E160" i="5"/>
  <c r="G719" i="3" s="1"/>
  <c r="E158" i="5"/>
  <c r="G716" i="3"/>
  <c r="I203" i="4"/>
  <c r="I202" i="4" s="1"/>
  <c r="H260" i="3"/>
  <c r="H259" i="3" s="1"/>
  <c r="E73" i="2"/>
  <c r="I757" i="4"/>
  <c r="I756" i="4" s="1"/>
  <c r="I755" i="4" s="1"/>
  <c r="H436" i="3"/>
  <c r="H435" i="3" s="1"/>
  <c r="H434" i="3" s="1"/>
  <c r="H433" i="3" s="1"/>
  <c r="H432" i="3" s="1"/>
  <c r="H342" i="4"/>
  <c r="H341" i="4" s="1"/>
  <c r="H340" i="4" s="1"/>
  <c r="G403" i="3"/>
  <c r="G402" i="3" s="1"/>
  <c r="G401" i="3" s="1"/>
  <c r="F69" i="5"/>
  <c r="H829" i="3"/>
  <c r="D105" i="5"/>
  <c r="G848" i="4"/>
  <c r="G847" i="4" s="1"/>
  <c r="G846" i="4" s="1"/>
  <c r="F527" i="3"/>
  <c r="F526" i="3" s="1"/>
  <c r="F525" i="3" s="1"/>
  <c r="E315" i="5"/>
  <c r="G104" i="3"/>
  <c r="E317" i="5"/>
  <c r="G108" i="3"/>
  <c r="G86" i="3" s="1"/>
  <c r="I837" i="4"/>
  <c r="I836" i="4" s="1"/>
  <c r="I835" i="4" s="1"/>
  <c r="H516" i="3"/>
  <c r="H515" i="3" s="1"/>
  <c r="H514" i="3" s="1"/>
  <c r="F50" i="3"/>
  <c r="F49" i="3" s="1"/>
  <c r="F48" i="3"/>
  <c r="F80" i="3"/>
  <c r="F82" i="3"/>
  <c r="F81" i="3" s="1"/>
  <c r="G87" i="3"/>
  <c r="G248" i="3"/>
  <c r="I201" i="4"/>
  <c r="I200" i="4" s="1"/>
  <c r="H248" i="3"/>
  <c r="H247" i="3" s="1"/>
  <c r="H255" i="3"/>
  <c r="F302" i="3"/>
  <c r="F301" i="3" s="1"/>
  <c r="F283" i="3"/>
  <c r="G417" i="3"/>
  <c r="H521" i="3"/>
  <c r="H520" i="3" s="1"/>
  <c r="H583" i="3"/>
  <c r="H584" i="3"/>
  <c r="G757" i="4"/>
  <c r="G756" i="4" s="1"/>
  <c r="G755" i="4" s="1"/>
  <c r="F436" i="3"/>
  <c r="F435" i="3" s="1"/>
  <c r="F434" i="3" s="1"/>
  <c r="F433" i="3" s="1"/>
  <c r="F432" i="3" s="1"/>
  <c r="G558" i="4"/>
  <c r="G557" i="4" s="1"/>
  <c r="G554" i="4" s="1"/>
  <c r="F844" i="3"/>
  <c r="F841" i="3" s="1"/>
  <c r="F840" i="3" s="1"/>
  <c r="D69" i="5"/>
  <c r="F829" i="3"/>
  <c r="F105" i="5"/>
  <c r="I848" i="4"/>
  <c r="I847" i="4" s="1"/>
  <c r="I846" i="4" s="1"/>
  <c r="H527" i="3"/>
  <c r="H526" i="3" s="1"/>
  <c r="H525" i="3" s="1"/>
  <c r="F46" i="2"/>
  <c r="F42" i="2" s="1"/>
  <c r="F41" i="2" s="1"/>
  <c r="F103" i="2" s="1"/>
  <c r="D89" i="5"/>
  <c r="G911" i="4"/>
  <c r="G910" i="4" s="1"/>
  <c r="G909" i="4" s="1"/>
  <c r="F626" i="3"/>
  <c r="F625" i="3" s="1"/>
  <c r="F624" i="3" s="1"/>
  <c r="F160" i="5"/>
  <c r="H719" i="3" s="1"/>
  <c r="H716" i="3"/>
  <c r="D147" i="5"/>
  <c r="G643" i="4"/>
  <c r="G642" i="4" s="1"/>
  <c r="G641" i="4" s="1"/>
  <c r="F939" i="3"/>
  <c r="F938" i="3" s="1"/>
  <c r="F937" i="3" s="1"/>
  <c r="F73" i="2"/>
  <c r="F72" i="2" s="1"/>
  <c r="G831" i="4"/>
  <c r="G830" i="4" s="1"/>
  <c r="G829" i="4" s="1"/>
  <c r="F510" i="3"/>
  <c r="F509" i="3" s="1"/>
  <c r="F508" i="3" s="1"/>
  <c r="F501" i="3" s="1"/>
  <c r="F500" i="3" s="1"/>
  <c r="F499" i="3" s="1"/>
  <c r="I342" i="4"/>
  <c r="I341" i="4" s="1"/>
  <c r="I340" i="4" s="1"/>
  <c r="I332" i="4" s="1"/>
  <c r="H403" i="3"/>
  <c r="H402" i="3" s="1"/>
  <c r="H401" i="3" s="1"/>
  <c r="G36" i="4"/>
  <c r="G35" i="4" s="1"/>
  <c r="G34" i="4" s="1"/>
  <c r="F47" i="3"/>
  <c r="F46" i="3" s="1"/>
  <c r="F45" i="3" s="1"/>
  <c r="E105" i="5"/>
  <c r="H848" i="4"/>
  <c r="H847" i="4" s="1"/>
  <c r="H846" i="4" s="1"/>
  <c r="G527" i="3"/>
  <c r="G526" i="3" s="1"/>
  <c r="G525" i="3" s="1"/>
  <c r="G521" i="3" s="1"/>
  <c r="G520" i="3" s="1"/>
  <c r="G446" i="3" s="1"/>
  <c r="F315" i="5"/>
  <c r="H104" i="3"/>
  <c r="E95" i="2"/>
  <c r="F317" i="5"/>
  <c r="H108" i="3"/>
  <c r="G834" i="4"/>
  <c r="G833" i="4" s="1"/>
  <c r="G832" i="4" s="1"/>
  <c r="F513" i="3"/>
  <c r="F512" i="3" s="1"/>
  <c r="F511" i="3" s="1"/>
  <c r="H16" i="3"/>
  <c r="H15" i="3" s="1"/>
  <c r="I672" i="4"/>
  <c r="I671" i="4" s="1"/>
  <c r="I670" i="4" s="1"/>
  <c r="H24" i="3"/>
  <c r="H23" i="3" s="1"/>
  <c r="H20" i="3" s="1"/>
  <c r="H82" i="3"/>
  <c r="H81" i="3" s="1"/>
  <c r="H80" i="3"/>
  <c r="F87" i="3"/>
  <c r="F114" i="3"/>
  <c r="F115" i="3"/>
  <c r="G179" i="3"/>
  <c r="F248" i="3"/>
  <c r="G302" i="3"/>
  <c r="G301" i="3" s="1"/>
  <c r="G283" i="3"/>
  <c r="F318" i="3"/>
  <c r="F372" i="3"/>
  <c r="H419" i="3"/>
  <c r="H418" i="3" s="1"/>
  <c r="F437" i="3"/>
  <c r="F448" i="3"/>
  <c r="G474" i="3"/>
  <c r="G448" i="3" s="1"/>
  <c r="G447" i="3" s="1"/>
  <c r="H501" i="3"/>
  <c r="H500" i="3" s="1"/>
  <c r="H499" i="3" s="1"/>
  <c r="F521" i="3"/>
  <c r="G583" i="3"/>
  <c r="G584" i="3"/>
  <c r="H688" i="4"/>
  <c r="G65" i="4"/>
  <c r="H104" i="4"/>
  <c r="H103" i="4" s="1"/>
  <c r="H102" i="4" s="1"/>
  <c r="H101" i="4" s="1"/>
  <c r="H105" i="4"/>
  <c r="H372" i="3"/>
  <c r="G407" i="3"/>
  <c r="G406" i="3" s="1"/>
  <c r="H518" i="3"/>
  <c r="H517" i="3" s="1"/>
  <c r="H446" i="3" s="1"/>
  <c r="G842" i="4"/>
  <c r="G841" i="4" s="1"/>
  <c r="H557" i="3"/>
  <c r="G571" i="3"/>
  <c r="G570" i="3" s="1"/>
  <c r="G569" i="3" s="1"/>
  <c r="G556" i="3" s="1"/>
  <c r="I379" i="4"/>
  <c r="F574" i="3"/>
  <c r="F573" i="3" s="1"/>
  <c r="F531" i="3" s="1"/>
  <c r="F584" i="3"/>
  <c r="G621" i="3"/>
  <c r="G620" i="3" s="1"/>
  <c r="G895" i="3"/>
  <c r="H965" i="3"/>
  <c r="G68" i="3"/>
  <c r="F76" i="3"/>
  <c r="F75" i="3" s="1"/>
  <c r="H65" i="4"/>
  <c r="I104" i="4"/>
  <c r="I103" i="4" s="1"/>
  <c r="I102" i="4" s="1"/>
  <c r="I101" i="4" s="1"/>
  <c r="I105" i="4"/>
  <c r="H842" i="4"/>
  <c r="H841" i="4" s="1"/>
  <c r="G531" i="3"/>
  <c r="F683" i="3"/>
  <c r="H726" i="3"/>
  <c r="G886" i="3"/>
  <c r="G887" i="3"/>
  <c r="G966" i="3"/>
  <c r="G965" i="3" s="1"/>
  <c r="G964" i="3"/>
  <c r="F31" i="3"/>
  <c r="F28" i="3" s="1"/>
  <c r="F22" i="3" s="1"/>
  <c r="F21" i="3" s="1"/>
  <c r="H41" i="3"/>
  <c r="H38" i="3" s="1"/>
  <c r="G52" i="3"/>
  <c r="G54" i="3"/>
  <c r="I687" i="4"/>
  <c r="I686" i="4" s="1"/>
  <c r="I65" i="4"/>
  <c r="H299" i="3"/>
  <c r="I842" i="4"/>
  <c r="I841" i="4" s="1"/>
  <c r="G379" i="4"/>
  <c r="G368" i="4" s="1"/>
  <c r="G726" i="3"/>
  <c r="G705" i="3" s="1"/>
  <c r="F755" i="3"/>
  <c r="H755" i="3"/>
  <c r="H756" i="3"/>
  <c r="F803" i="3"/>
  <c r="F804" i="3"/>
  <c r="H873" i="3"/>
  <c r="H872" i="3" s="1"/>
  <c r="F964" i="3"/>
  <c r="F966" i="3"/>
  <c r="F965" i="3" s="1"/>
  <c r="F24" i="3"/>
  <c r="F23" i="3" s="1"/>
  <c r="H54" i="3"/>
  <c r="H51" i="3" s="1"/>
  <c r="H94" i="3"/>
  <c r="H93" i="3" s="1"/>
  <c r="H99" i="3"/>
  <c r="H98" i="3" s="1"/>
  <c r="F93" i="2" s="1"/>
  <c r="F320" i="5" s="1"/>
  <c r="H110" i="3"/>
  <c r="G104" i="4"/>
  <c r="G103" i="4" s="1"/>
  <c r="G102" i="4" s="1"/>
  <c r="G101" i="4" s="1"/>
  <c r="G105" i="4"/>
  <c r="G385" i="3"/>
  <c r="G384" i="3" s="1"/>
  <c r="G372" i="3" s="1"/>
  <c r="H439" i="3"/>
  <c r="H438" i="3" s="1"/>
  <c r="H437" i="3" s="1"/>
  <c r="H417" i="3" s="1"/>
  <c r="I408" i="4"/>
  <c r="I407" i="4" s="1"/>
  <c r="I406" i="4" s="1"/>
  <c r="H621" i="3"/>
  <c r="H620" i="3" s="1"/>
  <c r="H705" i="3"/>
  <c r="G873" i="3"/>
  <c r="G872" i="3" s="1"/>
  <c r="H895" i="3"/>
  <c r="H995" i="3"/>
  <c r="I941" i="4"/>
  <c r="I940" i="4"/>
  <c r="I939" i="4" s="1"/>
  <c r="G755" i="3"/>
  <c r="H803" i="3"/>
  <c r="G883" i="3"/>
  <c r="G880" i="3" s="1"/>
  <c r="G602" i="4"/>
  <c r="F976" i="3"/>
  <c r="I45" i="4"/>
  <c r="I44" i="4" s="1"/>
  <c r="G176" i="4"/>
  <c r="I226" i="4"/>
  <c r="H226" i="4"/>
  <c r="H227" i="4"/>
  <c r="I284" i="4"/>
  <c r="I304" i="4"/>
  <c r="I303" i="4" s="1"/>
  <c r="I334" i="4"/>
  <c r="I333" i="4" s="1"/>
  <c r="H369" i="4"/>
  <c r="H368" i="4" s="1"/>
  <c r="H367" i="4"/>
  <c r="H355" i="4" s="1"/>
  <c r="I401" i="4"/>
  <c r="H476" i="4"/>
  <c r="G490" i="4"/>
  <c r="I526" i="4"/>
  <c r="I525" i="4"/>
  <c r="I532" i="4"/>
  <c r="I533" i="4"/>
  <c r="H634" i="3"/>
  <c r="H631" i="3" s="1"/>
  <c r="H601" i="4"/>
  <c r="H600" i="4" s="1"/>
  <c r="H599" i="4"/>
  <c r="H964" i="3"/>
  <c r="G45" i="4"/>
  <c r="G44" i="4" s="1"/>
  <c r="H210" i="4"/>
  <c r="H209" i="4" s="1"/>
  <c r="H204" i="4" s="1"/>
  <c r="G226" i="4"/>
  <c r="G227" i="4"/>
  <c r="I252" i="4"/>
  <c r="H252" i="4"/>
  <c r="G284" i="4"/>
  <c r="G292" i="4"/>
  <c r="H401" i="4"/>
  <c r="I489" i="4"/>
  <c r="H660" i="3"/>
  <c r="H663" i="3"/>
  <c r="H662" i="3" s="1"/>
  <c r="H653" i="3" s="1"/>
  <c r="I601" i="4"/>
  <c r="I600" i="4" s="1"/>
  <c r="I599" i="4"/>
  <c r="H292" i="4"/>
  <c r="H284" i="4"/>
  <c r="I368" i="4"/>
  <c r="G367" i="4"/>
  <c r="H940" i="4"/>
  <c r="H939" i="4" s="1"/>
  <c r="H941" i="4"/>
  <c r="F835" i="3"/>
  <c r="F834" i="3" s="1"/>
  <c r="F833" i="3" s="1"/>
  <c r="F832" i="3" s="1"/>
  <c r="G857" i="3"/>
  <c r="G856" i="3" s="1"/>
  <c r="H858" i="3"/>
  <c r="H889" i="3"/>
  <c r="H888" i="3" s="1"/>
  <c r="F891" i="3"/>
  <c r="F888" i="3" s="1"/>
  <c r="H952" i="3"/>
  <c r="H951" i="3" s="1"/>
  <c r="H950" i="3" s="1"/>
  <c r="G955" i="3"/>
  <c r="G954" i="3" s="1"/>
  <c r="G950" i="3" s="1"/>
  <c r="I998" i="4"/>
  <c r="H45" i="4"/>
  <c r="H44" i="4" s="1"/>
  <c r="H43" i="4" s="1"/>
  <c r="H13" i="4" s="1"/>
  <c r="G79" i="4"/>
  <c r="G78" i="4" s="1"/>
  <c r="I79" i="4"/>
  <c r="I78" i="4" s="1"/>
  <c r="I176" i="4"/>
  <c r="G193" i="4"/>
  <c r="G210" i="4"/>
  <c r="G209" i="4" s="1"/>
  <c r="H263" i="4"/>
  <c r="H262" i="4" s="1"/>
  <c r="G311" i="4"/>
  <c r="I311" i="4"/>
  <c r="I312" i="4"/>
  <c r="G357" i="4"/>
  <c r="G356" i="4" s="1"/>
  <c r="I367" i="4"/>
  <c r="I355" i="4" s="1"/>
  <c r="G401" i="4"/>
  <c r="H428" i="4"/>
  <c r="H454" i="4"/>
  <c r="I476" i="4"/>
  <c r="I494" i="4"/>
  <c r="I507" i="4"/>
  <c r="I490" i="4" s="1"/>
  <c r="G204" i="4"/>
  <c r="H311" i="4"/>
  <c r="I554" i="4"/>
  <c r="I585" i="4"/>
  <c r="I584" i="4" s="1"/>
  <c r="H592" i="4"/>
  <c r="H554" i="4"/>
  <c r="H585" i="4"/>
  <c r="H584" i="4" s="1"/>
  <c r="H608" i="4"/>
  <c r="H607" i="4" s="1"/>
  <c r="H609" i="4"/>
  <c r="G655" i="4"/>
  <c r="G654" i="4"/>
  <c r="I654" i="4"/>
  <c r="I655" i="4"/>
  <c r="H770" i="4"/>
  <c r="H852" i="4"/>
  <c r="H490" i="4"/>
  <c r="H526" i="4"/>
  <c r="H545" i="4"/>
  <c r="H544" i="4" s="1"/>
  <c r="I608" i="4"/>
  <c r="I607" i="4" s="1"/>
  <c r="G675" i="4"/>
  <c r="G669" i="4" s="1"/>
  <c r="G668" i="4" s="1"/>
  <c r="G667" i="4" s="1"/>
  <c r="G666" i="4" s="1"/>
  <c r="I669" i="4"/>
  <c r="I668" i="4" s="1"/>
  <c r="I667" i="4" s="1"/>
  <c r="I666" i="4" s="1"/>
  <c r="H744" i="4"/>
  <c r="G532" i="4"/>
  <c r="I592" i="4"/>
  <c r="G719" i="4"/>
  <c r="G718" i="4" s="1"/>
  <c r="G717" i="4"/>
  <c r="G688" i="4"/>
  <c r="H734" i="4"/>
  <c r="I770" i="4"/>
  <c r="G820" i="4"/>
  <c r="G819" i="4" s="1"/>
  <c r="G818" i="4" s="1"/>
  <c r="D13" i="5"/>
  <c r="I633" i="4"/>
  <c r="I609" i="4" s="1"/>
  <c r="H654" i="4"/>
  <c r="G880" i="4"/>
  <c r="G881" i="4"/>
  <c r="I881" i="4"/>
  <c r="I880" i="4"/>
  <c r="I906" i="4"/>
  <c r="I908" i="4"/>
  <c r="I907" i="4" s="1"/>
  <c r="H717" i="4"/>
  <c r="H746" i="4"/>
  <c r="H745" i="4" s="1"/>
  <c r="G786" i="4"/>
  <c r="G772" i="4" s="1"/>
  <c r="G771" i="4" s="1"/>
  <c r="G793" i="4"/>
  <c r="G770" i="4" s="1"/>
  <c r="H895" i="4"/>
  <c r="H894" i="4" s="1"/>
  <c r="H885" i="4" s="1"/>
  <c r="H675" i="4"/>
  <c r="H669" i="4" s="1"/>
  <c r="H668" i="4" s="1"/>
  <c r="H667" i="4" s="1"/>
  <c r="H666" i="4" s="1"/>
  <c r="I717" i="4"/>
  <c r="I685" i="4" s="1"/>
  <c r="G744" i="4"/>
  <c r="I744" i="4"/>
  <c r="H772" i="4"/>
  <c r="H771" i="4" s="1"/>
  <c r="I800" i="4"/>
  <c r="I772" i="4" s="1"/>
  <c r="I771" i="4" s="1"/>
  <c r="G807" i="4"/>
  <c r="G852" i="4"/>
  <c r="H855" i="4"/>
  <c r="G855" i="4"/>
  <c r="I852" i="4"/>
  <c r="I888" i="4"/>
  <c r="I887" i="4" s="1"/>
  <c r="I886" i="4" s="1"/>
  <c r="I885" i="4" s="1"/>
  <c r="G994" i="4"/>
  <c r="G993" i="4" s="1"/>
  <c r="G992" i="4" s="1"/>
  <c r="I994" i="4"/>
  <c r="I993" i="4" s="1"/>
  <c r="I992" i="4" s="1"/>
  <c r="F56" i="5"/>
  <c r="D73" i="5"/>
  <c r="H994" i="4"/>
  <c r="H993" i="4" s="1"/>
  <c r="H992" i="4" s="1"/>
  <c r="F40" i="5"/>
  <c r="F129" i="5"/>
  <c r="E153" i="5"/>
  <c r="D342" i="5"/>
  <c r="I855" i="4"/>
  <c r="E13" i="5"/>
  <c r="D56" i="5"/>
  <c r="D153" i="5"/>
  <c r="E142" i="5"/>
  <c r="E145" i="5"/>
  <c r="F184" i="5"/>
  <c r="F195" i="5"/>
  <c r="F235" i="5"/>
  <c r="G941" i="4"/>
  <c r="F42" i="5"/>
  <c r="E31" i="5"/>
  <c r="F341" i="5" l="1"/>
  <c r="E19" i="1"/>
  <c r="E129" i="5"/>
  <c r="I743" i="4"/>
  <c r="F887" i="3"/>
  <c r="F886" i="3"/>
  <c r="I43" i="4"/>
  <c r="I13" i="4" s="1"/>
  <c r="G601" i="4"/>
  <c r="G600" i="4" s="1"/>
  <c r="G599" i="4"/>
  <c r="H86" i="3"/>
  <c r="F94" i="2"/>
  <c r="F319" i="5" s="1"/>
  <c r="G894" i="3"/>
  <c r="G893" i="3" s="1"/>
  <c r="G646" i="4"/>
  <c r="G645" i="4" s="1"/>
  <c r="G644" i="4" s="1"/>
  <c r="G640" i="4" s="1"/>
  <c r="G609" i="4" s="1"/>
  <c r="F942" i="3"/>
  <c r="F941" i="3" s="1"/>
  <c r="F940" i="3" s="1"/>
  <c r="F894" i="3" s="1"/>
  <c r="F893" i="3" s="1"/>
  <c r="F158" i="5"/>
  <c r="F153" i="5" s="1"/>
  <c r="F265" i="5" s="1"/>
  <c r="F823" i="3"/>
  <c r="F828" i="3"/>
  <c r="F824" i="3" s="1"/>
  <c r="F830" i="3"/>
  <c r="G985" i="4" s="1"/>
  <c r="H436" i="4"/>
  <c r="H435" i="4" s="1"/>
  <c r="G715" i="3"/>
  <c r="G201" i="4"/>
  <c r="G200" i="4" s="1"/>
  <c r="F255" i="3"/>
  <c r="H914" i="4"/>
  <c r="H913" i="4" s="1"/>
  <c r="H912" i="4" s="1"/>
  <c r="G629" i="3"/>
  <c r="G628" i="3" s="1"/>
  <c r="G627" i="3" s="1"/>
  <c r="F393" i="3"/>
  <c r="F339" i="3" s="1"/>
  <c r="F394" i="3"/>
  <c r="F12" i="5"/>
  <c r="D42" i="2"/>
  <c r="D41" i="2" s="1"/>
  <c r="D103" i="2" s="1"/>
  <c r="C19" i="1" s="1"/>
  <c r="H87" i="3"/>
  <c r="H886" i="3"/>
  <c r="H887" i="3"/>
  <c r="G355" i="4"/>
  <c r="G43" i="4"/>
  <c r="G13" i="4" s="1"/>
  <c r="H48" i="3"/>
  <c r="H50" i="3"/>
  <c r="H49" i="3" s="1"/>
  <c r="G51" i="3"/>
  <c r="H394" i="3"/>
  <c r="H393" i="3"/>
  <c r="H339" i="3" s="1"/>
  <c r="D145" i="5"/>
  <c r="D129" i="5" s="1"/>
  <c r="D265" i="5" s="1"/>
  <c r="D343" i="5" s="1"/>
  <c r="C20" i="1" s="1"/>
  <c r="F623" i="3"/>
  <c r="F619" i="3" s="1"/>
  <c r="F618" i="3"/>
  <c r="G393" i="3"/>
  <c r="G339" i="3" s="1"/>
  <c r="G394" i="3"/>
  <c r="E72" i="2"/>
  <c r="E42" i="2" s="1"/>
  <c r="E41" i="2" s="1"/>
  <c r="E103" i="2" s="1"/>
  <c r="F249" i="5"/>
  <c r="I583" i="4"/>
  <c r="I582" i="4" s="1"/>
  <c r="I578" i="4" s="1"/>
  <c r="H871" i="3"/>
  <c r="H870" i="3" s="1"/>
  <c r="E89" i="5"/>
  <c r="E73" i="5" s="1"/>
  <c r="F569" i="3"/>
  <c r="G828" i="3"/>
  <c r="G824" i="3" s="1"/>
  <c r="G830" i="3"/>
  <c r="H985" i="4" s="1"/>
  <c r="G332" i="4"/>
  <c r="G334" i="4"/>
  <c r="G333" i="4" s="1"/>
  <c r="H201" i="4"/>
  <c r="H200" i="4" s="1"/>
  <c r="H192" i="4" s="1"/>
  <c r="G255" i="3"/>
  <c r="F417" i="3"/>
  <c r="I853" i="4"/>
  <c r="I854" i="4"/>
  <c r="E12" i="5"/>
  <c r="E265" i="5" s="1"/>
  <c r="G854" i="4"/>
  <c r="G853" i="4"/>
  <c r="D12" i="5"/>
  <c r="I571" i="4"/>
  <c r="I570" i="4" s="1"/>
  <c r="H857" i="3"/>
  <c r="H856" i="3" s="1"/>
  <c r="G283" i="4"/>
  <c r="H630" i="3"/>
  <c r="H619" i="3" s="1"/>
  <c r="H618" i="3"/>
  <c r="H416" i="3" s="1"/>
  <c r="I192" i="4"/>
  <c r="H894" i="3"/>
  <c r="H893" i="3" s="1"/>
  <c r="F20" i="3"/>
  <c r="F802" i="3"/>
  <c r="H35" i="3"/>
  <c r="H13" i="3" s="1"/>
  <c r="H37" i="3"/>
  <c r="H36" i="3" s="1"/>
  <c r="F247" i="3"/>
  <c r="F936" i="3"/>
  <c r="F895" i="3" s="1"/>
  <c r="I436" i="4"/>
  <c r="I435" i="4" s="1"/>
  <c r="H715" i="3"/>
  <c r="G908" i="4"/>
  <c r="G907" i="4" s="1"/>
  <c r="G906" i="4"/>
  <c r="G743" i="4" s="1"/>
  <c r="H334" i="4"/>
  <c r="H333" i="4" s="1"/>
  <c r="H332" i="4"/>
  <c r="H439" i="4"/>
  <c r="H438" i="4" s="1"/>
  <c r="H437" i="4" s="1"/>
  <c r="G718" i="3"/>
  <c r="G717" i="3" s="1"/>
  <c r="G623" i="3"/>
  <c r="G619" i="3" s="1"/>
  <c r="G618" i="3"/>
  <c r="G416" i="3" s="1"/>
  <c r="H22" i="3"/>
  <c r="H21" i="3" s="1"/>
  <c r="F520" i="3"/>
  <c r="F447" i="3" s="1"/>
  <c r="F13" i="3"/>
  <c r="H853" i="4"/>
  <c r="H854" i="4"/>
  <c r="G687" i="4"/>
  <c r="G686" i="4" s="1"/>
  <c r="G685" i="4"/>
  <c r="G192" i="4"/>
  <c r="H569" i="4"/>
  <c r="H568" i="4" s="1"/>
  <c r="H567" i="4" s="1"/>
  <c r="H552" i="4" s="1"/>
  <c r="H531" i="4" s="1"/>
  <c r="G855" i="3"/>
  <c r="G854" i="3" s="1"/>
  <c r="H283" i="4"/>
  <c r="I283" i="4"/>
  <c r="H685" i="4"/>
  <c r="H687" i="4"/>
  <c r="H686" i="4" s="1"/>
  <c r="G608" i="4"/>
  <c r="G607" i="4" s="1"/>
  <c r="I439" i="4"/>
  <c r="I438" i="4" s="1"/>
  <c r="I437" i="4" s="1"/>
  <c r="H718" i="3"/>
  <c r="H717" i="3" s="1"/>
  <c r="G552" i="4"/>
  <c r="G531" i="4" s="1"/>
  <c r="G553" i="4"/>
  <c r="G247" i="3"/>
  <c r="H830" i="3"/>
  <c r="I985" i="4" s="1"/>
  <c r="H831" i="3"/>
  <c r="I986" i="4" s="1"/>
  <c r="I984" i="4" s="1"/>
  <c r="I983" i="4" s="1"/>
  <c r="H828" i="3"/>
  <c r="H824" i="3" s="1"/>
  <c r="H908" i="4"/>
  <c r="H907" i="4" s="1"/>
  <c r="H906" i="4"/>
  <c r="H743" i="4" s="1"/>
  <c r="G436" i="4"/>
  <c r="G435" i="4" s="1"/>
  <c r="F715" i="3"/>
  <c r="E249" i="5"/>
  <c r="H583" i="4"/>
  <c r="H582" i="4" s="1"/>
  <c r="H578" i="4" s="1"/>
  <c r="G871" i="3"/>
  <c r="G870" i="3" s="1"/>
  <c r="H447" i="3"/>
  <c r="E341" i="5" l="1"/>
  <c r="D19" i="1"/>
  <c r="G869" i="3"/>
  <c r="G865" i="3"/>
  <c r="G434" i="4"/>
  <c r="G426" i="4"/>
  <c r="G425" i="4" s="1"/>
  <c r="H714" i="3"/>
  <c r="H713" i="3" s="1"/>
  <c r="H704" i="3"/>
  <c r="H703" i="3" s="1"/>
  <c r="F446" i="3"/>
  <c r="G48" i="3"/>
  <c r="G13" i="3" s="1"/>
  <c r="G50" i="3"/>
  <c r="G49" i="3" s="1"/>
  <c r="F831" i="3"/>
  <c r="G986" i="4" s="1"/>
  <c r="G984" i="4" s="1"/>
  <c r="G983" i="4" s="1"/>
  <c r="I979" i="4"/>
  <c r="I978" i="4"/>
  <c r="I973" i="4" s="1"/>
  <c r="I434" i="4"/>
  <c r="I426" i="4"/>
  <c r="I425" i="4" s="1"/>
  <c r="F416" i="3"/>
  <c r="F556" i="3"/>
  <c r="F705" i="3"/>
  <c r="G840" i="3"/>
  <c r="G823" i="3"/>
  <c r="G802" i="3" s="1"/>
  <c r="H553" i="4"/>
  <c r="G831" i="3"/>
  <c r="H986" i="4" s="1"/>
  <c r="H984" i="4" s="1"/>
  <c r="H983" i="4" s="1"/>
  <c r="C18" i="1"/>
  <c r="C21" i="1" s="1"/>
  <c r="G714" i="3"/>
  <c r="G713" i="3" s="1"/>
  <c r="G704" i="3"/>
  <c r="G703" i="3" s="1"/>
  <c r="F714" i="3"/>
  <c r="F713" i="3" s="1"/>
  <c r="F704" i="3"/>
  <c r="F703" i="3" s="1"/>
  <c r="F1003" i="3" s="1"/>
  <c r="I569" i="4"/>
  <c r="I568" i="4" s="1"/>
  <c r="I567" i="4" s="1"/>
  <c r="H855" i="3"/>
  <c r="H854" i="3" s="1"/>
  <c r="H869" i="3"/>
  <c r="H865" i="3"/>
  <c r="G12" i="4"/>
  <c r="H434" i="4"/>
  <c r="H426" i="4"/>
  <c r="H425" i="4" s="1"/>
  <c r="H12" i="4" s="1"/>
  <c r="I742" i="4"/>
  <c r="I1025" i="4"/>
  <c r="H1002" i="3"/>
  <c r="F342" i="5"/>
  <c r="F343" i="5" s="1"/>
  <c r="E20" i="1" s="1"/>
  <c r="E18" i="1" s="1"/>
  <c r="E21" i="1" s="1"/>
  <c r="I553" i="4" l="1"/>
  <c r="I552" i="4"/>
  <c r="I531" i="4" s="1"/>
  <c r="I12" i="4" s="1"/>
  <c r="I1026" i="4" s="1"/>
  <c r="I433" i="4"/>
  <c r="I427" i="4"/>
  <c r="G1003" i="3"/>
  <c r="H1025" i="4"/>
  <c r="G1002" i="3"/>
  <c r="E342" i="5"/>
  <c r="E343" i="5" s="1"/>
  <c r="D20" i="1" s="1"/>
  <c r="D18" i="1" s="1"/>
  <c r="D21" i="1" s="1"/>
  <c r="G433" i="4"/>
  <c r="G427" i="4"/>
  <c r="H433" i="4"/>
  <c r="H427" i="4"/>
  <c r="H823" i="3"/>
  <c r="H802" i="3" s="1"/>
  <c r="H1003" i="3" s="1"/>
  <c r="H840" i="3"/>
  <c r="H979" i="4"/>
  <c r="H978" i="4"/>
  <c r="H973" i="4" s="1"/>
  <c r="H742" i="4" s="1"/>
  <c r="H1026" i="4" s="1"/>
  <c r="G979" i="4"/>
  <c r="G978" i="4"/>
  <c r="G973" i="4" s="1"/>
  <c r="G742" i="4" s="1"/>
  <c r="G1026" i="4" s="1"/>
</calcChain>
</file>

<file path=xl/sharedStrings.xml><?xml version="1.0" encoding="utf-8"?>
<sst xmlns="http://schemas.openxmlformats.org/spreadsheetml/2006/main" count="11522" uniqueCount="1143">
  <si>
    <t>Приложение № 1</t>
  </si>
  <si>
    <t>к решению Думы Кировского</t>
  </si>
  <si>
    <t>муниципального района</t>
  </si>
  <si>
    <t xml:space="preserve">от 27.03.2025 г. № 203-НПА   </t>
  </si>
  <si>
    <t>Источники внутреннего финансирования дефицита районного бюджета на 2025-2027 годы</t>
  </si>
  <si>
    <t>(тыс. руб.)</t>
  </si>
  <si>
    <t>Код бюджетной классификации Российской Федерации</t>
  </si>
  <si>
    <t>Наименование налога  (сбора)</t>
  </si>
  <si>
    <t>Сумма на 2025 г.</t>
  </si>
  <si>
    <t>Сумма на 2026 г.</t>
  </si>
  <si>
    <t>Сумма на 2027 г.</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</si>
  <si>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</si>
  <si>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</si>
  <si>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</si>
  <si>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</si>
  <si>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</si>
  <si>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</si>
  <si>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</si>
  <si>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</si>
  <si>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01 03 01 00 05 0000 710</t>
  </si>
  <si>
    <t>Получение бюджетных кредитов от других бюджетов бюджетной системы Российской Федерации районным бюджетом в валюте Российской Федерации</t>
  </si>
  <si>
    <t>01 03 01 00 05 0000 810</t>
  </si>
  <si>
    <t>Погашение районным бюджетом бюджетных кредитов от других бюджетов бюджетной системы Российской Федерации в валюте Российской Федерации</t>
  </si>
  <si>
    <t>01 05 00 00 00 0000 000</t>
  </si>
  <si>
    <t>Изменение остатков средств на счетах по учету средств</t>
  </si>
  <si>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</si>
  <si>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</si>
  <si>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</si>
  <si>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</si>
  <si>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ИТОГО ИСТОЧНИКОВ</t>
  </si>
  <si>
    <t>Приложение № 7.1</t>
  </si>
  <si>
    <t>Приложение №2</t>
  </si>
  <si>
    <t>к решения Думы Кировского</t>
  </si>
  <si>
    <t xml:space="preserve">от 27.03.2025 г. № 203 - НПА   </t>
  </si>
  <si>
    <t>Объемы доходов районного бюджета на 2025 год и плановый период 2026 и 2027 годов</t>
  </si>
  <si>
    <t>Наименование</t>
  </si>
  <si>
    <t>Сумма на 2021 год</t>
  </si>
  <si>
    <t>Сумма на 
2025 год</t>
  </si>
  <si>
    <t>Сумма на 
2026 год</t>
  </si>
  <si>
    <t>Сумма на 
2027 год</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</si>
  <si>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</si>
  <si>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</si>
  <si>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</si>
  <si>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</si>
  <si>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</si>
  <si>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</si>
  <si>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</si>
  <si>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</si>
  <si>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</si>
  <si>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</si>
  <si>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</si>
  <si>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</si>
  <si>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1 05 01000 01 0000 110</t>
  </si>
  <si>
    <t>Налог, взимаемый в связи с применением упрощенной системы налогообложения</t>
  </si>
  <si>
    <t>1 05 02000 01 0000 110</t>
  </si>
  <si>
    <t>Единый налог на вмененный доход</t>
  </si>
  <si>
    <t>1 05 03000 01 0000 110</t>
  </si>
  <si>
    <t>Единый сельскохозяйственный налог</t>
  </si>
  <si>
    <t>1 05 04020 02 0000 110</t>
  </si>
  <si>
    <t>Налог, взимаемый в связи с применением патентной системы налогообложения, зачисляемый в бюджеты муниципальных районов</t>
  </si>
  <si>
    <t>1 08 00000 00 0000 000</t>
  </si>
  <si>
    <t>ГОСУДАРСТВЕННАЯ ПОШЛИНА</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</si>
  <si>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</si>
  <si>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</si>
  <si>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1 11 00000 00 0000 000</t>
  </si>
  <si>
    <t>ДОХОДЫ ОТ ИСПОЛЬЗОВАНИЯ ИМУЩЕСТВА НАХОДЯЩЕГОСЯ В ГОСУДАРСТВЕННОЙ И МУНИЦИПАЛЬНОЙ СОБСТВЕННОСТИ</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</si>
  <si>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</si>
  <si>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</si>
  <si>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</si>
  <si>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</si>
  <si>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111 05025 05 0000 120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</si>
  <si>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</si>
  <si>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</si>
  <si>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</si>
  <si>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1 11 05075 05 0000 120</t>
  </si>
  <si>
    <t>Доходы от сдачи в аренду имущества, составляющего казну муниципальных районов (за исключением земельных участков)</t>
  </si>
  <si>
    <t>1 11 09080 05 0000 120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</si>
  <si>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</si>
  <si>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1 12 00000 00 0000 000</t>
  </si>
  <si>
    <t>ПЛАТЕЖИ ПРИ ПОЛЬЗОВАНИИ ПРИРОДНЫМИ РЕСУРСАМИ</t>
  </si>
  <si>
    <t>1 12 01000 01 0000 120</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</si>
  <si>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</si>
  <si>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</si>
  <si>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</si>
  <si>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1 13 02065 05 0000 130</t>
  </si>
  <si>
    <t>Доходы, поступающие в порядке возмещения расходов, понесенных в связи с эксплуатацией имущества муниципальных районов</t>
  </si>
  <si>
    <t>1 13 02995 05 0000 130</t>
  </si>
  <si>
    <t>Прочие доходы от компенсации затрат бюджетов муниципальных районов</t>
  </si>
  <si>
    <t>1 14 00000 00 0000 000</t>
  </si>
  <si>
    <t>ДОХОДЫ ОТ ПРОДАЖИ МАТЕРИАЛЬНЫХ И НЕМАТЕРИАЛЬНЫХ АКТИВОВ</t>
  </si>
  <si>
    <t>1 14 02050 05 0000 410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</si>
  <si>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</si>
  <si>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</si>
  <si>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</si>
  <si>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</si>
  <si>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</si>
  <si>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1 16 00000 00 0000 000</t>
  </si>
  <si>
    <t>ШТРАФЫ, САНКЦИИ, ВОЗМЕЩЕНИЕ УЩЕРБА</t>
  </si>
  <si>
    <t>1 17 05000 00 0000 180</t>
  </si>
  <si>
    <t>ПРОЧИЕ НЕНАЛОГОВЫЕ ДОХОДЫ</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</si>
  <si>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</si>
  <si>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</si>
  <si>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</si>
  <si>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</si>
  <si>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2 02 15000 00 0000 150</t>
  </si>
  <si>
    <t>Дотации от других бюджетов бюджетной системы Российской Федерации</t>
  </si>
  <si>
    <t>2 02 15001 05 0000 150</t>
  </si>
  <si>
    <t>Дотации бюджетам муниципальных районов на выравнивание бюджетной обеспеченности</t>
  </si>
  <si>
    <t>2 02 15002 05 0000 150</t>
  </si>
  <si>
    <t>Дотации бюджетам муниципальных районов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</si>
  <si>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</si>
  <si>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</si>
  <si>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2 02 25299 05 0000 150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</si>
  <si>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</si>
  <si>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2 02 25519 05 0000 150</t>
  </si>
  <si>
    <t>Субсидии бюджетам субъектов муниципальных образований на 
государственную поддержку отрасли культуры (оснащение образовательных организаций в сфере культуры (детские школы искусств и училища) музыкальными инструментами, оборудованием и учебными материалами)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</si>
  <si>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</si>
  <si>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</si>
  <si>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</si>
  <si>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2 02 25497 05 0000 150</t>
  </si>
  <si>
    <t>Субсидии бюджетам муниципальных районов на реализацию мероприятий по обеспечению жильем молодых семей</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</si>
  <si>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</si>
  <si>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</si>
  <si>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</si>
  <si>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2 02 25494 05 0000 150</t>
  </si>
  <si>
    <t>Субсидии бюджетам муниципальных районов в целях софинансирования расходных обязательств,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</si>
  <si>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2 02 25467 05 0000 150</t>
  </si>
  <si>
    <t xml:space="preserve">Субсидии на обеспечение развития и укрепления материально-технической базы муниципальных домов культуры в населенных пунктах с числом жителей до 50 тысяч человек </t>
  </si>
  <si>
    <t>2 02 25599 05 0000 150</t>
  </si>
  <si>
    <t>Субсидии на реализацию мероприятий по подготовке проектов межевания земельных участков и на проведение кадастровых работ</t>
  </si>
  <si>
    <t>2 02 29999 05 0000 150</t>
  </si>
  <si>
    <t>Прочие субсидии бюджетам муниципальных районов</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</si>
  <si>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</si>
  <si>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</si>
  <si>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</si>
  <si>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</si>
  <si>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Субсидии бюджетам субъектов муниципальных образований на 
Благоустройство территорий, прилегающих к местам туристского показа</t>
  </si>
  <si>
    <t xml:space="preserve">Субсидии бюджетам муниципальных образований Приморского края на организацию физкультурно-спортивной работы по месту жительства </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</si>
  <si>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</si>
  <si>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</si>
  <si>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Субсидии бюджетам субъектов муниципальных образований на 
обепечение граждан твердым топливом</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</si>
  <si>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</si>
  <si>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</si>
  <si>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2 02 30000 00 0000 150</t>
  </si>
  <si>
    <t>Субвенции бюджетам субъектов Российской Федерации и муниципальных образований</t>
  </si>
  <si>
    <t>2 02 30024 05 0000 150</t>
  </si>
  <si>
    <t>Субвенции бюджетам муниципальных районов на выполнение передаваемых полномочий субъектов Российской Федерации</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</si>
  <si>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</si>
  <si>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</si>
  <si>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</si>
  <si>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</si>
  <si>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</si>
  <si>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202 30024 05 0000 150</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</si>
  <si>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</si>
  <si>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</si>
  <si>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</si>
  <si>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</si>
  <si>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</si>
  <si>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rPr>
      <t xml:space="preserve"> </t>
    </r>
    <r>
      <rPr>
        <b/>
        <u/>
        <sz val="12"/>
        <rFont val="Times New Roman"/>
      </rPr>
      <t>за счет краевого бюджета</t>
    </r>
  </si>
  <si>
    <t>Социальная поддержка детей, оставшихся без попечения родителей, и лиц, принявших на воспитание в семью детей, оставшихся без попечения родителей</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</si>
  <si>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</si>
  <si>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</si>
  <si>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</si>
  <si>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2 02 35082 05 0000 150</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</si>
  <si>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</si>
  <si>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2 02 35120 05 0000 150</t>
  </si>
  <si>
    <t>Субвенции бюджетам муниципальных районов Приморского края на составление (изменение) списков кандидатов в присяжные заседатели</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</si>
  <si>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</si>
  <si>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</si>
  <si>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2 02 35930 05 0000 150</t>
  </si>
  <si>
    <t>Субвенции бюджетам муниципальных   районов на  государственную регистрацию  актов гражданского состояния</t>
  </si>
  <si>
    <t>2 02 36900 05 0000 150</t>
  </si>
  <si>
    <t>Единая субвенция бюджетам муниципальных районов из бюджета субъекта Российской Федерации</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</si>
  <si>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</si>
  <si>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</si>
  <si>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2 02 39999 05 0000 150</t>
  </si>
  <si>
    <t>Прочие субвенции бюджетам муниципальных районов</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</si>
  <si>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rPr>
      <t>за счет средств краевого бюджета</t>
    </r>
  </si>
  <si>
    <t>2 02 40000 00 0000 150</t>
  </si>
  <si>
    <t>ИНЫЕ МЕЖБЮДЖЕТНЫЕ ТРАНСФЕРТЫ</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</si>
  <si>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</si>
  <si>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</si>
  <si>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</si>
  <si>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</si>
  <si>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2  02 45303 05 0000 150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</si>
  <si>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</si>
  <si>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2 02 49999 05 0000 150</t>
  </si>
  <si>
    <t>Межбюджетные трансферты бюджетам муниципальных районов на реализацию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</si>
  <si>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</si>
  <si>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</si>
  <si>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ВСЕГО ДОХОДОВ:</t>
  </si>
  <si>
    <t>Приложение  № 3</t>
  </si>
  <si>
    <t>РАСПРЕДЕЛЕНИЕ</t>
  </si>
  <si>
    <t xml:space="preserve">бюджетных ассигнований из районного бюджета на 2025-2027 гг.  по разделам, </t>
  </si>
  <si>
    <t>подразделам, целевым статьям и видам расходов в соответствии с классификацией расходов</t>
  </si>
  <si>
    <t>Раз-дел</t>
  </si>
  <si>
    <t>Под-раз-дел</t>
  </si>
  <si>
    <t>Целевая статья</t>
  </si>
  <si>
    <t>Вид рас-хо-дов</t>
  </si>
  <si>
    <t>Общий объем на 2025 г</t>
  </si>
  <si>
    <t>Общий объем на 2026 г</t>
  </si>
  <si>
    <t>Общий объем на 2027 г</t>
  </si>
  <si>
    <t>ОБЩЕГОСУДАРСТВЕННЫЕ ВОПРОСЫ</t>
  </si>
  <si>
    <t>01</t>
  </si>
  <si>
    <t>00</t>
  </si>
  <si>
    <t>0000000000</t>
  </si>
  <si>
    <t>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</si>
  <si>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</si>
  <si>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</si>
  <si>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</si>
  <si>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9900000000</t>
  </si>
  <si>
    <t>Мероприятия непрограммных направлений деятельности органов местного самоуправления</t>
  </si>
  <si>
    <t>9990000000</t>
  </si>
  <si>
    <t>Глава муниципального образования</t>
  </si>
  <si>
    <t>9990010010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</si>
  <si>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</si>
  <si>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</si>
  <si>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</si>
  <si>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</si>
  <si>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</si>
  <si>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</si>
  <si>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Председатель Думы Кировского муниципального района</t>
  </si>
  <si>
    <t>9990010020</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</si>
  <si>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</si>
  <si>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</si>
  <si>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</si>
  <si>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</si>
  <si>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Руководство и управление в сфере установленных функций органов местного самоуправления</t>
  </si>
  <si>
    <t>9990010030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</si>
  <si>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</si>
  <si>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</si>
  <si>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</si>
  <si>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</si>
  <si>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</si>
  <si>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04</t>
  </si>
  <si>
    <t>Составление (изменение) списков кандидатов  в присяжные заседатели федеральных судов общей юрисдикции</t>
  </si>
  <si>
    <t>05</t>
  </si>
  <si>
    <t>9990051200</t>
  </si>
  <si>
    <t>Обеспечение деятельности финансовых, налоговых и таможенных органов и органов финансового (финансово-бюджетного) надзора</t>
  </si>
  <si>
    <t>06</t>
  </si>
  <si>
    <t xml:space="preserve">Непрограммные направления деятельности органов местного самоуправления </t>
  </si>
  <si>
    <t>Руководство и управление в сфере установленных функций  органов местного самоуправления  (ФУ)</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</si>
  <si>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</si>
  <si>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</si>
  <si>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</si>
  <si>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</si>
  <si>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Руководство и управление в сфере установленных функций органов местного самоуправления (КСК)</t>
  </si>
  <si>
    <t>Председатель контрольно-счетной комиссии</t>
  </si>
  <si>
    <t>9990010040</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</si>
  <si>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</si>
  <si>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</si>
  <si>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</si>
  <si>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</si>
  <si>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</si>
  <si>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</si>
  <si>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</si>
  <si>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</si>
  <si>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07</t>
  </si>
  <si>
    <t>Непрограммные направления деятельности муниципальных органов</t>
  </si>
  <si>
    <t>Проведение выборов в представительные органы муниципального образования</t>
  </si>
  <si>
    <t>9990010109</t>
  </si>
  <si>
    <t>Специальные расходы</t>
  </si>
  <si>
    <t>880</t>
  </si>
  <si>
    <t>Резервный фонд администрации Кировского муниципального района</t>
  </si>
  <si>
    <t>9990010140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</si>
  <si>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</si>
  <si>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</si>
  <si>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</si>
  <si>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</si>
  <si>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9990093100</t>
  </si>
  <si>
    <t>Субвенции на создание и обеспечение деятельности комиссий по делам несовершеннолетних и защите их прав</t>
  </si>
  <si>
    <t>9999993000</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</si>
  <si>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</si>
  <si>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</si>
  <si>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</si>
  <si>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</si>
  <si>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9999993180</t>
  </si>
  <si>
    <t>Субвенции на проведение Всероссийской переписи</t>
  </si>
  <si>
    <t>9999954690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</si>
  <si>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</si>
  <si>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0800000000</t>
  </si>
  <si>
    <t>Субсидии из местного бюджета на содержание многофункциональных центров предоставления государственных и муниципальных услуг</t>
  </si>
  <si>
    <t>0800020140</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</si>
  <si>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</si>
  <si>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</si>
  <si>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</si>
  <si>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</si>
  <si>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</si>
  <si>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0800092070</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</si>
  <si>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</si>
  <si>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</si>
  <si>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Руководство и управление в сфере установленных функций органов местного самоуправления  (УМСАиПЭ)</t>
  </si>
  <si>
    <t>Исполнение судебных актов</t>
  </si>
  <si>
    <t>9990010050</t>
  </si>
  <si>
    <t>830</t>
  </si>
  <si>
    <t xml:space="preserve">Расходы  на мероприятия направленные на исковые требования </t>
  </si>
  <si>
    <t xml:space="preserve">Оценка недвижимости, признание прав и регулирование отношений по государственной и муниципальной собственности </t>
  </si>
  <si>
    <t>9990010060</t>
  </si>
  <si>
    <t>Плата за пользование имуществом</t>
  </si>
  <si>
    <t>9990010110</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</si>
  <si>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</si>
  <si>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</si>
  <si>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9990010120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</si>
  <si>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</si>
  <si>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</si>
  <si>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9990093210</t>
  </si>
  <si>
    <t>99900R0820</t>
  </si>
  <si>
    <t>Мероприятия, направленные на предупреждение распространения новой коронавирусной инфекции</t>
  </si>
  <si>
    <t>9990010141</t>
  </si>
  <si>
    <t>Содействие в подготовке проведения выборов</t>
  </si>
  <si>
    <t>9990010190</t>
  </si>
  <si>
    <t>Прочие организационные и представительские расходы администрации Кировского муниципального района</t>
  </si>
  <si>
    <t>9990010200</t>
  </si>
  <si>
    <t>Расходы по разработке проектов, программ и сметной документации в целях развития Кировского муниципального района</t>
  </si>
  <si>
    <t>9990010201</t>
  </si>
  <si>
    <t>Муниципальная программа "Развитие образования в Кировском муниципальном районе на 2023-2027 годы"</t>
  </si>
  <si>
    <t>Подпрограмма № 8 «Молодежь Кировского района"</t>
  </si>
  <si>
    <t>Подпрограмма  № 1 «Развитие и поддержка муниципальных образовательных учреждений»</t>
  </si>
  <si>
    <t>Мероприятия по строительству, реконструкции и приобретению зданий муниципальных общеобразовательных организаций</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</si>
  <si>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rPr>
      <t>(краевой бюджет)</t>
    </r>
  </si>
  <si>
    <t>Капитальные вложения в объекты государственной (муниципальной собственности)</t>
  </si>
  <si>
    <t>400</t>
  </si>
  <si>
    <t>Бюджетные инвестиции</t>
  </si>
  <si>
    <t>410</t>
  </si>
  <si>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rPr>
      <t>местного бюджета</t>
    </r>
    <r>
      <rPr>
        <sz val="12"/>
        <rFont val="Times New Roman"/>
      </rPr>
      <t>, в целях софинансирования которых из бюджета Приморского края предоставляются субсидии</t>
    </r>
  </si>
  <si>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</si>
  <si>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Подпрограмма № 9 "Предупреждение развития наркомании в районе"</t>
  </si>
  <si>
    <t>0190000000</t>
  </si>
  <si>
    <t>0190020041</t>
  </si>
  <si>
    <t>Муниципальная программа "Профилактика терроризма и экстремизма на территории Кировского муниципального района на 2023-2027 годы"</t>
  </si>
  <si>
    <t>0300000000</t>
  </si>
  <si>
    <t>0300030360</t>
  </si>
  <si>
    <t>0300030362</t>
  </si>
  <si>
    <t>Муниципальная программа " Доступная среда для инвалидов в Кировском муниципальном районе на 2016-2019 годы"</t>
  </si>
  <si>
    <t>0700000000</t>
  </si>
  <si>
    <t>0700020270</t>
  </si>
  <si>
    <t>Муниципальная программа "Противодействия коррупции в администрации Кировского муниципального района на 2023-2025 годы"</t>
  </si>
  <si>
    <t>1300000000</t>
  </si>
  <si>
    <t>Основное мероприятие "Совершенствование системы противодействия коррупции в Кировском районе"</t>
  </si>
  <si>
    <t>1300013000</t>
  </si>
  <si>
    <t xml:space="preserve">Мероприятия по противодействию коррупции </t>
  </si>
  <si>
    <t>1300013360</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</si>
  <si>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</si>
  <si>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</si>
  <si>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</si>
  <si>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1200000000</t>
  </si>
  <si>
    <t>Субвенции на осуществление первичного воинского учета на территориях, где отсутствуют военные комиссариаты</t>
  </si>
  <si>
    <t>1200051180</t>
  </si>
  <si>
    <t>Межбюджетные трансферты</t>
  </si>
  <si>
    <t>500</t>
  </si>
  <si>
    <t>530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</si>
  <si>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</si>
  <si>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</si>
  <si>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</si>
  <si>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9990010070</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</si>
  <si>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</si>
  <si>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</si>
  <si>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</si>
  <si>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</si>
  <si>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</si>
  <si>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</si>
  <si>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</si>
  <si>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 xml:space="preserve">Муниципальная программа "Поддержка социально ориентированных некоммерческих организаций Кировского муниципального района на 2025-2027 годы" </t>
  </si>
  <si>
    <t>1700000000</t>
  </si>
  <si>
    <t>1700017160</t>
  </si>
  <si>
    <t>Гражданская оборона</t>
  </si>
  <si>
    <t>Расходы на осуществление мероприятий в области гражданской обороны</t>
  </si>
  <si>
    <t>10</t>
  </si>
  <si>
    <t>9990010071</t>
  </si>
  <si>
    <t>Расходы на мероприятия по предупреждению и ликвидации последствий чрезвычайных ситуаций и стихийных бедствий</t>
  </si>
  <si>
    <t>Закупка товаров, работ и услуг в целях обеспечения формирования материального резерва, резервов материальных ресурсов</t>
  </si>
  <si>
    <t>230</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</si>
  <si>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</si>
  <si>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Другие вопросы в области национальной безопасности и правоохранительной деятельности</t>
  </si>
  <si>
    <t>14</t>
  </si>
  <si>
    <t>9990010148</t>
  </si>
  <si>
    <t>Расходы, связанные с оснащением общественных инспекторов необходимым инвентарем и снаряжением для отпугивания крупных хищников в населенных пунктах Кировского муниципального района</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</si>
  <si>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</si>
  <si>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</si>
  <si>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</si>
  <si>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9990093040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</si>
  <si>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</si>
  <si>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</si>
  <si>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</si>
  <si>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3000000000</t>
  </si>
  <si>
    <t>30000L5990</t>
  </si>
  <si>
    <t>Непрограммные напрввления деятельности органов местного самоуправления</t>
  </si>
  <si>
    <t>99900L5990</t>
  </si>
  <si>
    <t>Транспорт</t>
  </si>
  <si>
    <t>08</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</si>
  <si>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</si>
  <si>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1900000000</t>
  </si>
  <si>
    <t>Другие виды транспорта</t>
  </si>
  <si>
    <t>Возмещение затрат или недополученных доходов от предоставления транспортных услуг населению в границах Кировского  муниципального района</t>
  </si>
  <si>
    <t>1000010160</t>
  </si>
  <si>
    <t>Субсидии юридическим лицам (кроме некоммерческих организаций), индивидуальным предпринимателям</t>
  </si>
  <si>
    <t>810</t>
  </si>
  <si>
    <t>1900Г92410</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</si>
  <si>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</si>
  <si>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1900S92410</t>
  </si>
  <si>
    <t>1900093130</t>
  </si>
  <si>
    <t>Непрограммное направление</t>
  </si>
  <si>
    <t>9990093130</t>
  </si>
  <si>
    <t>9990010080</t>
  </si>
  <si>
    <t>Дорожное хозяйство (дорожные фонды)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</si>
  <si>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</si>
  <si>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1000000000</t>
  </si>
  <si>
    <t>Содержание автомобильных дорог на территории Кировского района</t>
  </si>
  <si>
    <t>1000010161</t>
  </si>
  <si>
    <t>1000010162</t>
  </si>
  <si>
    <t>Иные межбюджетные трансферты</t>
  </si>
  <si>
    <t>540</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</si>
  <si>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</si>
  <si>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</si>
  <si>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</si>
  <si>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</si>
  <si>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Капитальный ремонт и ремонт автомобильных дорог общего пользования населенных пунктов</t>
  </si>
  <si>
    <t>1000010165</t>
  </si>
  <si>
    <t>1000010166</t>
  </si>
  <si>
    <t>1000010167</t>
  </si>
  <si>
    <t>1000010168</t>
  </si>
  <si>
    <t>1000010169</t>
  </si>
  <si>
    <t>Расходы на приобретение дорожной техники</t>
  </si>
  <si>
    <t xml:space="preserve">Содержание дорожной техники </t>
  </si>
  <si>
    <t>9990010150</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</si>
  <si>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</si>
  <si>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</si>
  <si>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</si>
  <si>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0900000000</t>
  </si>
  <si>
    <t>Поддержка субъектов малого и среднего предпринимательства</t>
  </si>
  <si>
    <t>0900090960</t>
  </si>
  <si>
    <t>Субсидии юридическим лицам (кроме некоммерческих организаций), индивидуальным предпринимателям, физическим лицам</t>
  </si>
  <si>
    <t>Муниципальная программа "Развитие туризма на территории Кировского муниципального района" на 2024-2026 годы</t>
  </si>
  <si>
    <t>200000000</t>
  </si>
  <si>
    <t>Расходы направленные на Благоустройство территорий, прилегающих к местам туристского показа</t>
  </si>
  <si>
    <t>2000100000</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</si>
  <si>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</si>
  <si>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2000192240</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</si>
  <si>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</si>
  <si>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2000S92240</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</si>
  <si>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</si>
  <si>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</si>
  <si>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</si>
  <si>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200J155582</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</si>
  <si>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</si>
  <si>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Мероприятия направленные на развитие туризма в Кировском муниципальном районе, проводимые в рамках благоустройства территорий</t>
  </si>
  <si>
    <t>2000050021</t>
  </si>
  <si>
    <t>Мероприятия, направленные на содержание многофункционального парка, благоустроенного в рамках реализации программы "Развитие туризма на территории Кировского муниципального района" на 2024-2026 годы</t>
  </si>
  <si>
    <t>2000050022</t>
  </si>
  <si>
    <t>ЖИЛИЩНО-КОММУНАЛЬНОЕ ХОЗЯЙСТВО</t>
  </si>
  <si>
    <t>Коммунальное хозяйство</t>
  </si>
  <si>
    <t>Поддержка коммунального хозяйства</t>
  </si>
  <si>
    <t>9990010101</t>
  </si>
  <si>
    <t>Мероприятия в области коммунального хозяйства (содержание интерната)</t>
  </si>
  <si>
    <t xml:space="preserve">Мероприятия в области коммунального хозяйства </t>
  </si>
  <si>
    <t>9990010106</t>
  </si>
  <si>
    <t>Прочие мероприятия по благоустройству</t>
  </si>
  <si>
    <t>9990010103</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</si>
  <si>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</si>
  <si>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1400000000</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</si>
  <si>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</si>
  <si>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rPr>
      <t>(краевой бюджет)</t>
    </r>
  </si>
  <si>
    <t>1400192620</t>
  </si>
  <si>
    <r>
      <t xml:space="preserve">Субсидии юридическим лицам (кроме некоммерческих организаций), индивидуальным предпринимателям </t>
    </r>
    <r>
      <rPr>
        <b/>
        <sz val="12"/>
        <rFont val="Times New Roman"/>
      </rPr>
      <t>(местный бюджет)</t>
    </r>
  </si>
  <si>
    <t>1400L92620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</si>
  <si>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</si>
  <si>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</si>
  <si>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</si>
  <si>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1100000000</t>
  </si>
  <si>
    <t>1100011161</t>
  </si>
  <si>
    <t>Благоустройство</t>
  </si>
  <si>
    <t>Захоронение</t>
  </si>
  <si>
    <t>9990010102</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</si>
  <si>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Кировского муниципального района</t>
  </si>
  <si>
    <t>9990010112</t>
  </si>
  <si>
    <t>Мероприятия для создания условий для массового отдыха жителей поселений и организации обустройства мест массового отдыха населения</t>
  </si>
  <si>
    <t>9990010111</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</si>
  <si>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</si>
  <si>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9990092170</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</si>
  <si>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</si>
  <si>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99900S2170</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</si>
  <si>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</si>
  <si>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</si>
  <si>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</si>
  <si>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9990093120</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</si>
  <si>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</si>
  <si>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</si>
  <si>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</si>
  <si>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</si>
  <si>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9990010210</t>
  </si>
  <si>
    <t>9990010211</t>
  </si>
  <si>
    <t>ОБРАЗОВАНИЕ</t>
  </si>
  <si>
    <t>Дошкольное образование</t>
  </si>
  <si>
    <t>0100000000</t>
  </si>
  <si>
    <t>Подпрограмма  № 2 "Развитие дошкольного образования в Кировском муниципальном районе"</t>
  </si>
  <si>
    <t>0120000000</t>
  </si>
  <si>
    <t>0120020040</t>
  </si>
  <si>
    <t>Субсидии бюджетным учреждениям</t>
  </si>
  <si>
    <t>0120020041</t>
  </si>
  <si>
    <t>610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</si>
  <si>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</si>
  <si>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0120020042</t>
  </si>
  <si>
    <t>Мероприятия по развитию и поддержке дошкольных образовательных учреждений (НАКАЗЫ ИЗБИРАТЕЛЕЙ)</t>
  </si>
  <si>
    <t>0120030041</t>
  </si>
  <si>
    <t xml:space="preserve">Субсидии бюджетным учреждениям </t>
  </si>
  <si>
    <t xml:space="preserve">Непрограммные направления деятельности </t>
  </si>
  <si>
    <t>Погашение кредиторской задолженности прошлых лет (САДЫ)</t>
  </si>
  <si>
    <t>9990010130</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</si>
  <si>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</si>
  <si>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0120093070</t>
  </si>
  <si>
    <t>Реализация проектов инициативного бюджетирования по направлению «Твой проект»</t>
  </si>
  <si>
    <t>Субсидии на иные цели. 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t>
  </si>
  <si>
    <t>01200S2363</t>
  </si>
  <si>
    <t>Погашение кредиторской задолженности бюджетных учреждений</t>
  </si>
  <si>
    <t>Общее образование</t>
  </si>
  <si>
    <t>Подпрограмма № 1 "Развитие и поддержка муниципальных образовательных учреждений"</t>
  </si>
  <si>
    <t>0110000000</t>
  </si>
  <si>
    <t>Мероприятия по развитию и поддержке образовательных учреждений</t>
  </si>
  <si>
    <t>0110020040</t>
  </si>
  <si>
    <t>0110020041</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</si>
  <si>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</si>
  <si>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0110020042</t>
  </si>
  <si>
    <t>0110020044</t>
  </si>
  <si>
    <t>Мероприятия по развитию и поддержке образовательных учреждений (НАКАЗЫ ИЗБИРАТЕЛЕЙ)</t>
  </si>
  <si>
    <t>0110030041</t>
  </si>
  <si>
    <t>Расходы на капитальный ремонт зданий муниципальных общеобразовательных учреждений (краевой бюджет)</t>
  </si>
  <si>
    <t>0110092340</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</si>
  <si>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</si>
  <si>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01100S2340</t>
  </si>
  <si>
    <t>01100S2363</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</si>
  <si>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</si>
  <si>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01100S2362</t>
  </si>
  <si>
    <t>Реализация проектов инициативного бюджетирования по направлению «Молодежный бюджет»</t>
  </si>
  <si>
    <t>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t>
  </si>
  <si>
    <t>01100S2753</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</si>
  <si>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</si>
  <si>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01100S2752</t>
  </si>
  <si>
    <t>Подпрограмма  № 3 "Безопасность образовательных учреждений"</t>
  </si>
  <si>
    <t>0130000000</t>
  </si>
  <si>
    <t>Санитарно-эпидемиологическая безопасность образовательных учреждений</t>
  </si>
  <si>
    <t>0130020040</t>
  </si>
  <si>
    <t>0130020041</t>
  </si>
  <si>
    <t>Противопожарная безопасность образовательных учреждений</t>
  </si>
  <si>
    <t>0130020042</t>
  </si>
  <si>
    <t>Подпрограмма  № 4 "Развитие внешкольного образования"</t>
  </si>
  <si>
    <t>0140000000</t>
  </si>
  <si>
    <t>Субсидии бюджетным учреждениям образования</t>
  </si>
  <si>
    <t>0140020040</t>
  </si>
  <si>
    <t>Субсидии бюджетным учреждениям (МБУ ДОД "ДЮЦ")</t>
  </si>
  <si>
    <t>0140020041</t>
  </si>
  <si>
    <t>Субсидии бюджетным учреждениям (МБУ ВПЦ "Патриот")</t>
  </si>
  <si>
    <t>0140020042</t>
  </si>
  <si>
    <t>Субсидии бюджетным учреждениям-МБУ  ДОД  "КДШИ"</t>
  </si>
  <si>
    <t>0140020043</t>
  </si>
  <si>
    <t>Субсидии бюджетным учреждениям-МБУ  ДОД  "ГДШИ"</t>
  </si>
  <si>
    <t>0140020044</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</si>
  <si>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</si>
  <si>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</si>
  <si>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0110093150</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</si>
  <si>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</si>
  <si>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01100R3040</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</si>
  <si>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</si>
  <si>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0110093060</t>
  </si>
  <si>
    <t>011Ю653030</t>
  </si>
  <si>
    <t>011Ю651790</t>
  </si>
  <si>
    <t>Межбюджетные трансферты бюджетам муниципальных районов на 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 муниципальных общеобразовательных организаций</t>
  </si>
  <si>
    <t>011Ю650500</t>
  </si>
  <si>
    <t>011Ю650501</t>
  </si>
  <si>
    <t>011Ю650502</t>
  </si>
  <si>
    <t>Подпрограмма № 10 «Организация здорового питания в образовательных учреждениях»</t>
  </si>
  <si>
    <t>0200000000</t>
  </si>
  <si>
    <t>0101093150</t>
  </si>
  <si>
    <t>01010R3040</t>
  </si>
  <si>
    <t>Дополнительное образование</t>
  </si>
  <si>
    <t>Мероприятия по развитию и поддержке учреждений дополнительного образования</t>
  </si>
  <si>
    <t>0140020045</t>
  </si>
  <si>
    <t>Субсидии бюджетным учреждениям (МБОУ ДО "ДЮЦ")</t>
  </si>
  <si>
    <t>Обеспечение персонифицированного финансирования дополнительного образования детей (МБОУ ДО "ДЮЦ")</t>
  </si>
  <si>
    <t>0140040043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</si>
  <si>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</si>
  <si>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Мероприятия по развитию и поддержке внешкольного образования (наказы избирателей)</t>
  </si>
  <si>
    <t>0140030041</t>
  </si>
  <si>
    <t>Субсидии бюджетным учреждениям (МБОУ ДО "ДЮСШ "Патриот" п. Кировский)</t>
  </si>
  <si>
    <t>Обеспечение персонифицированного финансирования дополнительного образования детей (МБОУ ДО "ДЮСШ "Патриот" п. Кировский)</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</si>
  <si>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</si>
  <si>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0140020046</t>
  </si>
  <si>
    <t xml:space="preserve">Мероприятия по капитальному ремонту оздоровительных лагерей, находящихся в собственности муниципальных образований </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</si>
  <si>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</si>
  <si>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</si>
  <si>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rPr>
      <t>местного бюджета</t>
    </r>
    <r>
      <rPr>
        <i/>
        <sz val="12"/>
        <rFont val="Times New Roman"/>
      </rPr>
      <t>, в целях софинансирования которых из бюджета Приморского края предоставляются субсидии</t>
    </r>
  </si>
  <si>
    <t>01400S2030</t>
  </si>
  <si>
    <t>Муниципальная программа "Сохранение и развитие культуры в Кировском муниципальном районе на 2023-2027 годы"</t>
  </si>
  <si>
    <t>0600000000</t>
  </si>
  <si>
    <t>Финансовое обеспечение на выполнение муниципального задания школ искусств Кировского муниципального района</t>
  </si>
  <si>
    <t>Финансовое обеспечение на выполнение муниципального задания "МБУ ДО КДШИ"</t>
  </si>
  <si>
    <t>0650020140</t>
  </si>
  <si>
    <t>Финансовое обеспечение на выполнение муниципального задания "МБУ ДО ГДШИ"</t>
  </si>
  <si>
    <t>0660020140</t>
  </si>
  <si>
    <t>0680020045</t>
  </si>
  <si>
    <t>Мероприятия по развитию и поддержке учреждений дополнительного образования (местный бюджет)</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</si>
  <si>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</si>
  <si>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rPr>
      <t>краевой бюджет)</t>
    </r>
  </si>
  <si>
    <t>0640092480</t>
  </si>
  <si>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rPr>
      <t>местного бюджета</t>
    </r>
    <r>
      <rPr>
        <sz val="12"/>
        <rFont val="Times New Roman"/>
      </rPr>
      <t>, в целях софинансирования которых из бюджета Приморского края предоставляются субсидии</t>
    </r>
  </si>
  <si>
    <t>06400S2480</t>
  </si>
  <si>
    <t>Государственная поддержка отрасли культуры (оснащение образовательных организаций в сфере культуры (детские школы искусств и училища) музыкальными инструментами, оборудованием и учебными материалами)</t>
  </si>
  <si>
    <t>066Я500000</t>
  </si>
  <si>
    <t>Субсидии бюджетам муниципальных районов на поддержку отрасли культуры (государственная поддержка отрасли культуры (детские школы искусств и училища) музыкальными инструментами, оборудованием и учебными материалами)</t>
  </si>
  <si>
    <t>066Я5L5191</t>
  </si>
  <si>
    <t>066Я555191</t>
  </si>
  <si>
    <t>Расходы на реализацию государственной поддержки отрасли культуры (детские школы искусств и училища) музыкальными инструментами, оборудованием и учебными материалами), в целях софинансирования которых из бюджета Приморского края предоставляются субсидии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</si>
  <si>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</si>
  <si>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</si>
  <si>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</si>
  <si>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</si>
  <si>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</si>
  <si>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</si>
  <si>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0300030364</t>
  </si>
  <si>
    <t>Подпрограмма  № 5 "Переподготовка и повышение квалификации"</t>
  </si>
  <si>
    <t>0150000000</t>
  </si>
  <si>
    <t>Мероприятия по переподготовке и повышению квалификации</t>
  </si>
  <si>
    <t>0150020040</t>
  </si>
  <si>
    <t>Мероприятия направленные на  повышение квалификации, направленные на программы профессиональной переподготовки</t>
  </si>
  <si>
    <t>9990020030</t>
  </si>
  <si>
    <t>Молодежная политика</t>
  </si>
  <si>
    <t>Муниципальная программа "Развитие образования в Кировском муниципальном районе на 2018-2022  годы"</t>
  </si>
  <si>
    <t>Подпрограмма № 6 «Организация отдыха  детей»</t>
  </si>
  <si>
    <t>0160000000</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</si>
  <si>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</si>
  <si>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0160093080</t>
  </si>
  <si>
    <t>Публичные нормативные социальные выплаты гражданам</t>
  </si>
  <si>
    <t>310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</si>
  <si>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rPr>
      <t>местного бюджета</t>
    </r>
    <r>
      <rPr>
        <sz val="12"/>
        <rFont val="Times New Roman"/>
      </rPr>
      <t>, в целях софинансирования которых из бюджета Приморского края предоставляются субсидии</t>
    </r>
  </si>
  <si>
    <t>0140S92030</t>
  </si>
  <si>
    <t>Организация и обеспечение оздоровления и летнего отдыха детей Кировского муниципального района за счет средств местного бюджета</t>
  </si>
  <si>
    <t>0160020041</t>
  </si>
  <si>
    <t>Другие вопросы в области образования</t>
  </si>
  <si>
    <t>Рациональная организация питания в общеобразовательных организация Кировского муниципального района</t>
  </si>
  <si>
    <t>0101020041</t>
  </si>
  <si>
    <t>Мероприятия, направленные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</si>
  <si>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</si>
  <si>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01400L4940</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</si>
  <si>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</si>
  <si>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Подпрограмма  № 7 "Другие вопросы в области образования"</t>
  </si>
  <si>
    <t>0170000000</t>
  </si>
  <si>
    <t>Расходы на обеспечение деятельности (оказание услуг, выполнение работ) централизованных бухгалтерий</t>
  </si>
  <si>
    <t>0170020040</t>
  </si>
  <si>
    <t>Расходы на выплаты персоналу казенных учреждений</t>
  </si>
  <si>
    <t>110</t>
  </si>
  <si>
    <t>Финансовое обеспечение клубных учреждений сельских поселений (Крыловское сельское поселение) (оказание услуг, выполнение работ)</t>
  </si>
  <si>
    <t>0180000000</t>
  </si>
  <si>
    <t>0180020041</t>
  </si>
  <si>
    <t>Муниципальная программа "Профилактика безнадзорности, беспризорности и правонарушений несовершеннолетних на 2023-2027 годы"</t>
  </si>
  <si>
    <t>Межбюджетные трансферты бюджетам муниципальных районов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t>
  </si>
  <si>
    <t>0200094050</t>
  </si>
  <si>
    <t>Мероприятия в сфере образования</t>
  </si>
  <si>
    <t>0200020260</t>
  </si>
  <si>
    <t>0200020261</t>
  </si>
  <si>
    <t>Фонд оплаты труда учреждений</t>
  </si>
  <si>
    <t>0200020262</t>
  </si>
  <si>
    <t>0300030361</t>
  </si>
  <si>
    <t>1100011163</t>
  </si>
  <si>
    <t>1100011160</t>
  </si>
  <si>
    <r>
      <t xml:space="preserve">Иные закупки товаров, работ и услуг для обеспечения государственных (муниципальных) нужд </t>
    </r>
    <r>
      <rPr>
        <b/>
        <sz val="12"/>
        <rFont val="Times New Roman"/>
      </rPr>
      <t>(отдел образования администрации КМР)</t>
    </r>
  </si>
  <si>
    <t>0700020271</t>
  </si>
  <si>
    <r>
      <t xml:space="preserve">Иные закупки товаров, работ и услуг для обеспечения государственных (муниципальных) нужд </t>
    </r>
    <r>
      <rPr>
        <b/>
        <sz val="12"/>
        <rFont val="Times New Roman"/>
      </rPr>
      <t>(МКУ "ЦОМОУ")</t>
    </r>
  </si>
  <si>
    <t>0700020272</t>
  </si>
  <si>
    <t>Муниципальная программа "Укрепление общественного здоровья" на 2021-2024 годы</t>
  </si>
  <si>
    <t>1600000000</t>
  </si>
  <si>
    <t>1600014411</t>
  </si>
  <si>
    <t>Мероприятия по ликвидации учреждений</t>
  </si>
  <si>
    <t>9990010180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</si>
  <si>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</si>
  <si>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9990093160</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</si>
  <si>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</si>
  <si>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</si>
  <si>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</si>
  <si>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Финансовое обеспечение выполнения муниципального задания клубными учреждениями МБУ КДЦ Кировского муниципального района</t>
  </si>
  <si>
    <t>0610000000</t>
  </si>
  <si>
    <t>0610020140</t>
  </si>
  <si>
    <t>0610020141</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</si>
  <si>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</si>
  <si>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t>0610020142</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</si>
  <si>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</si>
  <si>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06100Б0000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</si>
  <si>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</si>
  <si>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</si>
  <si>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06100L4670</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</si>
  <si>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rPr>
      <t>местного бюджета</t>
    </r>
    <r>
      <rPr>
        <i/>
        <sz val="12"/>
        <rFont val="Times New Roman"/>
      </rPr>
      <t>, в целях софинансирования которых из бюджета Приморского края предоставляются субсидии</t>
    </r>
  </si>
  <si>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</si>
  <si>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0620020140</t>
  </si>
  <si>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</si>
  <si>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</si>
  <si>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rPr>
      <t>(краевой бюджет)</t>
    </r>
  </si>
  <si>
    <t>06200R5190</t>
  </si>
  <si>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rPr>
      <t xml:space="preserve"> местного бюджета</t>
    </r>
    <r>
      <rPr>
        <sz val="12"/>
        <rFont val="Times New Roman"/>
      </rPr>
      <t>, в целях софинансирования которых из бюджета Приморского края предоставляются субсидии</t>
    </r>
  </si>
  <si>
    <t>Мероприятия по комплектованию книжных фондов и обеспечению информационно- техническим оборудованием библиотек</t>
  </si>
  <si>
    <t>0620000000</t>
  </si>
  <si>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rPr>
      <t>(краевой бюджет)</t>
    </r>
  </si>
  <si>
    <t>0620092540</t>
  </si>
  <si>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rPr>
      <t>местного бюджета</t>
    </r>
    <r>
      <rPr>
        <sz val="12"/>
        <rFont val="Times New Roman"/>
      </rPr>
      <t>, в целях софинансирования которых из бюджета Приморского края предоставляются субсидии</t>
    </r>
  </si>
  <si>
    <t>06200S2540</t>
  </si>
  <si>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</si>
  <si>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</si>
  <si>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0610092470</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</si>
  <si>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</si>
  <si>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06100S2470</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</si>
  <si>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</si>
  <si>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</si>
  <si>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0610L92360</t>
  </si>
  <si>
    <t>Государственная поддержка отрасли культуры (поддержка муниципальных учреждений культуры, находящихся на территории сельских поселений)</t>
  </si>
  <si>
    <t>00000000000</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</si>
  <si>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</si>
  <si>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</si>
  <si>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</si>
  <si>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</si>
  <si>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0630020140</t>
  </si>
  <si>
    <t>Другие вопросы в области культуры, кинематографии</t>
  </si>
  <si>
    <t>Финансовое обеспечение (бухгалтерский учет) МБУ КДЦ Кировского муниципального района</t>
  </si>
  <si>
    <t>0640020140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</si>
  <si>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</si>
  <si>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</si>
  <si>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</si>
  <si>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0670002990</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</si>
  <si>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</si>
  <si>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</si>
  <si>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</si>
  <si>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06700L2990</t>
  </si>
  <si>
    <t>Финансовое обеспечение на выполнение муниципального задания МБУ ДО КДШИ</t>
  </si>
  <si>
    <t>Подпрограмма   № 8 "Молодежь Кировского района"</t>
  </si>
  <si>
    <t>0180020000</t>
  </si>
  <si>
    <t>0180020042</t>
  </si>
  <si>
    <t>Субсидии бюджетным учреждениям (МБУ "КДЦ")</t>
  </si>
  <si>
    <t>0200020263</t>
  </si>
  <si>
    <t>0300030363</t>
  </si>
  <si>
    <t>1100011162</t>
  </si>
  <si>
    <t>Муниципальная программа "Сохранение и развитие культуры в Кировском муниципальном районе на 2018-2022  годы"</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</si>
  <si>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</si>
  <si>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0640020141</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</si>
  <si>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</si>
  <si>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</si>
  <si>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</si>
  <si>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</si>
  <si>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</si>
  <si>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Пенсионное обеспечение</t>
  </si>
  <si>
    <t>Доплата к пенсиям, дополнительное пенсионное обеспечение</t>
  </si>
  <si>
    <t>9990010104</t>
  </si>
  <si>
    <t>Доплаты к пенсиям государственных служащих субъектов Российской Федерации и муниципальных служащих</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</si>
  <si>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</si>
  <si>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</si>
  <si>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011Ю693140</t>
  </si>
  <si>
    <t xml:space="preserve">Муниципальная программа "Комплексное развитие сельских территорий" в Кировском муниципальном районе на 2023-2027 годы </t>
  </si>
  <si>
    <t>0500000000</t>
  </si>
  <si>
    <t>0500050560</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</si>
  <si>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</si>
  <si>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9990093190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</si>
  <si>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</si>
  <si>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</si>
  <si>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9990010144</t>
  </si>
  <si>
    <t>Охрана семьи и детства</t>
  </si>
  <si>
    <t>Подпрограмма № 1 "Развитие и поддержка муниципальных образовательных учреждений" образования"</t>
  </si>
  <si>
    <t>Подпрограмма   № 2 "Развитие дошкольных образовательных учреждений"</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</si>
  <si>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</si>
  <si>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0120093090</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</si>
  <si>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</si>
  <si>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1500000000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</si>
  <si>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(социальный сертификат)</t>
  </si>
  <si>
    <t>1503093210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</si>
  <si>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</si>
  <si>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15030R0820</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</si>
  <si>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</si>
  <si>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1501093050</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</si>
  <si>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</si>
  <si>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1502052600</t>
  </si>
  <si>
    <t xml:space="preserve">Муниципальная программа "Обеспечение жильем молодых семей  Кировского муниципального района на 2023-2027 годы" </t>
  </si>
  <si>
    <t>1800000000</t>
  </si>
  <si>
    <r>
      <t>Оказание поддержки молодым семьям в приобретении жилого помещения или строительстве индивидуального жилого дома</t>
    </r>
    <r>
      <rPr>
        <b/>
        <sz val="12"/>
        <rFont val="Times New Roman"/>
      </rPr>
      <t xml:space="preserve"> (за счет краевого бюджета)</t>
    </r>
  </si>
  <si>
    <t>18000L4970</t>
  </si>
  <si>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rPr>
      <t>(за счет местного бюджета)</t>
    </r>
  </si>
  <si>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</si>
  <si>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</si>
  <si>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t>9990093050</t>
  </si>
  <si>
    <t>Другие вопросы в области социальной политики"</t>
  </si>
  <si>
    <t>000000000</t>
  </si>
  <si>
    <t>ФИЗИЧЕСКАЯ КУЛЬТУРА И СПОРТ</t>
  </si>
  <si>
    <t>Массовый спорт</t>
  </si>
  <si>
    <t>Муниципальная программа "Развитие физической культуры и спорта в Кировском муниципальном районе на 2023-2027 годы"</t>
  </si>
  <si>
    <t>0400000000</t>
  </si>
  <si>
    <t xml:space="preserve">Мероприятия по развитию физической культуры и спорта </t>
  </si>
  <si>
    <t>0400040460</t>
  </si>
  <si>
    <t>Мероприятия по развитию спортивной инфраструктуры, находящейся в муниципальной собственности</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</si>
  <si>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rPr>
      <t>(краевой бюджет)</t>
    </r>
  </si>
  <si>
    <r>
      <t xml:space="preserve">Иные закупки товаров, работ и услуг для обеспечения государственных (муниципальных) нужд </t>
    </r>
    <r>
      <rPr>
        <b/>
        <sz val="12"/>
        <rFont val="Times New Roman"/>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</si>
  <si>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</si>
  <si>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rPr>
      <t>местного бюджета</t>
    </r>
    <r>
      <rPr>
        <i/>
        <sz val="12"/>
        <rFont val="Times New Roman"/>
      </rPr>
      <t>, в целях софинансирования которых из бюджета Приморского края предоставляются субсидии</t>
    </r>
  </si>
  <si>
    <t>Расходы на подготовку сметной документации, прохождение экспертизы и иные расходы по спортивным объектам</t>
  </si>
  <si>
    <t>0400040470</t>
  </si>
  <si>
    <r>
      <t xml:space="preserve">Расходы по развитию спортивной инфраструктуры, находящейся в муниципальной собственности </t>
    </r>
    <r>
      <rPr>
        <i/>
        <sz val="12"/>
        <rFont val="Times New Roman"/>
      </rPr>
      <t>за счет средств местного бюджета</t>
    </r>
    <r>
      <rPr>
        <sz val="12"/>
        <rFont val="Times New Roman"/>
      </rPr>
      <t>, в целях софинансирования которых из бюджета Приморского края предоставляются субсидии</t>
    </r>
  </si>
  <si>
    <t>040P5S2190</t>
  </si>
  <si>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</si>
  <si>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</si>
  <si>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rPr>
      <t>(краевой бюджет)</t>
    </r>
  </si>
  <si>
    <t>040P552280</t>
  </si>
  <si>
    <t xml:space="preserve">Мероприятия по оснащению объектов спортивной инфраструктуры спортивно-технологическим оборудованием (местный  бюджет) </t>
  </si>
  <si>
    <t>041P552280</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</si>
  <si>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</si>
  <si>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040P592230</t>
  </si>
  <si>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rPr>
      <t>местного бюджета</t>
    </r>
    <r>
      <rPr>
        <i/>
        <sz val="12"/>
        <rFont val="Times New Roman"/>
      </rPr>
      <t>, в целях софинансирования которых из бюджета Приморского края предоставляются субсидии</t>
    </r>
  </si>
  <si>
    <t>041P5S2230</t>
  </si>
  <si>
    <t>Мероприятия по приобретению ледозаливочной техники</t>
  </si>
  <si>
    <t>Субсидии бюджетам муниципальных образований Приморского края на приобретение ледозаливочной техники</t>
  </si>
  <si>
    <t>040P592680</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</si>
  <si>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</si>
  <si>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040P5S2680</t>
  </si>
  <si>
    <t>Мероприятия по организации физкультурно-спортивной работы по месту жительства</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</si>
  <si>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rPr>
      <t>(краевой бюджет)</t>
    </r>
  </si>
  <si>
    <t>0410192190</t>
  </si>
  <si>
    <r>
      <t xml:space="preserve">Расходы на организацию физкультурно-спортивной работы по месту жительства за счет средств </t>
    </r>
    <r>
      <rPr>
        <b/>
        <i/>
        <sz val="12"/>
        <rFont val="Times New Roman"/>
      </rPr>
      <t>местного бюджета</t>
    </r>
    <r>
      <rPr>
        <i/>
        <sz val="12"/>
        <rFont val="Times New Roman"/>
      </rPr>
      <t>, в целях софинансирования которых из бюджета Приморского края предоставляются субсидии</t>
    </r>
  </si>
  <si>
    <t>0410092190</t>
  </si>
  <si>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</si>
  <si>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rPr>
      <t>(краевой бюджет)</t>
    </r>
  </si>
  <si>
    <t>040P592180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</si>
  <si>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</si>
  <si>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</si>
  <si>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"Совершенствование межбюджетных отношений и управление муниципальным долгом в Кировском муниципальном районе на 2025-2027 годы"</t>
  </si>
  <si>
    <t>Процентные платежи по долговым обязательствам</t>
  </si>
  <si>
    <t>1200012263</t>
  </si>
  <si>
    <t>Процентные платежи по муниципальному долгу</t>
  </si>
  <si>
    <t>Обслуживание государственного (муниципального) долга</t>
  </si>
  <si>
    <t>700</t>
  </si>
  <si>
    <t>Обслуживание  муниципального долга</t>
  </si>
  <si>
    <t>730</t>
  </si>
  <si>
    <t>9990012263</t>
  </si>
  <si>
    <t>МЕЖБЮДЖЕТНЫЕ ТРАНСФЕРТЫ ОБЩЕГО ХАРАКТЕРА БЮДЖЕТАМ СУБЪЕКТОВ РОССИЙСКОЙ ФЕДЕРАЦИИ И МУНИЦИПАЛЬНЫХ ОБРАЗОВАНИЙ</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</si>
  <si>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</si>
  <si>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</si>
  <si>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</si>
  <si>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1200093110</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</si>
  <si>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</si>
  <si>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Дотации</t>
  </si>
  <si>
    <t>510</t>
  </si>
  <si>
    <t>Дотации на выравнивание бюджетной обеспеченности поселений из бюджета муниципального района</t>
  </si>
  <si>
    <t>1200012261</t>
  </si>
  <si>
    <t>Прочие межбюджетные трансферты общего характера</t>
  </si>
  <si>
    <t>Иные межбюджетные трансферты бюджетам бюджетной системы</t>
  </si>
  <si>
    <t>1200012262</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</si>
  <si>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</si>
  <si>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</si>
  <si>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</si>
  <si>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9990093110</t>
  </si>
  <si>
    <t>9990012261</t>
  </si>
  <si>
    <t>9990012262</t>
  </si>
  <si>
    <t>Условно утвержденные расходы</t>
  </si>
  <si>
    <t>Всего расходов</t>
  </si>
  <si>
    <t xml:space="preserve">                                                                                             Приложение  № 4</t>
  </si>
  <si>
    <t xml:space="preserve">                                                                                        муниципального района</t>
  </si>
  <si>
    <t xml:space="preserve">   от 27.03.2025 г. № 203-НПА   </t>
  </si>
  <si>
    <t xml:space="preserve">бюджетных ассигнований из районного бюджета на 2025 -2027 годы в ведомственной структуре расходов районного бюджета </t>
  </si>
  <si>
    <t>Ведомство</t>
  </si>
  <si>
    <t>Вид расх</t>
  </si>
  <si>
    <t>Общий объем на 2025 г.</t>
  </si>
  <si>
    <t>Общий объем на 2026 г.</t>
  </si>
  <si>
    <t>Общий объем на 2027 г.</t>
  </si>
  <si>
    <t>Учреждение: Администрация Кировского муниципального района</t>
  </si>
  <si>
    <t>951</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</si>
  <si>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</si>
  <si>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</si>
  <si>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0110092040</t>
  </si>
  <si>
    <t>01100S2040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</si>
  <si>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</si>
  <si>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Мероприятия по предупреждению и ликвидации последствий чрезвычайных ситуаций и стихийных бедствий</t>
  </si>
  <si>
    <t>Межевание и кадастровые работы</t>
  </si>
  <si>
    <t>Муниципальная программа "Проведение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</si>
  <si>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Непрограммные направления</t>
  </si>
  <si>
    <t>Субсидии на проведение отдельных мероприятий по другим видам транспорта</t>
  </si>
  <si>
    <t>Расходы направленные на 
благоустройство территорий, прилегающих к местам туристического показа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</si>
  <si>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</si>
  <si>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</si>
  <si>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</si>
  <si>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Мероприятия, направленные на содержание объектов, благоустроенных в рамках реализации программы "Развитие туризма на территории Кировского муниципального района" на 2024-2026 годы (Нарзан)</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</si>
  <si>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</si>
  <si>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952</t>
  </si>
  <si>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</si>
  <si>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</si>
  <si>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</si>
  <si>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</si>
  <si>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</si>
  <si>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</si>
  <si>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</si>
  <si>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r>
      <rPr>
        <i/>
        <sz val="12"/>
        <rFont val="Times New Roman"/>
      </rPr>
      <t>Субсидии</t>
    </r>
    <r>
      <rPr>
        <sz val="12"/>
        <rFont val="Times New Roman"/>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</si>
  <si>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2"/>
        <rFont val="Times New Roman"/>
      </rPr>
      <t>местного бюджета,</t>
    </r>
    <r>
      <rPr>
        <sz val="12"/>
        <rFont val="Times New Roman"/>
      </rPr>
      <t xml:space="preserve"> в целях софинансирования которых из бюджета Приморского края предоставляются субсидии</t>
    </r>
  </si>
  <si>
    <t>Мероприятия по развитию и поддержке учреждений дополнительного образования (краевой бюджет)</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</si>
  <si>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</si>
  <si>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1100011164</t>
  </si>
  <si>
    <t xml:space="preserve">Мероприятия в сфере повышения энергетической эффективности </t>
  </si>
  <si>
    <t>(Субсидии бюджетным учреждениям (МБУ ДО «КДШИ»)</t>
  </si>
  <si>
    <t>Профессиональная подготовка, переподготовка и повышение квалификации</t>
  </si>
  <si>
    <t>Подпрограмма № 8 "Молодежь Кировского района"</t>
  </si>
  <si>
    <t>060000000</t>
  </si>
  <si>
    <t>0610Б92360</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</si>
  <si>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</si>
  <si>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</si>
  <si>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061A255194</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</si>
  <si>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</si>
  <si>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Мероприятия по развитию и поддержке библиотек</t>
  </si>
  <si>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</si>
  <si>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</si>
  <si>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</si>
  <si>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</si>
  <si>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 xml:space="preserve">Муниципальная программа «Комплексное развитие сельских территорий" в Кировском муниципальном районе на 2021-2027 годы </t>
  </si>
  <si>
    <t>Меропрятия по ликвидации МАУ "МФЦ"</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</si>
  <si>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</si>
  <si>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 за счет краевого бюджета (социальный сертификат)</t>
  </si>
  <si>
    <t>Субсидии бюджетам муниципальных районов на реализацию мероприятий по обеспечению жильем молодых семей за счет краевого бюджета</t>
  </si>
  <si>
    <t>040P592190</t>
  </si>
  <si>
    <t>040P592191</t>
  </si>
  <si>
    <t xml:space="preserve">Капитальные вложения в объекты государственной (муниципальной) собственности </t>
  </si>
  <si>
    <r>
      <t xml:space="preserve">Мероприятия по оснащению объектов спортивной инфраструктуры спортивно-технологическим оборудованием </t>
    </r>
    <r>
      <rPr>
        <b/>
        <i/>
        <sz val="12"/>
        <rFont val="Times New Roman"/>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</si>
  <si>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</si>
  <si>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</si>
  <si>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</si>
  <si>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</si>
  <si>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001</t>
  </si>
  <si>
    <t>Учреждение: финансовое  управление администрации Кировского муниципального района</t>
  </si>
  <si>
    <t>002</t>
  </si>
  <si>
    <t>9999000070</t>
  </si>
  <si>
    <t>9990091030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</si>
  <si>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</si>
  <si>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003</t>
  </si>
  <si>
    <t>Выполнение наказов избирателей(дошкольное образование)</t>
  </si>
  <si>
    <t>Мероприятия по капитальный ремонт зданий муниципальных общеобразовательных учреждений</t>
  </si>
  <si>
    <t>01100S2361</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</si>
  <si>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</si>
  <si>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</si>
  <si>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</si>
  <si>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</si>
  <si>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</si>
  <si>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</si>
  <si>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r>
      <t xml:space="preserve">Мероприятия по развитию и поддержке внешкольного образования </t>
    </r>
    <r>
      <rPr>
        <b/>
        <i/>
        <sz val="12"/>
        <rFont val="Times New Roman"/>
      </rPr>
      <t>(наказы избирателей)</t>
    </r>
  </si>
  <si>
    <t>Субсидии бюджетным учреждениям (МБУ ДО "ДЮЦ")</t>
  </si>
  <si>
    <t>Субсидии бюджетным учреждениям (ПФДО)</t>
  </si>
  <si>
    <t>Мероприятия в сфере профилактики терроризма и экстремизма (Субсидии бюджетным учреждениям (МБОУ ДОД «ДЮЦ»)</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</si>
  <si>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</si>
  <si>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</si>
  <si>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t>0140Б92030</t>
  </si>
  <si>
    <t>Расходы на обеспечение деятельности (оказание услуг, выполнение работ) муниципальных  учреждений - прочие учреждения</t>
  </si>
  <si>
    <t>Муниципальная программа "Профилактика безнадзорности, беспризорности и правонарушений несовершеннолетних на 2023-2027годы"</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</si>
  <si>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</si>
  <si>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Муниципальная программа "Развитие физической культуры и спорта в Кировском муниципальном районе на 2018-2022 годы"</t>
  </si>
  <si>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</si>
  <si>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</si>
  <si>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</si>
  <si>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006</t>
  </si>
  <si>
    <t xml:space="preserve">Руководство и управление в сфере установленных функций органов местного самоуправления </t>
  </si>
  <si>
    <t>Итого</t>
  </si>
  <si>
    <t xml:space="preserve">                                                                                             Приложение  № 5</t>
  </si>
  <si>
    <t>Распределение бюджетных ассигнований из районного бюджета на 2025-2027 года по муниципальным программам Кировского  муниципального района и непрограммным направлениям деятельности</t>
  </si>
  <si>
    <t>Ве-домст-во</t>
  </si>
  <si>
    <t>Сумма 
на 2025 год</t>
  </si>
  <si>
    <t>Сумма 
на 2026 год</t>
  </si>
  <si>
    <t>Сумма 
на 2027 год</t>
  </si>
  <si>
    <t xml:space="preserve">Программные направления деятельности органов местного самоуправления </t>
  </si>
  <si>
    <t>Муниципальная программа «Развитие образования в Кировском муниципальном районе на 2023-2027 гг.»</t>
  </si>
  <si>
    <r>
      <t xml:space="preserve">Мероприятия по развитию и поддержке образовательных учреждений </t>
    </r>
    <r>
      <rPr>
        <b/>
        <i/>
        <sz val="12"/>
        <rFont val="Times New Roman"/>
      </rPr>
      <t>(местный  бюджет)</t>
    </r>
  </si>
  <si>
    <r>
      <t xml:space="preserve">Мероприятия по развитию и поддержке образовательных учреждений </t>
    </r>
    <r>
      <rPr>
        <b/>
        <i/>
        <sz val="12"/>
        <rFont val="Times New Roman"/>
      </rPr>
      <t>(краевой бюджет)</t>
    </r>
  </si>
  <si>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</si>
  <si>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</si>
  <si>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</si>
  <si>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011E250970</t>
  </si>
  <si>
    <r>
      <t xml:space="preserve">Мероприятия по развитию и поддержке образовательных учреждений </t>
    </r>
    <r>
      <rPr>
        <b/>
        <sz val="12"/>
        <rFont val="Times New Roman"/>
      </rPr>
      <t>(наказы избирателей)</t>
    </r>
  </si>
  <si>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</si>
  <si>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</si>
  <si>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005</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</si>
  <si>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</si>
  <si>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0110092360</t>
  </si>
  <si>
    <t>01100S2360</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</si>
  <si>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</si>
  <si>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 xml:space="preserve">Субсидии на иные цели. 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 (кравой бюджет) </t>
  </si>
  <si>
    <t xml:space="preserve">Субсидии на иные цели. 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 (местный бюджет) </t>
  </si>
  <si>
    <t>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</si>
  <si>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</si>
  <si>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</si>
  <si>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0110092750</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</si>
  <si>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</si>
  <si>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01100S2750</t>
  </si>
  <si>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</si>
  <si>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 (краевой бюджет)</t>
  </si>
  <si>
    <t>Субсидии на иные цели Реализация проектов инициативного бюджетирования по направлению "Молодежный бюджет" «МБОУ СОШ №1 пгт. Кировский» «Светлая дорога юности»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</si>
  <si>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</si>
  <si>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</si>
  <si>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</si>
  <si>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</si>
  <si>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2"/>
        <rFont val="Times New Roman"/>
      </rPr>
      <t>местного бюджета</t>
    </r>
    <r>
      <rPr>
        <sz val="12"/>
        <rFont val="Times New Roman"/>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</si>
  <si>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2"/>
        <rFont val="Times New Roman"/>
      </rPr>
      <t>краевого бюджета</t>
    </r>
    <r>
      <rPr>
        <sz val="12"/>
        <rFont val="Times New Roman"/>
      </rPr>
      <t xml:space="preserve"> (школы)</t>
    </r>
  </si>
  <si>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</si>
  <si>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 xml:space="preserve">Субвенции  на обеспечение   бесплатным питанием детей, обучающихся муниципальных общеобразовательных учреждениях </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</si>
  <si>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</si>
  <si>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</si>
  <si>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r>
      <t xml:space="preserve">Мероприятия по развитию и поддержке дошкольных образовательных учреждений </t>
    </r>
    <r>
      <rPr>
        <b/>
        <sz val="12"/>
        <rFont val="Times New Roman"/>
      </rPr>
      <t>(местный бюджет)</t>
    </r>
  </si>
  <si>
    <r>
      <t xml:space="preserve">Мероприятия по развитию и поддержке дошкольных образовательных учреждений </t>
    </r>
    <r>
      <rPr>
        <b/>
        <sz val="12"/>
        <rFont val="Times New Roman"/>
      </rPr>
      <t>(краевой бюджет)</t>
    </r>
  </si>
  <si>
    <r>
      <t xml:space="preserve">Мероприятия по развитию и поддержке дошкольных образовательных учреждений </t>
    </r>
    <r>
      <rPr>
        <b/>
        <sz val="12"/>
        <rFont val="Times New Roman"/>
      </rPr>
      <t>(наказы избирателей)</t>
    </r>
  </si>
  <si>
    <t xml:space="preserve">Реализация проектов инициативного бюджетирования по направлению "Твой проект" (МБДОУ «Детский сад №2 пгт. Кировский» «Благоустройство территории для прогулок») </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</si>
  <si>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</si>
  <si>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2"/>
        <rFont val="Times New Roman"/>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</si>
  <si>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2"/>
        <rFont val="Times New Roman"/>
      </rPr>
      <t xml:space="preserve">краевого бюджета </t>
    </r>
  </si>
  <si>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</si>
  <si>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</si>
  <si>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Подпрограмма № 3 «Безопасность образовательных учреждений»</t>
  </si>
  <si>
    <t>Подпрограмма № 4 «Развитие внешкольного образования»</t>
  </si>
  <si>
    <t xml:space="preserve">Мероприятия по развитию и поддержке учреждений дополнительного образования </t>
  </si>
  <si>
    <r>
      <t xml:space="preserve">Мероприятия по развитию и поддержке учреждений дополнительного образования </t>
    </r>
    <r>
      <rPr>
        <b/>
        <sz val="12"/>
        <rFont val="Times New Roman"/>
      </rPr>
      <t>(краевой бюджет)</t>
    </r>
  </si>
  <si>
    <r>
      <t xml:space="preserve">Мероприятия по развитию и поддержке учреждений дополнительного образования </t>
    </r>
    <r>
      <rPr>
        <b/>
        <sz val="12"/>
        <rFont val="Times New Roman"/>
      </rPr>
      <t>(местный бюджет</t>
    </r>
    <r>
      <rPr>
        <sz val="12"/>
        <rFont val="Times New Roman"/>
      </rPr>
      <t>)</t>
    </r>
  </si>
  <si>
    <t>Субсидии бюджетным учреждениям (МБУ ДОД «КДШИ»)</t>
  </si>
  <si>
    <t>Субсидии бюджетным учреждениям  (МБУ ДОД «ГДШИ")</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</si>
  <si>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</si>
  <si>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</si>
  <si>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Гранты в виде субсидий  на обеспечение персонифицированного финансирования дополнительного образования детей</t>
  </si>
  <si>
    <t>Подпрограмма № 5 «Переподготовка и повышение кадров»</t>
  </si>
  <si>
    <t>Мероприятия по переподготовке и повышению кадров</t>
  </si>
  <si>
    <t>Подпрограмма № 7 «Другие вопросы в области образования»</t>
  </si>
  <si>
    <t>Расходы на обеспечение деятельности  (оказание услуг, выполнение работ) муниципальных учреждений ( прочие учреждения)</t>
  </si>
  <si>
    <t>Подпрограмма № 8 «Молодежь Кировского района»</t>
  </si>
  <si>
    <t>Подпрограмма № 9 «Предупреждение развития наркомании в районе»</t>
  </si>
  <si>
    <t>Мероприятия по предупреждению развития наркомании в районе</t>
  </si>
  <si>
    <t>01010000000</t>
  </si>
  <si>
    <t xml:space="preserve">Субвенции  на обеспечение бесплатным питанием детей, обучающихся муниципальных общеобразовательных учреждениях </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</si>
  <si>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</si>
  <si>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</si>
  <si>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Мероприятия в сфере образования (МКУ ЦОМОУ)</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</si>
  <si>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(ЦОМОУ) МБ</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</si>
  <si>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(Патриот) МБ</t>
  </si>
  <si>
    <t>Субсидии бюджетным учреждениям  (МБУ "КДЦ")</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</si>
  <si>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</si>
  <si>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</si>
  <si>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</si>
  <si>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(бюджетные образовательные учреждения)</t>
  </si>
  <si>
    <t>Мероприятия по предупреждению терроризма (администрация)</t>
  </si>
  <si>
    <t>Субсидии бюджетным учреждениям (МБОУ ДО "ДЮСШ "Патриот" п. Кировский, МБОУ ДОД ДЮЦ)</t>
  </si>
  <si>
    <t>Субсидии бюджетным учреждениям  (МБОУ ДОД ДЮЦ)</t>
  </si>
  <si>
    <t>Мероприятия по развитию физкультуры и спорта</t>
  </si>
  <si>
    <t xml:space="preserve">Мероприятия по развитию физкультуры и спорта (субсидии бюджетным учреждениям (МБОУ ДО "ДЮСШ "Патриот" п. Кировский) </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</si>
  <si>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</si>
  <si>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</si>
  <si>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развитию спортивной инфрастурктуры (краевой бюджет) </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</si>
  <si>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</si>
  <si>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 xml:space="preserve">Субсидии бюджетным учреждениям (краевой бюджет) </t>
  </si>
  <si>
    <t xml:space="preserve">Субсидии бюджетным учреждениям (местный бюджет) </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</si>
  <si>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</si>
  <si>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</si>
  <si>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едозаливочной техники  (краевой бюджет)</t>
  </si>
  <si>
    <t>041Р500000</t>
  </si>
  <si>
    <t>Муниципальная программа «Комплексное развитие сельских территорий в Кировском муниципальном районе на 2021-2027 годы»</t>
  </si>
  <si>
    <t>Мероприятия по развитию и поддержке клубов</t>
  </si>
  <si>
    <t>963</t>
  </si>
  <si>
    <t>7952111</t>
  </si>
  <si>
    <t>Субсидии бюджетным учреждениям (КДЦ)</t>
  </si>
  <si>
    <t>Иные межбюджетные трансферты (переданные полномочия поселений по культуре МБУ "КДЦ")</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</si>
  <si>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</si>
  <si>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</si>
  <si>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</si>
  <si>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Субсидии бюджетным учреждениям (библиотеки)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</si>
  <si>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</si>
  <si>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</si>
  <si>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</si>
  <si>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</si>
  <si>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</si>
  <si>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</si>
  <si>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</si>
  <si>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Финансовое обеспечение (бухгалтерский учет)</t>
  </si>
  <si>
    <t>0640020000</t>
  </si>
  <si>
    <t>Финансовое обеспечение (бухгалтерский учет) МБУ КДЦ Кировского муниципального района. Субсидии бюджетным учреждениям</t>
  </si>
  <si>
    <t>995</t>
  </si>
  <si>
    <t>Субсидии бюджетным учреждениям (МБУ ДО «КДШИ»)</t>
  </si>
  <si>
    <t>Субсидии бюджетным учреждениям (МБУ ДО «ГДШИ»)</t>
  </si>
  <si>
    <t>0670000000</t>
  </si>
  <si>
    <t>Муниципальная программа «Развитие малого и среднего предпринимательства в Кировском муниципальном районе на 2023-2027 годы»</t>
  </si>
  <si>
    <t>Мероприятия по развитию малого и среднего предпринимательства в Кировском муниципальном районе</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</si>
  <si>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</si>
  <si>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1008</t>
  </si>
  <si>
    <t>Капитальный ремонт и ремонт автомобильных дорог общего пользования населенных пунктов за счет дорожного фонда Приморского края</t>
  </si>
  <si>
    <t>1000092390</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</si>
  <si>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</si>
  <si>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1000Б92390</t>
  </si>
  <si>
    <t>Субсидии бюджетным учреждениям (образовательные учреждения)</t>
  </si>
  <si>
    <t>Мероприятия в сфере повышения энергетической эффективности (администрация)</t>
  </si>
  <si>
    <t>Субсидии бюджетным учреждениям (МБУ КДЦ КМР)</t>
  </si>
  <si>
    <t>Мероприятия в сфере повышения энергетической эффективности (ЦОМОУ)</t>
  </si>
  <si>
    <t>Мероприятия в сфере повышения энергетической эффективности (Субсидии бюджетным учреждениям (МБУ ДО «КДШИ»)</t>
  </si>
  <si>
    <t>Субвенции на осуществление первичного воинского учета на территориях, где отсутствуют военные комиссариаты (межбюджетные трансферты)</t>
  </si>
  <si>
    <t>1015</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</si>
  <si>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</si>
  <si>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</si>
  <si>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</si>
  <si>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 xml:space="preserve"> Мероприятия по противодействию коррупции </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</si>
  <si>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</si>
  <si>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</si>
  <si>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Назначение и предоставление выплаты единовременного пособия при передаче ребенка на воспитание в семью</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</si>
  <si>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</si>
  <si>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</si>
  <si>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 xml:space="preserve"> Мероприятия по укреплению общественного здоровья</t>
  </si>
  <si>
    <t>Мероприятия по поддержке социально ориентированных некоммерческих организаций района</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</si>
  <si>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</si>
  <si>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</si>
  <si>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</si>
  <si>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</si>
  <si>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2000000000</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</si>
  <si>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</si>
  <si>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</si>
  <si>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Мероприятия, направленные на содержание многофункционального парка в кп. Горные Ключи "Семейный парк отдыха"</t>
  </si>
  <si>
    <t>Мероприятия, направленные на содержание территории, прилегающей к местам туристского показа</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</si>
  <si>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</si>
  <si>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Расходы направленные на подготовку проектов межевания земельных участков и на проведение кадастровых работ</t>
  </si>
  <si>
    <t>Всего программные мероприятия</t>
  </si>
  <si>
    <t>Непрограммные мероприятия</t>
  </si>
  <si>
    <t>Председатель Думы муниципального образования</t>
  </si>
  <si>
    <t>Председатель КСК</t>
  </si>
  <si>
    <t>Исполнительные листы</t>
  </si>
  <si>
    <t>9990010031</t>
  </si>
  <si>
    <t>Оценка недвижимости</t>
  </si>
  <si>
    <t>9990010090</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</si>
  <si>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</si>
  <si>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Доплата к  пенсии  муниципальным служащим</t>
  </si>
  <si>
    <t>9990010105</t>
  </si>
  <si>
    <t>9990010107</t>
  </si>
  <si>
    <t>9990010108</t>
  </si>
  <si>
    <t>9990010143</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</si>
  <si>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</si>
  <si>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Реализация полномочий Российской Федерации по государственной регистрации актов гражданского состояния за счет средств краевого бюджета</t>
  </si>
  <si>
    <t>Единая субвенция местным бюджетам из краевого бюджета</t>
  </si>
  <si>
    <t>Обеспечение деятельности комиссий по делам несовершеннолетних и защите их прав</t>
  </si>
  <si>
    <t>Создание административных комиссий</t>
  </si>
  <si>
    <t>Реализация государственных полномочий по организации мероприятий при осуществлении деятельности по обращению с животными без владельцев</t>
  </si>
  <si>
    <t>Государственноее управление охраной труда</t>
  </si>
  <si>
    <t xml:space="preserve">Реализация государственных полномочий органов опеки и попечительства в отношении несовершеннолетних </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</si>
  <si>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</si>
  <si>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</si>
  <si>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</si>
  <si>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</si>
  <si>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</si>
  <si>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Благоустройство территорий, прилегающих к местам туристского показа</t>
  </si>
  <si>
    <t>Прочие межбюджетные трансферты общего характера (дотация на сбалансированность)</t>
  </si>
  <si>
    <t>Всего  непрограммные мероприятия</t>
  </si>
  <si>
    <t>Всего программные и непрограммные мероприятия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</si>
</sst>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quot;р.&quot;_-;\-* #,##0.00&quot;р.&quot;_-;_-* &quot;-&quot;??&quot;р.&quot;_-;_-@_-"/>
    <numFmt numFmtId="165" formatCode="_-* #,##0.00_р_._-;\-* #,##0.00_р_._-;_-* &quot;-&quot;??_р_._-;_-@_-"/>
    <numFmt numFmtId="166" formatCode="#,##0.00000"/>
    <numFmt numFmtId="167" formatCode="0.000"/>
    <numFmt numFmtId="168" formatCode="0.00000"/>
    <numFmt numFmtId="169" formatCode="#,##0.000000"/>
  </numFmts>
  <fonts count="16">
    <font>
      <sz val="10"/>
      <color theme="1"/>
      <name val="Arial Cyr"/>
    </font>
    <font>
      <sz val="10"/>
      <name val="Arial Cyr"/>
    </font>
    <font>
      <sz val="12"/>
      <name val="Arial Cyr"/>
    </font>
    <font>
      <sz val="12"/>
      <name val="Times New Roman"/>
    </font>
    <font>
      <b/>
      <sz val="12"/>
      <name val="Times New Roman"/>
    </font>
    <font>
      <b/>
      <sz val="12"/>
      <name val="Arial Cyr"/>
    </font>
    <font>
      <i/>
      <sz val="12"/>
      <name val="Times New Roman"/>
    </font>
    <font>
      <b/>
      <i/>
      <sz val="12"/>
      <name val="Times New Roman"/>
    </font>
    <font>
      <i/>
      <sz val="12"/>
      <name val="Arial Cyr"/>
    </font>
    <font>
      <b/>
      <i/>
      <sz val="12"/>
      <name val="Arial Cyr"/>
    </font>
    <font>
      <u/>
      <sz val="12"/>
      <name val="Arial Cyr"/>
    </font>
    <font>
      <u/>
      <sz val="12"/>
      <name val="Times New Roman"/>
    </font>
    <font>
      <i/>
      <u/>
      <sz val="12"/>
      <name val="Times New Roman"/>
    </font>
    <font>
      <sz val="12"/>
      <name val="Arial"/>
    </font>
    <font>
      <sz val="12"/>
      <name val="Times New Roman CE"/>
    </font>
    <font>
      <b/>
      <u/>
      <sz val="12"/>
      <name val="Times New Roman"/>
    </font>
  </fonts>
  <fills count="18">
    <fill>
      <patternFill patternType="none"/>
    </fill>
    <fill>
      <patternFill patternType="gray125"/>
    </fill>
    <fill>
      <patternFill patternType="solid">
        <fgColor theme="0"/>
        <bgColor theme="0"/>
      </patternFill>
    </fill>
    <fill>
      <patternFill patternType="solid">
        <fgColor rgb="FF66FFFF"/>
        <bgColor rgb="FF66FFFF"/>
      </patternFill>
    </fill>
    <fill>
      <patternFill patternType="solid">
        <fgColor theme="9" tint="0.59999389629810485"/>
        <bgColor theme="9" tint="0.59999389629810485"/>
      </patternFill>
    </fill>
    <fill>
      <patternFill patternType="solid">
        <fgColor theme="5" tint="0.39997558519241921"/>
        <bgColor theme="5" tint="0.39997558519241921"/>
      </patternFill>
    </fill>
    <fill>
      <patternFill patternType="solid">
        <fgColor theme="9" tint="0.79998168889431442"/>
        <bgColor theme="9" tint="0.79998168889431442"/>
      </patternFill>
    </fill>
    <fill>
      <patternFill patternType="solid">
        <fgColor indexed="5"/>
        <bgColor indexed="5"/>
      </patternFill>
    </fill>
    <fill>
      <patternFill patternType="solid">
        <fgColor theme="6" tint="0.59999389629810485"/>
        <bgColor theme="6" tint="0.59999389629810485"/>
      </patternFill>
    </fill>
    <fill>
      <patternFill patternType="solid">
        <fgColor rgb="FFFFC000"/>
        <bgColor rgb="FFFFC000"/>
      </patternFill>
    </fill>
    <fill>
      <patternFill patternType="solid">
        <fgColor indexed="65"/>
      </patternFill>
    </fill>
    <fill>
      <patternFill patternType="solid">
        <fgColor theme="7" tint="0.79998168889431442"/>
        <bgColor theme="7" tint="0.79998168889431442"/>
      </patternFill>
    </fill>
    <fill>
      <patternFill patternType="solid">
        <fgColor indexed="7"/>
        <bgColor indexed="7"/>
      </patternFill>
    </fill>
    <fill>
      <patternFill patternType="solid">
        <fgColor theme="9" tint="0.39997558519241921"/>
        <bgColor theme="9" tint="0.39997558519241921"/>
      </patternFill>
    </fill>
    <fill>
      <patternFill patternType="solid">
        <fgColor theme="4" tint="0.59999389629810485"/>
        <bgColor theme="4" tint="0.59999389629810485"/>
      </patternFill>
    </fill>
    <fill>
      <patternFill patternType="solid">
        <fgColor theme="6" tint="0.39997558519241921"/>
        <bgColor theme="6" tint="0.39997558519241921"/>
      </patternFill>
    </fill>
    <fill>
      <patternFill patternType="solid">
        <fgColor theme="6" tint="0.79998168889431442"/>
        <bgColor theme="6" tint="0.79998168889431442"/>
      </patternFill>
    </fill>
    <fill>
      <patternFill patternType="solid">
        <fgColor theme="8" tint="0.39997558519241921"/>
        <bgColor theme="8" tint="0.39997558519241921"/>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164" fontId="1" fillId="0" borderId="0" applyFont="0" applyFill="0" applyBorder="0" applyProtection="0"/>
    <xf numFmtId="0" fontId="1" fillId="0" borderId="0"/>
    <xf numFmtId="165" fontId="1" fillId="0" borderId="0" applyFont="0" applyFill="0" applyBorder="0" applyProtection="0"/>
  </cellStyleXfs>
  <cellXfs count="382">
    <xf numFmtId="0" fontId="0" fillId="0" borderId="0" xfId="0"/>
    <xf numFmtId="0" fontId="2" fillId="0" borderId="0" xfId="2" applyFont="1"/>
    <xf numFmtId="0" fontId="3" fillId="0" borderId="0" xfId="2" applyFont="1"/>
    <xf numFmtId="0" fontId="3" fillId="0" borderId="0" xfId="2" applyFont="1" applyAlignment="1">
      <alignment horizontal="center"/>
    </xf>
    <xf numFmtId="0" fontId="3" fillId="0" borderId="0" xfId="2" applyFont="1" applyAlignment="1">
      <alignment horizontal="right"/>
    </xf>
    <xf numFmtId="0" fontId="4" fillId="0" borderId="0" xfId="2" applyFont="1" applyAlignment="1">
      <alignment horizontal="center" vertical="justify" wrapText="1"/>
    </xf>
    <xf numFmtId="0" fontId="3" fillId="0" borderId="0" xfId="2" applyFont="1" applyAlignment="1">
      <alignment horizontal="left" vertical="justify" wrapText="1"/>
    </xf>
    <xf numFmtId="0" fontId="3" fillId="0" borderId="0" xfId="2" applyFont="1" applyAlignment="1">
      <alignment horizontal="right" vertical="justify"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166" fontId="4" fillId="0" borderId="1" xfId="2" applyNumberFormat="1" applyFont="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166" fontId="3" fillId="0" borderId="1" xfId="2" applyNumberFormat="1" applyFont="1" applyBorder="1" applyAlignment="1">
      <alignment horizontal="center" vertical="center" wrapText="1"/>
    </xf>
    <xf numFmtId="166" fontId="2" fillId="0" borderId="0" xfId="2" applyNumberFormat="1" applyFont="1"/>
    <xf numFmtId="2" fontId="3" fillId="0" borderId="1" xfId="2" applyNumberFormat="1" applyFont="1" applyBorder="1" applyAlignment="1">
      <alignment horizontal="left" vertical="center" wrapText="1"/>
    </xf>
    <xf numFmtId="167" fontId="2" fillId="0" borderId="0" xfId="2" applyNumberFormat="1" applyFont="1"/>
    <xf numFmtId="0" fontId="5" fillId="0" borderId="1" xfId="2" applyFont="1" applyBorder="1" applyAlignment="1">
      <alignment horizontal="left" vertical="center"/>
    </xf>
    <xf numFmtId="0" fontId="3" fillId="0" borderId="0" xfId="0" applyFont="1"/>
    <xf numFmtId="0" fontId="3" fillId="0" borderId="0" xfId="0" applyFont="1" applyAlignment="1">
      <alignment horizontal="left"/>
    </xf>
    <xf numFmtId="0" fontId="3" fillId="0" borderId="0" xfId="0" applyFont="1" applyAlignment="1">
      <alignment horizontal="center" vertical="center"/>
    </xf>
    <xf numFmtId="166" fontId="3" fillId="0" borderId="0" xfId="0" applyNumberFormat="1" applyFont="1" applyAlignment="1">
      <alignment horizontal="center" vertical="center"/>
    </xf>
    <xf numFmtId="166" fontId="3" fillId="0" borderId="0" xfId="0" applyNumberFormat="1" applyFont="1"/>
    <xf numFmtId="0" fontId="3" fillId="0" borderId="0" xfId="0" applyFont="1" applyAlignment="1">
      <alignment horizontal="right"/>
    </xf>
    <xf numFmtId="167" fontId="3" fillId="0" borderId="0" xfId="0" applyNumberFormat="1" applyFont="1"/>
    <xf numFmtId="0" fontId="3" fillId="0" borderId="0" xfId="0" applyFont="1" applyAlignment="1">
      <alignment horizontal="left" vertical="justify"/>
    </xf>
    <xf numFmtId="49" fontId="3" fillId="0" borderId="2" xfId="0" applyNumberFormat="1" applyFont="1" applyBorder="1" applyAlignment="1">
      <alignment horizontal="center" vertical="center"/>
    </xf>
    <xf numFmtId="167" fontId="3" fillId="0" borderId="0" xfId="0" applyNumberFormat="1" applyFont="1" applyAlignment="1">
      <alignment horizontal="right"/>
    </xf>
    <xf numFmtId="167" fontId="3" fillId="0" borderId="0" xfId="0" applyNumberFormat="1" applyFont="1" applyAlignment="1">
      <alignment horizontal="center" vertical="center"/>
    </xf>
    <xf numFmtId="166"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166" fontId="4" fillId="0" borderId="1" xfId="3"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0" applyNumberFormat="1" applyFont="1" applyBorder="1" applyAlignment="1">
      <alignment horizontal="center" vertical="center"/>
    </xf>
    <xf numFmtId="166" fontId="4" fillId="0" borderId="1" xfId="0" applyNumberFormat="1" applyFont="1" applyBorder="1" applyAlignment="1">
      <alignment horizontal="center" vertical="center"/>
    </xf>
    <xf numFmtId="166" fontId="4" fillId="0" borderId="0" xfId="0" applyNumberFormat="1" applyFont="1"/>
    <xf numFmtId="0" fontId="3" fillId="0" borderId="5" xfId="0" applyFont="1" applyBorder="1" applyAlignment="1">
      <alignment horizontal="center"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66" fontId="7" fillId="0" borderId="1" xfId="3" applyNumberFormat="1" applyFont="1" applyBorder="1" applyAlignment="1">
      <alignment horizontal="center" vertical="center" wrapText="1"/>
    </xf>
    <xf numFmtId="166" fontId="7"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166" fontId="6" fillId="0" borderId="1" xfId="3" applyNumberFormat="1" applyFont="1" applyBorder="1" applyAlignment="1">
      <alignment horizontal="center" vertical="center" wrapText="1"/>
    </xf>
    <xf numFmtId="166" fontId="6" fillId="0" borderId="1" xfId="0" applyNumberFormat="1" applyFont="1" applyBorder="1" applyAlignment="1">
      <alignment horizontal="center" vertical="center"/>
    </xf>
    <xf numFmtId="2" fontId="3" fillId="0" borderId="0" xfId="0" applyNumberFormat="1" applyFont="1"/>
    <xf numFmtId="166" fontId="4" fillId="0" borderId="0" xfId="0" applyNumberFormat="1" applyFont="1" applyAlignment="1">
      <alignment horizontal="center" vertical="center"/>
    </xf>
    <xf numFmtId="0" fontId="2" fillId="2" borderId="0" xfId="0" applyFont="1" applyFill="1"/>
    <xf numFmtId="0" fontId="3" fillId="2" borderId="0" xfId="0" applyFont="1" applyFill="1" applyAlignment="1">
      <alignment vertical="top"/>
    </xf>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3" fillId="2" borderId="0" xfId="0" applyFont="1" applyFill="1" applyAlignment="1">
      <alignment horizontal="right"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center"/>
    </xf>
    <xf numFmtId="0" fontId="2" fillId="3" borderId="0" xfId="0" applyFont="1" applyFill="1"/>
    <xf numFmtId="0" fontId="4" fillId="3" borderId="1" xfId="0" applyFont="1" applyFill="1" applyBorder="1" applyAlignment="1">
      <alignment vertical="center" wrapText="1"/>
    </xf>
    <xf numFmtId="49" fontId="4" fillId="3" borderId="1" xfId="0" applyNumberFormat="1" applyFont="1" applyFill="1" applyBorder="1" applyAlignment="1">
      <alignment horizontal="center" vertical="center" wrapText="1" shrinkToFit="1"/>
    </xf>
    <xf numFmtId="166" fontId="4" fillId="3" borderId="1" xfId="0" applyNumberFormat="1" applyFont="1" applyFill="1" applyBorder="1" applyAlignment="1">
      <alignment horizontal="center" vertical="center" wrapText="1"/>
    </xf>
    <xf numFmtId="166" fontId="2" fillId="3" borderId="0" xfId="0" applyNumberFormat="1" applyFont="1" applyFill="1"/>
    <xf numFmtId="0" fontId="2" fillId="4" borderId="0" xfId="0" applyFont="1" applyFill="1"/>
    <xf numFmtId="0" fontId="4" fillId="4" borderId="1" xfId="0" applyFont="1" applyFill="1" applyBorder="1" applyAlignment="1">
      <alignment horizontal="justify" vertical="center" wrapText="1"/>
    </xf>
    <xf numFmtId="49" fontId="4" fillId="4" borderId="1" xfId="0" applyNumberFormat="1" applyFont="1" applyFill="1" applyBorder="1" applyAlignment="1">
      <alignment horizontal="center" vertical="center" wrapText="1" shrinkToFit="1"/>
    </xf>
    <xf numFmtId="166" fontId="4" fillId="4" borderId="1" xfId="0" applyNumberFormat="1" applyFont="1" applyFill="1" applyBorder="1" applyAlignment="1">
      <alignment horizontal="center" vertical="center" wrapText="1"/>
    </xf>
    <xf numFmtId="166" fontId="2" fillId="4" borderId="0" xfId="0" applyNumberFormat="1" applyFont="1" applyFill="1"/>
    <xf numFmtId="0" fontId="3" fillId="2" borderId="1" xfId="0" applyFont="1" applyFill="1" applyBorder="1" applyAlignment="1">
      <alignment horizontal="justify" vertical="center" wrapText="1"/>
    </xf>
    <xf numFmtId="49" fontId="3" fillId="2" borderId="1" xfId="0" applyNumberFormat="1" applyFont="1" applyFill="1" applyBorder="1" applyAlignment="1">
      <alignment horizontal="center" vertical="center" wrapText="1" shrinkToFit="1"/>
    </xf>
    <xf numFmtId="166" fontId="3" fillId="2" borderId="1" xfId="0" applyNumberFormat="1" applyFont="1" applyFill="1" applyBorder="1" applyAlignment="1">
      <alignment horizontal="center" vertical="center" wrapText="1"/>
    </xf>
    <xf numFmtId="166" fontId="2" fillId="2" borderId="0" xfId="0" applyNumberFormat="1" applyFont="1" applyFill="1"/>
    <xf numFmtId="0" fontId="3" fillId="0" borderId="1" xfId="0" applyFont="1" applyBorder="1" applyAlignment="1">
      <alignment horizontal="justify" vertical="center" wrapText="1"/>
    </xf>
    <xf numFmtId="49" fontId="3" fillId="0" borderId="1" xfId="0" applyNumberFormat="1" applyFont="1" applyBorder="1" applyAlignment="1">
      <alignment horizontal="center" vertical="center" wrapText="1" shrinkToFit="1"/>
    </xf>
    <xf numFmtId="166" fontId="3" fillId="0" borderId="1" xfId="0" applyNumberFormat="1" applyFont="1" applyBorder="1" applyAlignment="1">
      <alignment horizontal="center" vertical="center" wrapText="1"/>
    </xf>
    <xf numFmtId="0" fontId="8" fillId="2" borderId="0" xfId="0" applyFont="1" applyFill="1"/>
    <xf numFmtId="0" fontId="6" fillId="0" borderId="1" xfId="0" applyFont="1" applyBorder="1" applyAlignment="1">
      <alignment horizontal="justify" vertical="center" wrapText="1"/>
    </xf>
    <xf numFmtId="49" fontId="6" fillId="0" borderId="1" xfId="0" applyNumberFormat="1" applyFont="1" applyBorder="1" applyAlignment="1">
      <alignment horizontal="center" vertical="center" wrapText="1" shrinkToFit="1"/>
    </xf>
    <xf numFmtId="166" fontId="6" fillId="0" borderId="1" xfId="0" applyNumberFormat="1" applyFont="1" applyBorder="1" applyAlignment="1">
      <alignment horizontal="center" vertical="center" wrapText="1"/>
    </xf>
    <xf numFmtId="4" fontId="2" fillId="2" borderId="0" xfId="0" applyNumberFormat="1" applyFont="1" applyFill="1"/>
    <xf numFmtId="0" fontId="2" fillId="5" borderId="0" xfId="0" applyFont="1" applyFill="1"/>
    <xf numFmtId="0" fontId="3" fillId="5" borderId="1" xfId="0" applyFont="1" applyFill="1" applyBorder="1" applyAlignment="1">
      <alignment vertical="center" wrapText="1"/>
    </xf>
    <xf numFmtId="49" fontId="3" fillId="5" borderId="1" xfId="0" applyNumberFormat="1" applyFont="1" applyFill="1" applyBorder="1" applyAlignment="1">
      <alignment horizontal="center" vertical="center" wrapText="1" shrinkToFit="1"/>
    </xf>
    <xf numFmtId="166" fontId="3" fillId="5" borderId="1" xfId="0" applyNumberFormat="1" applyFont="1" applyFill="1" applyBorder="1" applyAlignment="1">
      <alignment horizontal="center" vertical="center" wrapText="1"/>
    </xf>
    <xf numFmtId="0" fontId="7" fillId="4" borderId="1" xfId="0" applyFont="1" applyFill="1" applyBorder="1" applyAlignment="1">
      <alignment vertical="top" wrapText="1"/>
    </xf>
    <xf numFmtId="49" fontId="7" fillId="4" borderId="1" xfId="0" applyNumberFormat="1" applyFont="1" applyFill="1" applyBorder="1" applyAlignment="1">
      <alignment horizontal="center" vertical="center" wrapText="1" shrinkToFit="1"/>
    </xf>
    <xf numFmtId="166" fontId="7" fillId="4"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xf numFmtId="0" fontId="4" fillId="4" borderId="1" xfId="0" applyFont="1" applyFill="1" applyBorder="1" applyAlignment="1">
      <alignment vertical="top" wrapText="1"/>
    </xf>
    <xf numFmtId="49" fontId="3" fillId="2" borderId="1" xfId="0" applyNumberFormat="1" applyFont="1" applyFill="1" applyBorder="1" applyAlignment="1">
      <alignment vertical="top" wrapText="1"/>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vertical="top" wrapText="1"/>
    </xf>
    <xf numFmtId="49" fontId="3" fillId="0" borderId="1" xfId="0" applyNumberFormat="1" applyFont="1" applyBorder="1" applyAlignment="1">
      <alignment horizontal="center" vertical="center"/>
    </xf>
    <xf numFmtId="0" fontId="4" fillId="4" borderId="1" xfId="0" applyFont="1" applyFill="1" applyBorder="1" applyAlignment="1">
      <alignment vertical="center" wrapText="1"/>
    </xf>
    <xf numFmtId="0" fontId="9" fillId="2" borderId="0" xfId="0" applyFont="1" applyFill="1"/>
    <xf numFmtId="49" fontId="3" fillId="0" borderId="1" xfId="0" applyNumberFormat="1" applyFont="1" applyBorder="1" applyAlignment="1">
      <alignment horizontal="center" vertical="center" wrapText="1"/>
    </xf>
    <xf numFmtId="0" fontId="5" fillId="2" borderId="0" xfId="0" applyFont="1" applyFill="1"/>
    <xf numFmtId="0" fontId="4" fillId="0" borderId="1" xfId="0" applyFont="1" applyBorder="1" applyAlignment="1">
      <alignment horizontal="justify" vertical="center" wrapText="1"/>
    </xf>
    <xf numFmtId="49" fontId="4" fillId="0" borderId="1" xfId="0" applyNumberFormat="1" applyFont="1" applyBorder="1" applyAlignment="1">
      <alignment horizontal="center" vertical="center" wrapText="1" shrinkToFit="1"/>
    </xf>
    <xf numFmtId="166" fontId="4"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49" fontId="7" fillId="0" borderId="1" xfId="0" applyNumberFormat="1" applyFont="1" applyBorder="1" applyAlignment="1">
      <alignment horizontal="center" vertical="center" wrapText="1" shrinkToFit="1"/>
    </xf>
    <xf numFmtId="166" fontId="7" fillId="0" borderId="1" xfId="0" applyNumberFormat="1" applyFont="1" applyBorder="1" applyAlignment="1">
      <alignment horizontal="center" vertical="center" wrapText="1"/>
    </xf>
    <xf numFmtId="0" fontId="10" fillId="2" borderId="0" xfId="0" applyFont="1" applyFill="1"/>
    <xf numFmtId="0" fontId="11"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49" fontId="4" fillId="5" borderId="1" xfId="0" applyNumberFormat="1" applyFont="1" applyFill="1" applyBorder="1" applyAlignment="1">
      <alignment horizontal="center" vertical="center" wrapText="1" shrinkToFit="1"/>
    </xf>
    <xf numFmtId="166" fontId="4" fillId="5" borderId="1" xfId="0" applyNumberFormat="1" applyFont="1" applyFill="1" applyBorder="1" applyAlignment="1">
      <alignment horizontal="center" vertical="center" wrapText="1"/>
    </xf>
    <xf numFmtId="0" fontId="3"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49" fontId="6" fillId="5" borderId="1" xfId="0" applyNumberFormat="1" applyFont="1" applyFill="1" applyBorder="1" applyAlignment="1">
      <alignment horizontal="center" vertical="center" wrapText="1" shrinkToFit="1"/>
    </xf>
    <xf numFmtId="166" fontId="6" fillId="5" borderId="1" xfId="0" applyNumberFormat="1" applyFont="1" applyFill="1" applyBorder="1" applyAlignment="1">
      <alignment horizontal="center" vertical="center" wrapText="1"/>
    </xf>
    <xf numFmtId="0" fontId="5" fillId="3" borderId="0" xfId="0" applyFont="1" applyFill="1"/>
    <xf numFmtId="0" fontId="4" fillId="3" borderId="1" xfId="0" applyFont="1" applyFill="1" applyBorder="1" applyAlignment="1">
      <alignment horizontal="justify" vertical="center" wrapText="1"/>
    </xf>
    <xf numFmtId="166" fontId="5" fillId="3" borderId="0" xfId="0" applyNumberFormat="1" applyFont="1" applyFill="1"/>
    <xf numFmtId="0" fontId="4" fillId="6" borderId="1" xfId="0" applyFont="1" applyFill="1" applyBorder="1" applyAlignment="1">
      <alignment horizontal="justify" vertical="center" wrapText="1"/>
    </xf>
    <xf numFmtId="49" fontId="4" fillId="6" borderId="1" xfId="0" applyNumberFormat="1" applyFont="1" applyFill="1" applyBorder="1" applyAlignment="1">
      <alignment horizontal="center" vertical="center" wrapText="1" shrinkToFit="1"/>
    </xf>
    <xf numFmtId="166" fontId="4" fillId="6" borderId="1" xfId="0" applyNumberFormat="1" applyFont="1" applyFill="1" applyBorder="1" applyAlignment="1">
      <alignment horizontal="center" vertical="center" wrapText="1"/>
    </xf>
    <xf numFmtId="166" fontId="4" fillId="5" borderId="1" xfId="0" applyNumberFormat="1" applyFont="1" applyFill="1" applyBorder="1" applyAlignment="1">
      <alignment horizontal="center" vertical="center" wrapText="1" shrinkToFit="1"/>
    </xf>
    <xf numFmtId="166" fontId="3" fillId="5" borderId="1" xfId="0" applyNumberFormat="1" applyFont="1" applyFill="1" applyBorder="1" applyAlignment="1">
      <alignment horizontal="center" vertical="center" wrapText="1" shrinkToFit="1"/>
    </xf>
    <xf numFmtId="166" fontId="4" fillId="6" borderId="1" xfId="0" applyNumberFormat="1" applyFont="1" applyFill="1" applyBorder="1" applyAlignment="1">
      <alignment horizontal="center" vertical="center" wrapText="1" shrinkToFit="1"/>
    </xf>
    <xf numFmtId="166" fontId="3" fillId="0" borderId="1" xfId="0" applyNumberFormat="1" applyFont="1" applyBorder="1" applyAlignment="1">
      <alignment horizontal="center" vertical="center" wrapText="1" shrinkToFit="1"/>
    </xf>
    <xf numFmtId="0" fontId="8" fillId="4" borderId="0" xfId="0" applyFont="1" applyFill="1"/>
    <xf numFmtId="49" fontId="6" fillId="2" borderId="1" xfId="0" applyNumberFormat="1" applyFont="1" applyFill="1" applyBorder="1" applyAlignment="1">
      <alignment horizontal="center" vertical="center" wrapText="1" shrinkToFit="1"/>
    </xf>
    <xf numFmtId="49" fontId="6" fillId="0" borderId="1" xfId="0"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6" fontId="5" fillId="2" borderId="0" xfId="0" applyNumberFormat="1" applyFont="1" applyFill="1"/>
    <xf numFmtId="0" fontId="6" fillId="2" borderId="1" xfId="0" applyFont="1" applyFill="1" applyBorder="1" applyAlignment="1">
      <alignment horizontal="justify" vertical="center" wrapText="1"/>
    </xf>
    <xf numFmtId="49" fontId="4" fillId="0" borderId="1" xfId="0" applyNumberFormat="1" applyFont="1" applyBorder="1" applyAlignment="1">
      <alignment horizontal="center" vertical="center" wrapText="1"/>
    </xf>
    <xf numFmtId="0" fontId="11" fillId="2" borderId="1" xfId="0" applyFont="1" applyFill="1" applyBorder="1" applyAlignment="1">
      <alignment horizontal="justify" vertical="center" wrapText="1"/>
    </xf>
    <xf numFmtId="0" fontId="11" fillId="6" borderId="1" xfId="0" applyFont="1" applyFill="1" applyBorder="1" applyAlignment="1">
      <alignment horizontal="justify" vertical="center" wrapText="1"/>
    </xf>
    <xf numFmtId="49" fontId="3" fillId="6" borderId="1" xfId="0" applyNumberFormat="1" applyFont="1" applyFill="1" applyBorder="1" applyAlignment="1">
      <alignment horizontal="center" vertical="center" wrapText="1" shrinkToFit="1"/>
    </xf>
    <xf numFmtId="166" fontId="3" fillId="6"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168" fontId="3"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49" fontId="7" fillId="2" borderId="1" xfId="0" applyNumberFormat="1" applyFont="1" applyFill="1" applyBorder="1" applyAlignment="1">
      <alignment horizontal="center" vertical="center" wrapText="1" shrinkToFit="1"/>
    </xf>
    <xf numFmtId="166" fontId="7" fillId="2" borderId="1" xfId="0" applyNumberFormat="1" applyFont="1" applyFill="1" applyBorder="1" applyAlignment="1">
      <alignment horizontal="center" vertical="center" wrapText="1"/>
    </xf>
    <xf numFmtId="0" fontId="6" fillId="7" borderId="1" xfId="0" applyFont="1" applyFill="1" applyBorder="1" applyAlignment="1">
      <alignment horizontal="justify" vertical="center" wrapText="1"/>
    </xf>
    <xf numFmtId="49" fontId="6" fillId="7" borderId="1" xfId="0" applyNumberFormat="1" applyFont="1" applyFill="1" applyBorder="1" applyAlignment="1">
      <alignment horizontal="center" vertical="center" wrapText="1" shrinkToFit="1"/>
    </xf>
    <xf numFmtId="166" fontId="6" fillId="7" borderId="1" xfId="0" applyNumberFormat="1" applyFont="1" applyFill="1" applyBorder="1" applyAlignment="1">
      <alignment horizontal="center" vertical="center" wrapText="1"/>
    </xf>
    <xf numFmtId="166" fontId="3" fillId="7" borderId="1" xfId="0" applyNumberFormat="1" applyFont="1" applyFill="1" applyBorder="1" applyAlignment="1">
      <alignment horizontal="center" vertical="center" wrapText="1"/>
    </xf>
    <xf numFmtId="0" fontId="11" fillId="7" borderId="1" xfId="0" applyFont="1" applyFill="1" applyBorder="1" applyAlignment="1">
      <alignment horizontal="justify" vertical="center" wrapText="1"/>
    </xf>
    <xf numFmtId="49" fontId="3" fillId="7" borderId="1" xfId="0" applyNumberFormat="1" applyFont="1" applyFill="1" applyBorder="1" applyAlignment="1">
      <alignment horizontal="center" vertical="center" wrapText="1" shrinkToFit="1"/>
    </xf>
    <xf numFmtId="0" fontId="3" fillId="7" borderId="1" xfId="0" applyFont="1" applyFill="1" applyBorder="1" applyAlignment="1">
      <alignment horizontal="justify" vertical="center" wrapText="1"/>
    </xf>
    <xf numFmtId="166" fontId="3" fillId="0" borderId="0" xfId="0" applyNumberFormat="1" applyFont="1" applyAlignment="1">
      <alignment horizontal="center" vertical="center" wrapText="1"/>
    </xf>
    <xf numFmtId="0" fontId="4" fillId="2" borderId="1" xfId="0" applyFont="1" applyFill="1" applyBorder="1" applyAlignment="1">
      <alignment horizontal="justify" vertical="center" wrapText="1"/>
    </xf>
    <xf numFmtId="49" fontId="4" fillId="2" borderId="1" xfId="0" applyNumberFormat="1" applyFont="1" applyFill="1" applyBorder="1" applyAlignment="1">
      <alignment horizontal="center" vertical="center" wrapText="1" shrinkToFit="1"/>
    </xf>
    <xf numFmtId="166" fontId="4" fillId="2" borderId="1" xfId="0" applyNumberFormat="1" applyFont="1" applyFill="1" applyBorder="1" applyAlignment="1">
      <alignment horizontal="center" vertical="center" wrapText="1"/>
    </xf>
    <xf numFmtId="168" fontId="3" fillId="0" borderId="1" xfId="0" applyNumberFormat="1" applyFont="1" applyBorder="1" applyAlignment="1">
      <alignment horizontal="center" vertical="center" wrapText="1" shrinkToFit="1"/>
    </xf>
    <xf numFmtId="166" fontId="3" fillId="2" borderId="1" xfId="0" applyNumberFormat="1" applyFont="1" applyFill="1" applyBorder="1" applyAlignment="1">
      <alignment horizontal="center" vertical="center"/>
    </xf>
    <xf numFmtId="0" fontId="1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xf numFmtId="0" fontId="3" fillId="2" borderId="1" xfId="0" applyFont="1" applyFill="1" applyBorder="1" applyAlignment="1">
      <alignment vertical="center" wrapText="1"/>
    </xf>
    <xf numFmtId="0" fontId="3" fillId="0" borderId="1" xfId="0" applyFont="1" applyBorder="1" applyAlignment="1">
      <alignment horizontal="justify" vertical="center"/>
    </xf>
    <xf numFmtId="49" fontId="4" fillId="4" borderId="0" xfId="0" applyNumberFormat="1" applyFont="1" applyFill="1" applyAlignment="1">
      <alignment horizontal="justify" vertical="center" shrinkToFit="1"/>
    </xf>
    <xf numFmtId="49" fontId="4" fillId="4" borderId="3" xfId="0" applyNumberFormat="1" applyFont="1" applyFill="1" applyBorder="1" applyAlignment="1">
      <alignment horizontal="center" vertical="center" wrapText="1" shrinkToFit="1"/>
    </xf>
    <xf numFmtId="166" fontId="4" fillId="4" borderId="3" xfId="0" applyNumberFormat="1" applyFont="1" applyFill="1" applyBorder="1" applyAlignment="1">
      <alignment horizontal="center" vertical="center" wrapText="1"/>
    </xf>
    <xf numFmtId="0" fontId="2" fillId="0" borderId="0" xfId="0" applyFont="1"/>
    <xf numFmtId="0" fontId="3" fillId="8" borderId="1" xfId="0" applyFont="1" applyFill="1" applyBorder="1" applyAlignment="1">
      <alignment horizontal="justify" vertical="center" wrapText="1"/>
    </xf>
    <xf numFmtId="49" fontId="3" fillId="8" borderId="1" xfId="0" applyNumberFormat="1" applyFont="1" applyFill="1" applyBorder="1" applyAlignment="1">
      <alignment horizontal="center" vertical="center" wrapText="1" shrinkToFit="1"/>
    </xf>
    <xf numFmtId="166" fontId="3" fillId="8" borderId="1" xfId="0" applyNumberFormat="1" applyFont="1" applyFill="1" applyBorder="1" applyAlignment="1">
      <alignment horizontal="center" vertical="center" wrapText="1"/>
    </xf>
    <xf numFmtId="0" fontId="7" fillId="7" borderId="1" xfId="0" applyFont="1" applyFill="1" applyBorder="1" applyAlignment="1">
      <alignment horizontal="justify" vertical="center" wrapText="1"/>
    </xf>
    <xf numFmtId="49" fontId="7" fillId="7" borderId="1" xfId="0" applyNumberFormat="1" applyFont="1" applyFill="1" applyBorder="1" applyAlignment="1">
      <alignment horizontal="center" vertical="center" wrapText="1" shrinkToFit="1"/>
    </xf>
    <xf numFmtId="166" fontId="7" fillId="7" borderId="1" xfId="0" applyNumberFormat="1" applyFont="1" applyFill="1" applyBorder="1" applyAlignment="1">
      <alignment horizontal="center" vertical="center" wrapText="1"/>
    </xf>
    <xf numFmtId="0" fontId="7" fillId="9" borderId="1" xfId="0" applyFont="1" applyFill="1" applyBorder="1" applyAlignment="1">
      <alignment horizontal="justify" vertical="center" wrapText="1"/>
    </xf>
    <xf numFmtId="49" fontId="7" fillId="9" borderId="1" xfId="0" applyNumberFormat="1" applyFont="1" applyFill="1" applyBorder="1" applyAlignment="1">
      <alignment horizontal="center" vertical="center" wrapText="1" shrinkToFit="1"/>
    </xf>
    <xf numFmtId="166" fontId="7" fillId="9" borderId="1" xfId="0" applyNumberFormat="1" applyFont="1" applyFill="1" applyBorder="1" applyAlignment="1">
      <alignment horizontal="center" vertical="center" wrapText="1"/>
    </xf>
    <xf numFmtId="0" fontId="3" fillId="9" borderId="1" xfId="0" applyFont="1" applyFill="1" applyBorder="1" applyAlignment="1">
      <alignment horizontal="justify" vertical="center" wrapText="1"/>
    </xf>
    <xf numFmtId="49" fontId="3" fillId="9" borderId="1" xfId="0" applyNumberFormat="1" applyFont="1" applyFill="1" applyBorder="1" applyAlignment="1">
      <alignment horizontal="center" vertical="center" wrapText="1" shrinkToFit="1"/>
    </xf>
    <xf numFmtId="166" fontId="3" fillId="9" borderId="1" xfId="0" applyNumberFormat="1" applyFont="1" applyFill="1" applyBorder="1" applyAlignment="1">
      <alignment horizontal="center" vertical="center" wrapText="1"/>
    </xf>
    <xf numFmtId="166" fontId="3" fillId="9" borderId="1" xfId="0" applyNumberFormat="1" applyFont="1" applyFill="1" applyBorder="1" applyAlignment="1">
      <alignment horizontal="center" vertical="center"/>
    </xf>
    <xf numFmtId="166" fontId="4" fillId="4"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0" xfId="0" applyFont="1" applyFill="1" applyAlignment="1">
      <alignment vertical="justify"/>
    </xf>
    <xf numFmtId="49" fontId="2" fillId="2" borderId="0" xfId="0" applyNumberFormat="1" applyFont="1" applyFill="1"/>
    <xf numFmtId="49" fontId="13" fillId="2" borderId="0" xfId="0" applyNumberFormat="1" applyFont="1" applyFill="1"/>
    <xf numFmtId="166" fontId="3" fillId="2" borderId="0" xfId="0" applyNumberFormat="1" applyFont="1" applyFill="1"/>
    <xf numFmtId="49" fontId="13" fillId="0" borderId="0" xfId="0" applyNumberFormat="1" applyFont="1"/>
    <xf numFmtId="49" fontId="2" fillId="0" borderId="0" xfId="0" applyNumberFormat="1" applyFont="1"/>
    <xf numFmtId="166" fontId="3" fillId="0" borderId="0" xfId="0" applyNumberFormat="1" applyFont="1" applyAlignment="1">
      <alignment vertical="center"/>
    </xf>
    <xf numFmtId="4" fontId="13" fillId="0" borderId="0" xfId="0" applyNumberFormat="1" applyFont="1" applyAlignment="1">
      <alignment horizontal="left"/>
    </xf>
    <xf numFmtId="4" fontId="2" fillId="0" borderId="0" xfId="0" applyNumberFormat="1" applyFont="1" applyAlignment="1">
      <alignment horizontal="center"/>
    </xf>
    <xf numFmtId="0" fontId="2" fillId="2" borderId="0" xfId="0" applyFont="1" applyFill="1" applyAlignment="1">
      <alignment horizontal="left"/>
    </xf>
    <xf numFmtId="4" fontId="13" fillId="10" borderId="0" xfId="0" applyNumberFormat="1" applyFont="1" applyFill="1"/>
    <xf numFmtId="4" fontId="3" fillId="10" borderId="0" xfId="0" applyNumberFormat="1" applyFont="1" applyFill="1"/>
    <xf numFmtId="4" fontId="7" fillId="10" borderId="0" xfId="0" applyNumberFormat="1" applyFont="1" applyFill="1"/>
    <xf numFmtId="4" fontId="2" fillId="2" borderId="0" xfId="0" applyNumberFormat="1" applyFont="1" applyFill="1" applyAlignment="1">
      <alignment horizontal="center"/>
    </xf>
    <xf numFmtId="4" fontId="9" fillId="2" borderId="0" xfId="0" applyNumberFormat="1" applyFont="1" applyFill="1"/>
    <xf numFmtId="4" fontId="3" fillId="2" borderId="0" xfId="0" applyNumberFormat="1" applyFont="1" applyFill="1"/>
    <xf numFmtId="0" fontId="3" fillId="2" borderId="0" xfId="0" applyFont="1" applyFill="1" applyAlignment="1">
      <alignment horizontal="justify" vertical="center"/>
    </xf>
    <xf numFmtId="49" fontId="4"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7" fillId="11" borderId="1" xfId="0" applyFont="1" applyFill="1" applyBorder="1" applyAlignment="1">
      <alignment vertical="top" wrapText="1"/>
    </xf>
    <xf numFmtId="49" fontId="3" fillId="11" borderId="1" xfId="0" applyNumberFormat="1" applyFont="1" applyFill="1" applyBorder="1" applyAlignment="1">
      <alignment horizontal="center" vertical="center" wrapText="1"/>
    </xf>
    <xf numFmtId="49" fontId="3" fillId="11" borderId="1" xfId="0" applyNumberFormat="1" applyFont="1" applyFill="1" applyBorder="1" applyAlignment="1">
      <alignment horizontal="center" vertical="center" wrapText="1" shrinkToFit="1"/>
    </xf>
    <xf numFmtId="166" fontId="7" fillId="11" borderId="1" xfId="0" applyNumberFormat="1" applyFont="1" applyFill="1" applyBorder="1" applyAlignment="1">
      <alignment horizontal="center" vertical="center" wrapText="1"/>
    </xf>
    <xf numFmtId="0" fontId="3" fillId="11" borderId="1" xfId="0" applyFont="1" applyFill="1" applyBorder="1" applyAlignment="1">
      <alignment vertical="center" wrapText="1"/>
    </xf>
    <xf numFmtId="166" fontId="3" fillId="11" borderId="1" xfId="0" applyNumberFormat="1" applyFont="1" applyFill="1" applyBorder="1" applyAlignment="1">
      <alignment horizontal="center" vertical="center" wrapText="1"/>
    </xf>
    <xf numFmtId="0" fontId="3" fillId="4" borderId="1" xfId="0" applyFont="1" applyFill="1" applyBorder="1" applyAlignment="1">
      <alignment horizontal="justify" vertical="center" wrapText="1"/>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shrinkToFit="1"/>
    </xf>
    <xf numFmtId="166" fontId="3" fillId="4" borderId="1" xfId="0" applyNumberFormat="1" applyFont="1" applyFill="1" applyBorder="1" applyAlignment="1">
      <alignment horizontal="center" vertical="center" wrapText="1"/>
    </xf>
    <xf numFmtId="0" fontId="7" fillId="2" borderId="0" xfId="0" applyFont="1" applyFill="1"/>
    <xf numFmtId="0" fontId="6" fillId="2" borderId="0" xfId="0" applyFont="1" applyFill="1"/>
    <xf numFmtId="49" fontId="3" fillId="6"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4" borderId="1" xfId="0" applyFont="1" applyFill="1" applyBorder="1" applyAlignment="1">
      <alignment horizontal="justify" vertical="center" wrapText="1"/>
    </xf>
    <xf numFmtId="49" fontId="7" fillId="4" borderId="1" xfId="0" applyNumberFormat="1" applyFont="1" applyFill="1" applyBorder="1" applyAlignment="1">
      <alignment horizontal="center" vertical="center" wrapText="1"/>
    </xf>
    <xf numFmtId="0" fontId="3" fillId="7" borderId="0" xfId="0" applyFont="1" applyFill="1"/>
    <xf numFmtId="49" fontId="3" fillId="7" borderId="1" xfId="0" applyNumberFormat="1" applyFont="1" applyFill="1" applyBorder="1" applyAlignment="1">
      <alignment horizontal="center" vertical="center" wrapText="1"/>
    </xf>
    <xf numFmtId="0" fontId="4" fillId="2" borderId="0" xfId="0" applyFont="1" applyFill="1"/>
    <xf numFmtId="168" fontId="6" fillId="0" borderId="1" xfId="0" applyNumberFormat="1" applyFont="1" applyBorder="1" applyAlignment="1">
      <alignment horizontal="center" vertical="center" wrapText="1" shrinkToFit="1"/>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66" fontId="4" fillId="12" borderId="1" xfId="0" applyNumberFormat="1" applyFont="1" applyFill="1" applyBorder="1" applyAlignment="1">
      <alignment horizontal="center" vertical="center" wrapText="1"/>
    </xf>
    <xf numFmtId="0" fontId="7" fillId="6" borderId="1" xfId="0" applyFont="1" applyFill="1" applyBorder="1" applyAlignment="1">
      <alignment vertical="top" wrapText="1"/>
    </xf>
    <xf numFmtId="166" fontId="7" fillId="6"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wrapText="1"/>
    </xf>
    <xf numFmtId="49" fontId="6" fillId="4" borderId="1" xfId="0" applyNumberFormat="1" applyFont="1" applyFill="1" applyBorder="1" applyAlignment="1">
      <alignment horizontal="center" vertical="center" wrapText="1" shrinkToFit="1"/>
    </xf>
    <xf numFmtId="166" fontId="6" fillId="4"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7" fillId="0" borderId="1" xfId="0" applyNumberFormat="1" applyFont="1" applyBorder="1" applyAlignment="1">
      <alignment horizontal="center" vertical="center"/>
    </xf>
    <xf numFmtId="0" fontId="11" fillId="8" borderId="1" xfId="0" applyFont="1" applyFill="1" applyBorder="1" applyAlignment="1">
      <alignment horizontal="justify" vertical="center" wrapText="1"/>
    </xf>
    <xf numFmtId="49" fontId="3" fillId="8" borderId="1" xfId="0" applyNumberFormat="1" applyFont="1" applyFill="1" applyBorder="1" applyAlignment="1">
      <alignment horizontal="center" vertical="center" wrapText="1"/>
    </xf>
    <xf numFmtId="49" fontId="6" fillId="8" borderId="1" xfId="0" applyNumberFormat="1" applyFont="1" applyFill="1" applyBorder="1" applyAlignment="1">
      <alignment horizontal="center" vertical="center" wrapText="1" shrinkToFit="1"/>
    </xf>
    <xf numFmtId="0" fontId="4" fillId="9" borderId="1" xfId="0" applyFont="1" applyFill="1" applyBorder="1" applyAlignment="1">
      <alignment horizontal="justify" vertical="center" wrapText="1"/>
    </xf>
    <xf numFmtId="49" fontId="4" fillId="9" borderId="1" xfId="0"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shrinkToFit="1"/>
    </xf>
    <xf numFmtId="166" fontId="4" fillId="9"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top"/>
    </xf>
    <xf numFmtId="0" fontId="4" fillId="2" borderId="1" xfId="0" applyFont="1" applyFill="1" applyBorder="1" applyAlignment="1">
      <alignment horizontal="justify" vertical="center"/>
    </xf>
    <xf numFmtId="49" fontId="4" fillId="2" borderId="1" xfId="0" applyNumberFormat="1" applyFont="1" applyFill="1" applyBorder="1"/>
    <xf numFmtId="49" fontId="3" fillId="0" borderId="0" xfId="0" applyNumberFormat="1" applyFont="1"/>
    <xf numFmtId="0" fontId="3" fillId="0" borderId="0" xfId="0" applyFont="1" applyAlignment="1">
      <alignment horizontal="center"/>
    </xf>
    <xf numFmtId="0" fontId="3" fillId="10" borderId="0" xfId="0" applyFont="1" applyFill="1"/>
    <xf numFmtId="0" fontId="7" fillId="10" borderId="0" xfId="0" applyFont="1" applyFill="1"/>
    <xf numFmtId="169" fontId="3" fillId="2" borderId="0" xfId="0" applyNumberFormat="1" applyFont="1" applyFill="1"/>
    <xf numFmtId="0" fontId="2" fillId="0" borderId="0" xfId="0" applyFont="1" applyAlignment="1">
      <alignment horizontal="center"/>
    </xf>
    <xf numFmtId="166" fontId="2" fillId="0" borderId="0" xfId="0" applyNumberFormat="1" applyFont="1"/>
    <xf numFmtId="0" fontId="14" fillId="2" borderId="0" xfId="0" applyFont="1" applyFill="1" applyAlignment="1">
      <alignment horizontal="right"/>
    </xf>
    <xf numFmtId="0" fontId="4" fillId="2" borderId="0" xfId="0" applyFont="1" applyFill="1" applyAlignment="1">
      <alignment horizontal="justify" vertical="center" wrapText="1"/>
    </xf>
    <xf numFmtId="0" fontId="4" fillId="0" borderId="0" xfId="0" applyFont="1" applyAlignment="1">
      <alignment horizontal="center" vertical="center" wrapText="1"/>
    </xf>
    <xf numFmtId="166" fontId="4" fillId="0" borderId="0" xfId="0" applyNumberFormat="1" applyFont="1" applyAlignment="1">
      <alignment horizontal="center" vertical="center" wrapText="1"/>
    </xf>
    <xf numFmtId="166" fontId="4" fillId="2" borderId="0" xfId="0" applyNumberFormat="1" applyFont="1" applyFill="1" applyAlignment="1">
      <alignment horizontal="center" vertical="center" wrapText="1"/>
    </xf>
    <xf numFmtId="49" fontId="2" fillId="2" borderId="0" xfId="0" applyNumberFormat="1" applyFont="1" applyFill="1" applyAlignment="1">
      <alignment horizontal="left"/>
    </xf>
    <xf numFmtId="49" fontId="2" fillId="0" borderId="0" xfId="0" applyNumberFormat="1" applyFont="1" applyAlignment="1">
      <alignment horizontal="center"/>
    </xf>
    <xf numFmtId="166" fontId="3" fillId="0" borderId="0" xfId="0" applyNumberFormat="1" applyFont="1" applyAlignment="1">
      <alignment horizontal="right"/>
    </xf>
    <xf numFmtId="166" fontId="3" fillId="2" borderId="0" xfId="0" applyNumberFormat="1" applyFont="1" applyFill="1" applyAlignment="1">
      <alignment horizontal="right"/>
    </xf>
    <xf numFmtId="3" fontId="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2" borderId="0" xfId="0" applyNumberFormat="1" applyFont="1" applyFill="1" applyAlignment="1">
      <alignment horizontal="center" vertical="center" wrapText="1"/>
    </xf>
    <xf numFmtId="0" fontId="4" fillId="8" borderId="1" xfId="0" applyFont="1" applyFill="1" applyBorder="1" applyAlignment="1">
      <alignment horizontal="justify" vertical="center" wrapText="1"/>
    </xf>
    <xf numFmtId="49" fontId="4" fillId="8" borderId="1" xfId="0" applyNumberFormat="1" applyFont="1" applyFill="1" applyBorder="1" applyAlignment="1">
      <alignment horizontal="center" vertical="center" wrapText="1"/>
    </xf>
    <xf numFmtId="166" fontId="4" fillId="8" borderId="1" xfId="0" applyNumberFormat="1" applyFont="1" applyFill="1" applyBorder="1" applyAlignment="1">
      <alignment horizontal="center" vertical="center" wrapText="1"/>
    </xf>
    <xf numFmtId="166" fontId="4" fillId="8" borderId="0" xfId="0" applyNumberFormat="1" applyFont="1" applyFill="1" applyAlignment="1">
      <alignment horizontal="center" vertical="center" wrapText="1"/>
    </xf>
    <xf numFmtId="0" fontId="6" fillId="6" borderId="1" xfId="0" applyFont="1" applyFill="1" applyBorder="1" applyAlignment="1">
      <alignment horizontal="justify" vertical="center" wrapText="1"/>
    </xf>
    <xf numFmtId="49" fontId="6" fillId="6" borderId="1" xfId="0" applyNumberFormat="1" applyFont="1" applyFill="1" applyBorder="1" applyAlignment="1">
      <alignment horizontal="center" vertical="center" wrapText="1"/>
    </xf>
    <xf numFmtId="166" fontId="6" fillId="6" borderId="1" xfId="0" applyNumberFormat="1" applyFont="1" applyFill="1" applyBorder="1" applyAlignment="1">
      <alignment horizontal="center" vertical="center" wrapText="1"/>
    </xf>
    <xf numFmtId="166" fontId="6" fillId="6" borderId="0" xfId="0" applyNumberFormat="1" applyFont="1" applyFill="1" applyAlignment="1">
      <alignment horizontal="center" vertical="center" wrapText="1"/>
    </xf>
    <xf numFmtId="166" fontId="7" fillId="0" borderId="0" xfId="0" applyNumberFormat="1" applyFont="1" applyAlignment="1">
      <alignment horizontal="center" vertical="center" wrapText="1"/>
    </xf>
    <xf numFmtId="166" fontId="3" fillId="2" borderId="0" xfId="0" applyNumberFormat="1" applyFont="1" applyFill="1" applyAlignment="1">
      <alignment horizontal="center" vertical="center" wrapText="1"/>
    </xf>
    <xf numFmtId="0" fontId="3" fillId="13" borderId="1" xfId="0" applyFont="1" applyFill="1" applyBorder="1" applyAlignment="1">
      <alignment horizontal="justify" vertical="center" wrapText="1"/>
    </xf>
    <xf numFmtId="49" fontId="3" fillId="13" borderId="1" xfId="0" applyNumberFormat="1" applyFont="1" applyFill="1" applyBorder="1" applyAlignment="1">
      <alignment horizontal="center" vertical="center" wrapText="1"/>
    </xf>
    <xf numFmtId="166" fontId="3" fillId="13" borderId="1" xfId="0" applyNumberFormat="1" applyFont="1" applyFill="1" applyBorder="1" applyAlignment="1">
      <alignment horizontal="center" vertical="center" wrapText="1"/>
    </xf>
    <xf numFmtId="166" fontId="3" fillId="13" borderId="0" xfId="0" applyNumberFormat="1" applyFont="1" applyFill="1" applyAlignment="1">
      <alignment horizontal="center" vertical="center" wrapText="1"/>
    </xf>
    <xf numFmtId="0" fontId="6" fillId="13" borderId="1" xfId="0" applyFont="1" applyFill="1" applyBorder="1" applyAlignment="1">
      <alignment horizontal="justify" vertical="center" wrapText="1"/>
    </xf>
    <xf numFmtId="49" fontId="6" fillId="13" borderId="1" xfId="0" applyNumberFormat="1" applyFont="1" applyFill="1" applyBorder="1" applyAlignment="1">
      <alignment horizontal="center" vertical="center" wrapText="1"/>
    </xf>
    <xf numFmtId="166" fontId="6" fillId="13" borderId="1" xfId="0" applyNumberFormat="1" applyFont="1" applyFill="1" applyBorder="1" applyAlignment="1">
      <alignment horizontal="center" vertical="center" wrapText="1"/>
    </xf>
    <xf numFmtId="166" fontId="6" fillId="13" borderId="0" xfId="0" applyNumberFormat="1" applyFont="1" applyFill="1" applyAlignment="1">
      <alignment horizontal="center" vertical="center" wrapText="1"/>
    </xf>
    <xf numFmtId="0" fontId="4" fillId="13" borderId="1" xfId="0" applyFont="1" applyFill="1" applyBorder="1" applyAlignment="1">
      <alignment horizontal="justify" vertical="center" wrapText="1"/>
    </xf>
    <xf numFmtId="49" fontId="4" fillId="13" borderId="1" xfId="0" applyNumberFormat="1" applyFont="1" applyFill="1" applyBorder="1" applyAlignment="1">
      <alignment horizontal="center" vertical="center" wrapText="1"/>
    </xf>
    <xf numFmtId="166" fontId="4" fillId="13" borderId="1" xfId="0" applyNumberFormat="1" applyFont="1" applyFill="1" applyBorder="1" applyAlignment="1">
      <alignment horizontal="center" vertical="center" wrapText="1"/>
    </xf>
    <xf numFmtId="166" fontId="4" fillId="13" borderId="0" xfId="0" applyNumberFormat="1" applyFont="1" applyFill="1" applyAlignment="1">
      <alignment horizontal="center" vertical="center" wrapText="1"/>
    </xf>
    <xf numFmtId="0" fontId="5" fillId="0" borderId="0" xfId="0" applyFont="1"/>
    <xf numFmtId="0" fontId="5" fillId="14" borderId="0" xfId="0" applyFont="1" applyFill="1"/>
    <xf numFmtId="0" fontId="9" fillId="14" borderId="0" xfId="0" applyFont="1" applyFill="1"/>
    <xf numFmtId="166" fontId="7" fillId="13" borderId="0" xfId="0" applyNumberFormat="1" applyFont="1" applyFill="1" applyAlignment="1">
      <alignment horizontal="center" vertical="center" wrapText="1"/>
    </xf>
    <xf numFmtId="49" fontId="7" fillId="0" borderId="3" xfId="0" applyNumberFormat="1" applyFont="1" applyBorder="1" applyAlignment="1">
      <alignment horizontal="center" vertical="center" wrapText="1"/>
    </xf>
    <xf numFmtId="49" fontId="3" fillId="0" borderId="0" xfId="0" applyNumberFormat="1" applyFont="1" applyAlignment="1">
      <alignment horizontal="justify" vertical="center"/>
    </xf>
    <xf numFmtId="166" fontId="3"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0" fontId="7" fillId="13" borderId="1" xfId="0" applyFont="1" applyFill="1" applyBorder="1" applyAlignment="1">
      <alignment horizontal="justify" vertical="center" wrapText="1"/>
    </xf>
    <xf numFmtId="49" fontId="7" fillId="13"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166" fontId="7" fillId="13" borderId="6" xfId="0" applyNumberFormat="1" applyFont="1" applyFill="1" applyBorder="1" applyAlignment="1">
      <alignment horizontal="center" vertical="center" wrapText="1"/>
    </xf>
    <xf numFmtId="166" fontId="3" fillId="13" borderId="6" xfId="0"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49" fontId="3" fillId="9" borderId="1" xfId="0" applyNumberFormat="1" applyFont="1" applyFill="1" applyBorder="1" applyAlignment="1">
      <alignment horizontal="center" vertical="center" wrapText="1"/>
    </xf>
    <xf numFmtId="166" fontId="3" fillId="9" borderId="0" xfId="0" applyNumberFormat="1" applyFont="1" applyFill="1" applyAlignment="1">
      <alignment horizontal="center" vertical="center" wrapText="1"/>
    </xf>
    <xf numFmtId="166" fontId="6" fillId="0" borderId="0" xfId="0" applyNumberFormat="1" applyFont="1" applyAlignment="1">
      <alignment horizontal="center" vertical="center" wrapText="1"/>
    </xf>
    <xf numFmtId="166" fontId="3" fillId="7" borderId="0" xfId="0" applyNumberFormat="1" applyFont="1" applyFill="1" applyAlignment="1">
      <alignment horizontal="center" vertical="center" wrapText="1"/>
    </xf>
    <xf numFmtId="166" fontId="3" fillId="2" borderId="5" xfId="0" applyNumberFormat="1" applyFont="1" applyFill="1" applyBorder="1" applyAlignment="1">
      <alignment horizontal="center" vertical="center" wrapText="1"/>
    </xf>
    <xf numFmtId="0" fontId="2" fillId="2" borderId="0" xfId="0" applyFont="1" applyFill="1" applyAlignment="1">
      <alignment horizontal="justify" vertical="center"/>
    </xf>
    <xf numFmtId="166" fontId="6" fillId="2" borderId="0" xfId="0" applyNumberFormat="1" applyFont="1" applyFill="1" applyAlignment="1">
      <alignment horizontal="center" vertical="center" wrapText="1"/>
    </xf>
    <xf numFmtId="49" fontId="3" fillId="2" borderId="1" xfId="0" applyNumberFormat="1" applyFont="1" applyFill="1" applyBorder="1" applyAlignment="1">
      <alignment horizontal="justify" vertical="center" wrapText="1"/>
    </xf>
    <xf numFmtId="49" fontId="3" fillId="0" borderId="0" xfId="0" applyNumberFormat="1" applyFont="1" applyAlignment="1">
      <alignment horizontal="center" vertical="center" wrapText="1"/>
    </xf>
    <xf numFmtId="166" fontId="7" fillId="2" borderId="0" xfId="0" applyNumberFormat="1" applyFont="1" applyFill="1" applyAlignment="1">
      <alignment horizontal="center" vertical="center" wrapText="1"/>
    </xf>
    <xf numFmtId="49" fontId="4" fillId="8" borderId="1" xfId="0" applyNumberFormat="1"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10" fontId="3" fillId="0" borderId="0" xfId="0" applyNumberFormat="1" applyFont="1" applyAlignment="1">
      <alignment horizontal="center" vertical="center" wrapText="1"/>
    </xf>
    <xf numFmtId="10" fontId="3" fillId="2" borderId="0" xfId="0" applyNumberFormat="1" applyFont="1" applyFill="1" applyAlignment="1">
      <alignment vertical="center"/>
    </xf>
    <xf numFmtId="49" fontId="3" fillId="0" borderId="1" xfId="0" applyNumberFormat="1" applyFont="1" applyBorder="1" applyAlignment="1">
      <alignment horizontal="justify" vertical="center"/>
    </xf>
    <xf numFmtId="4" fontId="3" fillId="2" borderId="0" xfId="0" applyNumberFormat="1" applyFont="1" applyFill="1" applyAlignment="1">
      <alignment vertical="center"/>
    </xf>
    <xf numFmtId="49" fontId="7" fillId="8" borderId="1" xfId="0" applyNumberFormat="1" applyFont="1" applyFill="1" applyBorder="1" applyAlignment="1">
      <alignment horizontal="center" vertical="center" wrapText="1"/>
    </xf>
    <xf numFmtId="49" fontId="7" fillId="8" borderId="1" xfId="0" applyNumberFormat="1" applyFont="1" applyFill="1" applyBorder="1" applyAlignment="1">
      <alignment horizontal="center" vertical="center" wrapText="1" shrinkToFit="1"/>
    </xf>
    <xf numFmtId="166" fontId="7" fillId="8" borderId="1" xfId="0" applyNumberFormat="1" applyFont="1" applyFill="1" applyBorder="1" applyAlignment="1">
      <alignment horizontal="center" vertical="center"/>
    </xf>
    <xf numFmtId="166" fontId="7" fillId="8" borderId="0" xfId="0" applyNumberFormat="1" applyFont="1" applyFill="1" applyAlignment="1">
      <alignment horizontal="center" vertical="center"/>
    </xf>
    <xf numFmtId="0" fontId="4" fillId="15" borderId="1" xfId="0" applyFont="1" applyFill="1" applyBorder="1" applyAlignment="1">
      <alignment horizontal="justify" vertical="center" wrapText="1"/>
    </xf>
    <xf numFmtId="0" fontId="7" fillId="15"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wrapText="1"/>
    </xf>
    <xf numFmtId="166" fontId="7" fillId="15" borderId="1" xfId="0" applyNumberFormat="1" applyFont="1" applyFill="1" applyBorder="1" applyAlignment="1">
      <alignment horizontal="center" vertical="center"/>
    </xf>
    <xf numFmtId="166" fontId="7" fillId="15" borderId="0" xfId="0" applyNumberFormat="1" applyFont="1" applyFill="1" applyAlignment="1">
      <alignment horizontal="center" vertical="center"/>
    </xf>
    <xf numFmtId="0" fontId="4" fillId="9" borderId="1" xfId="0" applyFont="1" applyFill="1" applyBorder="1" applyAlignment="1">
      <alignment horizontal="center" vertical="top" wrapText="1"/>
    </xf>
    <xf numFmtId="49" fontId="4" fillId="9" borderId="1" xfId="0" applyNumberFormat="1" applyFont="1" applyFill="1" applyBorder="1" applyAlignment="1">
      <alignment horizontal="center" vertical="top" wrapText="1"/>
    </xf>
    <xf numFmtId="166" fontId="4" fillId="9" borderId="0" xfId="0" applyNumberFormat="1" applyFont="1" applyFill="1" applyAlignment="1">
      <alignment horizontal="center" vertical="center" wrapText="1"/>
    </xf>
    <xf numFmtId="0" fontId="3" fillId="2" borderId="1" xfId="0" applyFont="1" applyFill="1" applyBorder="1" applyAlignment="1">
      <alignment horizontal="center" vertical="top" wrapText="1"/>
    </xf>
    <xf numFmtId="49" fontId="3" fillId="0" borderId="1" xfId="0" applyNumberFormat="1" applyFont="1" applyBorder="1" applyAlignment="1">
      <alignment horizontal="center" vertical="top" wrapText="1"/>
    </xf>
    <xf numFmtId="166" fontId="3" fillId="0" borderId="1" xfId="0" applyNumberFormat="1" applyFont="1" applyBorder="1" applyAlignment="1">
      <alignment horizontal="center" vertical="top"/>
    </xf>
    <xf numFmtId="166" fontId="3" fillId="2" borderId="1" xfId="0" applyNumberFormat="1" applyFont="1" applyFill="1" applyBorder="1" applyAlignment="1">
      <alignment horizontal="center" vertical="top"/>
    </xf>
    <xf numFmtId="166" fontId="3" fillId="2" borderId="0" xfId="0" applyNumberFormat="1" applyFont="1" applyFill="1" applyAlignment="1">
      <alignment horizontal="center" vertical="top"/>
    </xf>
    <xf numFmtId="166" fontId="2" fillId="2" borderId="0" xfId="0" applyNumberFormat="1" applyFont="1" applyFill="1" applyAlignment="1">
      <alignment horizontal="center" vertical="center"/>
    </xf>
    <xf numFmtId="0" fontId="3" fillId="16" borderId="1" xfId="0" applyFont="1" applyFill="1" applyBorder="1" applyAlignment="1">
      <alignment horizontal="justify" vertical="center" wrapText="1"/>
    </xf>
    <xf numFmtId="49" fontId="3" fillId="16" borderId="1" xfId="0" applyNumberFormat="1" applyFont="1" applyFill="1" applyBorder="1" applyAlignment="1">
      <alignment horizontal="center" vertical="center" wrapText="1"/>
    </xf>
    <xf numFmtId="166" fontId="3" fillId="16" borderId="1" xfId="0" applyNumberFormat="1" applyFont="1" applyFill="1" applyBorder="1" applyAlignment="1">
      <alignment horizontal="center" vertical="center"/>
    </xf>
    <xf numFmtId="166" fontId="3" fillId="16" borderId="0" xfId="0" applyNumberFormat="1" applyFont="1" applyFill="1" applyAlignment="1">
      <alignment horizontal="center" vertical="center"/>
    </xf>
    <xf numFmtId="166" fontId="3" fillId="2" borderId="0" xfId="0" applyNumberFormat="1" applyFont="1" applyFill="1" applyAlignment="1">
      <alignment horizontal="center" vertical="center"/>
    </xf>
    <xf numFmtId="0" fontId="2" fillId="7" borderId="0" xfId="0" applyFont="1" applyFill="1"/>
    <xf numFmtId="0" fontId="2" fillId="9" borderId="0" xfId="0" applyFont="1" applyFill="1"/>
    <xf numFmtId="0" fontId="3" fillId="8" borderId="1" xfId="0" applyFont="1" applyFill="1" applyBorder="1" applyAlignment="1">
      <alignment horizontal="center" vertical="top" wrapText="1"/>
    </xf>
    <xf numFmtId="49" fontId="3" fillId="8" borderId="1" xfId="0" applyNumberFormat="1" applyFont="1" applyFill="1" applyBorder="1" applyAlignment="1">
      <alignment horizontal="center" vertical="top" wrapText="1"/>
    </xf>
    <xf numFmtId="166" fontId="4" fillId="8" borderId="1" xfId="0" applyNumberFormat="1" applyFont="1" applyFill="1" applyBorder="1" applyAlignment="1">
      <alignment horizontal="center" vertical="top"/>
    </xf>
    <xf numFmtId="166" fontId="4" fillId="8" borderId="1" xfId="0" applyNumberFormat="1" applyFont="1" applyFill="1" applyBorder="1" applyAlignment="1">
      <alignment horizontal="center" vertical="center"/>
    </xf>
    <xf numFmtId="166" fontId="4" fillId="8" borderId="0" xfId="0" applyNumberFormat="1" applyFont="1" applyFill="1" applyAlignment="1">
      <alignment horizontal="center" vertical="center"/>
    </xf>
    <xf numFmtId="166" fontId="4" fillId="8" borderId="0" xfId="0" applyNumberFormat="1" applyFont="1" applyFill="1" applyAlignment="1">
      <alignment horizontal="center" vertical="top"/>
    </xf>
    <xf numFmtId="0" fontId="4" fillId="17" borderId="1" xfId="0" applyFont="1" applyFill="1" applyBorder="1" applyAlignment="1">
      <alignment horizontal="justify" vertical="center" wrapText="1"/>
    </xf>
    <xf numFmtId="0" fontId="4" fillId="17" borderId="1" xfId="0" applyFont="1" applyFill="1" applyBorder="1" applyAlignment="1">
      <alignment horizontal="center" vertical="top" wrapText="1"/>
    </xf>
    <xf numFmtId="49" fontId="4" fillId="17" borderId="1" xfId="0" applyNumberFormat="1" applyFont="1" applyFill="1" applyBorder="1" applyAlignment="1">
      <alignment horizontal="center" vertical="top" wrapText="1"/>
    </xf>
    <xf numFmtId="166" fontId="4" fillId="17" borderId="1" xfId="0" applyNumberFormat="1" applyFont="1" applyFill="1" applyBorder="1" applyAlignment="1">
      <alignment horizontal="center"/>
    </xf>
    <xf numFmtId="166" fontId="4" fillId="17" borderId="0" xfId="0" applyNumberFormat="1" applyFont="1" applyFill="1" applyAlignment="1">
      <alignment horizontal="center"/>
    </xf>
    <xf numFmtId="166" fontId="4" fillId="9" borderId="1" xfId="0" applyNumberFormat="1" applyFont="1" applyFill="1" applyBorder="1" applyAlignment="1">
      <alignment horizontal="center"/>
    </xf>
    <xf numFmtId="166" fontId="4" fillId="9" borderId="0" xfId="0" applyNumberFormat="1" applyFont="1" applyFill="1" applyAlignment="1">
      <alignment horizontal="center"/>
    </xf>
    <xf numFmtId="0" fontId="2" fillId="0" borderId="0" xfId="0" applyFont="1" applyAlignment="1">
      <alignment horizontal="left"/>
    </xf>
    <xf numFmtId="0" fontId="9" fillId="0" borderId="0" xfId="0" applyFont="1" applyAlignment="1">
      <alignment horizontal="left"/>
    </xf>
    <xf numFmtId="166" fontId="9" fillId="0" borderId="0" xfId="0" applyNumberFormat="1" applyFont="1"/>
    <xf numFmtId="0" fontId="3" fillId="0" borderId="0" xfId="2" applyFont="1" applyAlignment="1">
      <alignment horizontal="right"/>
    </xf>
    <xf numFmtId="0" fontId="2" fillId="0" borderId="0" xfId="0" applyFont="1" applyAlignment="1">
      <alignment horizontal="right"/>
    </xf>
    <xf numFmtId="164" fontId="3" fillId="0" borderId="0" xfId="1" applyNumberFormat="1" applyFont="1" applyAlignment="1">
      <alignment horizontal="right"/>
    </xf>
    <xf numFmtId="0" fontId="4" fillId="0" borderId="0" xfId="2" applyFont="1" applyAlignment="1">
      <alignment horizontal="center" vertical="justify" wrapText="1"/>
    </xf>
    <xf numFmtId="0" fontId="2" fillId="0" borderId="0" xfId="0" applyFont="1" applyAlignment="1">
      <alignment horizontal="center" vertical="justify" wrapText="1"/>
    </xf>
    <xf numFmtId="0" fontId="4" fillId="0" borderId="1" xfId="2" applyFont="1" applyBorder="1" applyAlignment="1">
      <alignment horizontal="center" vertical="center" wrapText="1"/>
    </xf>
    <xf numFmtId="0" fontId="3" fillId="0" borderId="0" xfId="0" applyFont="1" applyAlignment="1">
      <alignment horizontal="right"/>
    </xf>
    <xf numFmtId="0" fontId="4" fillId="0" borderId="0" xfId="2"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7" fontId="4" fillId="0" borderId="3" xfId="0" applyNumberFormat="1" applyFont="1" applyBorder="1" applyAlignment="1">
      <alignment horizontal="center" vertical="center" wrapText="1"/>
    </xf>
    <xf numFmtId="167" fontId="4" fillId="0" borderId="4" xfId="0" applyNumberFormat="1" applyFont="1" applyBorder="1" applyAlignment="1">
      <alignment horizontal="center" vertical="center" wrapText="1"/>
    </xf>
    <xf numFmtId="166" fontId="4" fillId="0" borderId="3" xfId="0" applyNumberFormat="1" applyFont="1" applyBorder="1" applyAlignment="1">
      <alignment horizontal="center" vertical="center" wrapText="1"/>
    </xf>
    <xf numFmtId="166" fontId="4"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2" borderId="0" xfId="0" applyFont="1" applyFill="1" applyAlignment="1">
      <alignment horizontal="right"/>
    </xf>
    <xf numFmtId="0" fontId="3" fillId="2" borderId="0" xfId="0" applyFont="1" applyFill="1" applyAlignment="1">
      <alignment horizontal="right" wrapText="1"/>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3" fillId="2" borderId="0" xfId="0" applyFont="1" applyFill="1" applyAlignment="1">
      <alignment horizontal="right" vertical="center"/>
    </xf>
    <xf numFmtId="0" fontId="4" fillId="2" borderId="0" xfId="0" applyFont="1" applyFill="1" applyAlignment="1">
      <alignment horizontal="center"/>
    </xf>
    <xf numFmtId="0" fontId="4" fillId="2" borderId="1" xfId="0" applyFont="1" applyFill="1" applyBorder="1" applyAlignment="1">
      <alignment horizontal="justify" vertical="center" wrapText="1"/>
    </xf>
    <xf numFmtId="0" fontId="14" fillId="2" borderId="0" xfId="0" applyFont="1" applyFill="1" applyAlignment="1">
      <alignment horizontal="right"/>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2" fillId="0" borderId="7" xfId="0" applyFont="1" applyBorder="1"/>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pageSetUpPr fitToPage="1"/>
  </sheetPr>
  <dimension ref="A1:J24"/>
  <sheetViews>
    <sheetView view="pageBreakPreview" zoomScale="70" workbookViewId="0">
      <selection activeCell="C21" sqref="C21"/>
    </sheetView>
  </sheetViews>
  <sheetFormatPr defaultColWidth="8.85546875" defaultRowHeight="15"/>
  <cols>
    <col min="1" max="1" width="26.7109375" style="1" customWidth="1"/>
    <col min="2" max="2" width="35.7109375" style="1" customWidth="1"/>
    <col min="3" max="3" width="20.28515625" style="1" customWidth="1"/>
    <col min="4" max="5" width="19.7109375" style="1" customWidth="1"/>
    <col min="6" max="6" width="13.7109375" style="1" bestFit="1" customWidth="1"/>
    <col min="7" max="7" width="12.42578125" style="1" bestFit="1" customWidth="1"/>
    <col min="8" max="8" width="8.85546875" style="1"/>
    <col min="9" max="9" width="9.140625" style="1" bestFit="1" customWidth="1"/>
    <col min="10" max="10" width="11.7109375" style="1" bestFit="1" customWidth="1"/>
    <col min="11" max="16384" width="8.85546875" style="1"/>
  </cols>
  <sheetData>
    <row r="1" spans="1:7" ht="15.75">
      <c r="A1" s="2"/>
      <c r="B1" s="3"/>
      <c r="C1" s="355" t="s">
        <v>0</v>
      </c>
      <c r="D1" s="355"/>
      <c r="E1" s="356"/>
    </row>
    <row r="2" spans="1:7" ht="15.75">
      <c r="A2" s="2"/>
      <c r="B2" s="355" t="s">
        <v>1</v>
      </c>
      <c r="C2" s="355"/>
      <c r="D2" s="355"/>
      <c r="E2" s="356"/>
    </row>
    <row r="3" spans="1:7" ht="15.75">
      <c r="A3" s="2"/>
      <c r="B3" s="357" t="s">
        <v>2</v>
      </c>
      <c r="C3" s="357"/>
      <c r="D3" s="357"/>
      <c r="E3" s="356"/>
    </row>
    <row r="4" spans="1:7" ht="15.75">
      <c r="A4" s="2"/>
      <c r="B4" s="355" t="s">
        <v>3</v>
      </c>
      <c r="C4" s="355"/>
      <c r="D4" s="355"/>
      <c r="E4" s="356"/>
    </row>
    <row r="5" spans="1:7" ht="15.75">
      <c r="A5" s="2"/>
      <c r="B5" s="4"/>
      <c r="C5" s="4"/>
    </row>
    <row r="6" spans="1:7" ht="18.75" customHeight="1">
      <c r="A6" s="358" t="s">
        <v>4</v>
      </c>
      <c r="B6" s="358"/>
      <c r="C6" s="358"/>
      <c r="D6" s="358"/>
      <c r="E6" s="359"/>
    </row>
    <row r="7" spans="1:7" ht="15.75">
      <c r="A7" s="5"/>
      <c r="B7" s="5"/>
      <c r="C7" s="5"/>
    </row>
    <row r="8" spans="1:7" ht="18.75" customHeight="1">
      <c r="A8" s="6"/>
      <c r="B8" s="5"/>
      <c r="C8" s="5"/>
      <c r="D8" s="7"/>
      <c r="E8" s="7" t="s">
        <v>5</v>
      </c>
    </row>
    <row r="9" spans="1:7">
      <c r="A9" s="360" t="s">
        <v>6</v>
      </c>
      <c r="B9" s="360" t="s">
        <v>7</v>
      </c>
      <c r="C9" s="360" t="s">
        <v>8</v>
      </c>
      <c r="D9" s="360" t="s">
        <v>9</v>
      </c>
      <c r="E9" s="360" t="s">
        <v>10</v>
      </c>
    </row>
    <row r="10" spans="1:7">
      <c r="A10" s="360"/>
      <c r="B10" s="360"/>
      <c r="C10" s="360"/>
      <c r="D10" s="360"/>
      <c r="E10" s="360"/>
    </row>
    <row r="11" spans="1:7" ht="19.5" customHeight="1">
      <c r="A11" s="360"/>
      <c r="B11" s="360"/>
      <c r="C11" s="360"/>
      <c r="D11" s="360"/>
      <c r="E11" s="360"/>
    </row>
    <row r="12" spans="1:7" ht="47.25">
      <c r="A12" s="8" t="s">
        <v>11</v>
      </c>
      <c r="B12" s="9" t="s">
        <v>12</v>
      </c>
      <c r="C12" s="10">
        <f>C13+C14</f>
        <v>1766.8633500000001</v>
      </c>
      <c r="D12" s="10">
        <f>D13+D14</f>
        <v>1766.8633500000001</v>
      </c>
      <c r="E12" s="10">
        <f>E13+E14</f>
        <v>420.00000999999975</v>
      </c>
    </row>
    <row r="13" spans="1:7" ht="47.25">
      <c r="A13" s="11" t="s">
        <v>13</v>
      </c>
      <c r="B13" s="12" t="s">
        <v>14</v>
      </c>
      <c r="C13" s="13">
        <v>1766.8633500000001</v>
      </c>
      <c r="D13" s="13">
        <f>C13+1766.86335</f>
        <v>3533.7267000000002</v>
      </c>
      <c r="E13" s="13">
        <f>D13+420.00001</f>
        <v>3953.7267099999999</v>
      </c>
    </row>
    <row r="14" spans="1:7" ht="63">
      <c r="A14" s="11" t="s">
        <v>15</v>
      </c>
      <c r="B14" s="12" t="s">
        <v>16</v>
      </c>
      <c r="C14" s="13">
        <v>0</v>
      </c>
      <c r="D14" s="13">
        <v>-1766.8633500000001</v>
      </c>
      <c r="E14" s="13">
        <v>-3533.7267000000002</v>
      </c>
      <c r="G14" s="14"/>
    </row>
    <row r="15" spans="1:7" ht="47.25">
      <c r="A15" s="8" t="s">
        <v>17</v>
      </c>
      <c r="B15" s="9" t="s">
        <v>18</v>
      </c>
      <c r="C15" s="10">
        <f>C16+C17</f>
        <v>-1766.8633500000001</v>
      </c>
      <c r="D15" s="10">
        <f>D16+D17</f>
        <v>-1766.8633500000001</v>
      </c>
      <c r="E15" s="10">
        <f>E16+E17</f>
        <v>-420.00000999999997</v>
      </c>
    </row>
    <row r="16" spans="1:7" ht="78.75">
      <c r="A16" s="11" t="s">
        <v>19</v>
      </c>
      <c r="B16" s="15" t="s">
        <v>20</v>
      </c>
      <c r="C16" s="13">
        <v>0</v>
      </c>
      <c r="D16" s="13">
        <v>0</v>
      </c>
      <c r="E16" s="13">
        <v>0</v>
      </c>
    </row>
    <row r="17" spans="1:10" ht="78.75">
      <c r="A17" s="11" t="s">
        <v>21</v>
      </c>
      <c r="B17" s="12" t="s">
        <v>22</v>
      </c>
      <c r="C17" s="13">
        <f>-(926.86335+840)</f>
        <v>-1766.8633500000001</v>
      </c>
      <c r="D17" s="13">
        <f>-(926.86335+840)</f>
        <v>-1766.8633500000001</v>
      </c>
      <c r="E17" s="13">
        <v>-420.00000999999997</v>
      </c>
      <c r="G17" s="14"/>
    </row>
    <row r="18" spans="1:10" ht="31.5">
      <c r="A18" s="8" t="s">
        <v>23</v>
      </c>
      <c r="B18" s="9" t="s">
        <v>24</v>
      </c>
      <c r="C18" s="10">
        <f>C19+C20</f>
        <v>40077.627135151532</v>
      </c>
      <c r="D18" s="10">
        <f>D19+D20</f>
        <v>-9.8731834441423416E-7</v>
      </c>
      <c r="E18" s="10">
        <f>E19+E20</f>
        <v>1.248437911272049E-6</v>
      </c>
      <c r="G18" s="14"/>
      <c r="J18" s="14"/>
    </row>
    <row r="19" spans="1:10" ht="47.25">
      <c r="A19" s="11" t="s">
        <v>25</v>
      </c>
      <c r="B19" s="12" t="s">
        <v>26</v>
      </c>
      <c r="C19" s="13">
        <f>-('2  '!D103+C13+C16)</f>
        <v>-1042909.42267</v>
      </c>
      <c r="D19" s="13">
        <f>-('2  '!E103+D13+D16)</f>
        <v>-941610.92660000012</v>
      </c>
      <c r="E19" s="13">
        <f>-('2  '!F103+E13+E16)</f>
        <v>-1004404.6310900002</v>
      </c>
      <c r="F19" s="14"/>
      <c r="I19" s="16"/>
    </row>
    <row r="20" spans="1:10" ht="47.25">
      <c r="A20" s="11" t="s">
        <v>27</v>
      </c>
      <c r="B20" s="12" t="s">
        <v>28</v>
      </c>
      <c r="C20" s="13">
        <f>'5'!D343-C17-C14</f>
        <v>1082987.0498051515</v>
      </c>
      <c r="D20" s="13">
        <f>'5'!E343-D17-D14</f>
        <v>941610.9265990128</v>
      </c>
      <c r="E20" s="13">
        <f>'5'!F343-E17-E14</f>
        <v>1004404.6310912486</v>
      </c>
      <c r="F20" s="14"/>
      <c r="G20" s="14"/>
    </row>
    <row r="21" spans="1:10" ht="15.75">
      <c r="A21" s="8"/>
      <c r="B21" s="17" t="s">
        <v>29</v>
      </c>
      <c r="C21" s="10">
        <f>C12+C15+C18</f>
        <v>40077.627135151532</v>
      </c>
      <c r="D21" s="10">
        <f>D12+D15+D18</f>
        <v>-9.8731834441423416E-7</v>
      </c>
      <c r="E21" s="10">
        <f>E12+E15+E18</f>
        <v>1.2484376838983735E-6</v>
      </c>
    </row>
    <row r="22" spans="1:10">
      <c r="C22" s="14"/>
    </row>
    <row r="23" spans="1:10">
      <c r="C23" s="14"/>
      <c r="D23" s="14"/>
    </row>
    <row r="24" spans="1:10">
      <c r="C24" s="14"/>
    </row>
  </sheetData>
  <mergeCells count="10">
    <mergeCell ref="A9:A11"/>
    <mergeCell ref="B9:B11"/>
    <mergeCell ref="C9:C11"/>
    <mergeCell ref="D9:D11"/>
    <mergeCell ref="E9:E11"/>
    <mergeCell ref="C1:E1"/>
    <mergeCell ref="B2:E2"/>
    <mergeCell ref="B3:E3"/>
    <mergeCell ref="B4:E4"/>
    <mergeCell ref="A6:E6"/>
  </mergeCell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pageSetUpPr fitToPage="1"/>
  </sheetPr>
  <dimension ref="A1:IG116"/>
  <sheetViews>
    <sheetView tabSelected="1" view="pageBreakPreview" zoomScale="70" workbookViewId="0">
      <selection activeCell="F108" sqref="F108"/>
    </sheetView>
  </sheetViews>
  <sheetFormatPr defaultColWidth="13.28515625" defaultRowHeight="15.75"/>
  <cols>
    <col min="1" max="1" width="25.85546875" style="19" customWidth="1"/>
    <col min="2" max="2" width="87.85546875" style="20" customWidth="1"/>
    <col min="3" max="3" width="16" style="18" hidden="1" customWidth="1"/>
    <col min="4" max="4" width="17.5703125" style="21" customWidth="1"/>
    <col min="5" max="5" width="20.5703125" style="21" customWidth="1"/>
    <col min="6" max="6" width="20" style="20" customWidth="1"/>
    <col min="7" max="9" width="17" style="22" customWidth="1"/>
    <col min="10" max="12" width="14.5703125" style="18" customWidth="1"/>
    <col min="13" max="231" width="8.85546875" style="18" customWidth="1"/>
    <col min="232" max="232" width="24" style="18" customWidth="1"/>
    <col min="233" max="233" width="9.140625" style="18" customWidth="1"/>
    <col min="234" max="234" width="51.5703125" style="18" customWidth="1"/>
    <col min="235" max="236" width="0" style="18" hidden="1" customWidth="1"/>
    <col min="237" max="237" width="16.7109375" style="18" customWidth="1"/>
    <col min="238" max="238" width="0" style="18" hidden="1" customWidth="1"/>
    <col min="239" max="239" width="16.7109375" style="18" customWidth="1"/>
    <col min="240" max="240" width="0" style="18" hidden="1" customWidth="1"/>
    <col min="241" max="16384" width="13.28515625" style="18"/>
  </cols>
  <sheetData>
    <row r="1" spans="1:6">
      <c r="C1" s="23" t="s">
        <v>30</v>
      </c>
      <c r="D1" s="361" t="s">
        <v>31</v>
      </c>
      <c r="E1" s="361"/>
      <c r="F1" s="361"/>
    </row>
    <row r="2" spans="1:6">
      <c r="C2" s="23"/>
      <c r="D2" s="361" t="s">
        <v>32</v>
      </c>
      <c r="E2" s="361"/>
      <c r="F2" s="361"/>
    </row>
    <row r="3" spans="1:6">
      <c r="C3" s="23"/>
      <c r="D3" s="361" t="s">
        <v>2</v>
      </c>
      <c r="E3" s="361"/>
      <c r="F3" s="361"/>
    </row>
    <row r="4" spans="1:6">
      <c r="C4" s="23"/>
      <c r="D4" s="361" t="s">
        <v>33</v>
      </c>
      <c r="E4" s="361"/>
      <c r="F4" s="361"/>
    </row>
    <row r="5" spans="1:6">
      <c r="C5" s="24"/>
    </row>
    <row r="6" spans="1:6" ht="18.75" customHeight="1">
      <c r="A6" s="362" t="s">
        <v>34</v>
      </c>
      <c r="B6" s="362"/>
      <c r="C6" s="362"/>
      <c r="D6" s="362"/>
      <c r="E6" s="362"/>
      <c r="F6" s="362"/>
    </row>
    <row r="7" spans="1:6">
      <c r="A7" s="25"/>
      <c r="B7" s="26"/>
      <c r="C7" s="27"/>
      <c r="F7" s="28"/>
    </row>
    <row r="8" spans="1:6" ht="15.75" customHeight="1">
      <c r="A8" s="363" t="s">
        <v>6</v>
      </c>
      <c r="B8" s="363" t="s">
        <v>35</v>
      </c>
      <c r="C8" s="365" t="s">
        <v>36</v>
      </c>
      <c r="D8" s="367" t="s">
        <v>37</v>
      </c>
      <c r="E8" s="367" t="s">
        <v>38</v>
      </c>
      <c r="F8" s="367" t="s">
        <v>39</v>
      </c>
    </row>
    <row r="9" spans="1:6">
      <c r="A9" s="364"/>
      <c r="B9" s="364"/>
      <c r="C9" s="366"/>
      <c r="D9" s="368"/>
      <c r="E9" s="368"/>
      <c r="F9" s="368"/>
    </row>
    <row r="10" spans="1:6">
      <c r="A10" s="30" t="s">
        <v>40</v>
      </c>
      <c r="B10" s="31" t="s">
        <v>41</v>
      </c>
      <c r="C10" s="32">
        <f>C11+C13+C15+C20+C22+C29+C31+C34+C38+C39</f>
        <v>213214.3</v>
      </c>
      <c r="D10" s="32">
        <f>D11+D13+D15+D20+D22+D29+D31+D34+D38+D39</f>
        <v>369058.36200999998</v>
      </c>
      <c r="E10" s="32">
        <f>E11+E13+E15+E20+E22+E29+E31+E34+E38+E39</f>
        <v>361634</v>
      </c>
      <c r="F10" s="32">
        <f>F11+F13+F15+F20+F22+F29+F31+F34+F38+F39</f>
        <v>387454</v>
      </c>
    </row>
    <row r="11" spans="1:6">
      <c r="A11" s="30" t="s">
        <v>42</v>
      </c>
      <c r="B11" s="31" t="s">
        <v>43</v>
      </c>
      <c r="C11" s="32">
        <f>SUM(C12)</f>
        <v>178061</v>
      </c>
      <c r="D11" s="32">
        <f>SUM(D12)</f>
        <v>296415</v>
      </c>
      <c r="E11" s="32">
        <f>SUM(E12)</f>
        <v>314821</v>
      </c>
      <c r="F11" s="32">
        <f>SUM(F12)</f>
        <v>332106</v>
      </c>
    </row>
    <row r="12" spans="1:6">
      <c r="A12" s="33" t="s">
        <v>44</v>
      </c>
      <c r="B12" s="34" t="s">
        <v>45</v>
      </c>
      <c r="C12" s="35">
        <v>178061</v>
      </c>
      <c r="D12" s="36">
        <v>296415</v>
      </c>
      <c r="E12" s="36">
        <v>314821</v>
      </c>
      <c r="F12" s="36">
        <v>332106</v>
      </c>
    </row>
    <row r="13" spans="1:6" ht="31.5">
      <c r="A13" s="30" t="s">
        <v>46</v>
      </c>
      <c r="B13" s="31" t="s">
        <v>47</v>
      </c>
      <c r="C13" s="32">
        <f>SUM(C14)</f>
        <v>15464</v>
      </c>
      <c r="D13" s="32">
        <f>SUM(D14)</f>
        <v>23547</v>
      </c>
      <c r="E13" s="32">
        <f>SUM(E14)</f>
        <v>24647</v>
      </c>
      <c r="F13" s="32">
        <f>SUM(F14)</f>
        <v>33140</v>
      </c>
    </row>
    <row r="14" spans="1:6" ht="31.5">
      <c r="A14" s="33" t="s">
        <v>48</v>
      </c>
      <c r="B14" s="34" t="s">
        <v>49</v>
      </c>
      <c r="C14" s="35">
        <v>15464</v>
      </c>
      <c r="D14" s="36">
        <v>23547</v>
      </c>
      <c r="E14" s="36">
        <v>24647</v>
      </c>
      <c r="F14" s="36">
        <v>33140</v>
      </c>
    </row>
    <row r="15" spans="1:6">
      <c r="A15" s="30" t="s">
        <v>50</v>
      </c>
      <c r="B15" s="31" t="s">
        <v>51</v>
      </c>
      <c r="C15" s="32">
        <f>SUM(C16:C19)</f>
        <v>1576.4</v>
      </c>
      <c r="D15" s="32">
        <f>SUM(D16:D19)</f>
        <v>4851</v>
      </c>
      <c r="E15" s="32">
        <f>SUM(E16:E19)</f>
        <v>4995</v>
      </c>
      <c r="F15" s="32">
        <f>SUM(F16:F19)</f>
        <v>4891</v>
      </c>
    </row>
    <row r="16" spans="1:6">
      <c r="A16" s="33" t="s">
        <v>52</v>
      </c>
      <c r="B16" s="34" t="s">
        <v>53</v>
      </c>
      <c r="C16" s="35">
        <v>293.39999999999998</v>
      </c>
      <c r="D16" s="35">
        <v>648</v>
      </c>
      <c r="E16" s="35">
        <v>648</v>
      </c>
      <c r="F16" s="36">
        <v>670</v>
      </c>
    </row>
    <row r="17" spans="1:6">
      <c r="A17" s="33" t="s">
        <v>54</v>
      </c>
      <c r="B17" s="34" t="s">
        <v>55</v>
      </c>
      <c r="C17" s="35"/>
      <c r="D17" s="35">
        <v>0</v>
      </c>
      <c r="E17" s="35">
        <v>0</v>
      </c>
      <c r="F17" s="36">
        <v>0</v>
      </c>
    </row>
    <row r="18" spans="1:6">
      <c r="A18" s="33" t="s">
        <v>56</v>
      </c>
      <c r="B18" s="34" t="s">
        <v>57</v>
      </c>
      <c r="C18" s="35">
        <v>1213</v>
      </c>
      <c r="D18" s="36">
        <v>494</v>
      </c>
      <c r="E18" s="36">
        <v>509</v>
      </c>
      <c r="F18" s="36">
        <v>525</v>
      </c>
    </row>
    <row r="19" spans="1:6" ht="31.5">
      <c r="A19" s="33" t="s">
        <v>58</v>
      </c>
      <c r="B19" s="34" t="s">
        <v>59</v>
      </c>
      <c r="C19" s="35">
        <v>70</v>
      </c>
      <c r="D19" s="36">
        <v>3709</v>
      </c>
      <c r="E19" s="36">
        <v>3838</v>
      </c>
      <c r="F19" s="36">
        <v>3696</v>
      </c>
    </row>
    <row r="20" spans="1:6">
      <c r="A20" s="30" t="s">
        <v>60</v>
      </c>
      <c r="B20" s="31" t="s">
        <v>61</v>
      </c>
      <c r="C20" s="32">
        <f>SUM(C21:C21)</f>
        <v>3052</v>
      </c>
      <c r="D20" s="32">
        <f>SUM(D21:D21)</f>
        <v>3030</v>
      </c>
      <c r="E20" s="32">
        <f>SUM(E21:E21)</f>
        <v>3000</v>
      </c>
      <c r="F20" s="32">
        <f>SUM(F21:F21)</f>
        <v>3000</v>
      </c>
    </row>
    <row r="21" spans="1:6" ht="31.5">
      <c r="A21" s="33" t="s">
        <v>62</v>
      </c>
      <c r="B21" s="34" t="s">
        <v>63</v>
      </c>
      <c r="C21" s="35">
        <v>3052</v>
      </c>
      <c r="D21" s="36">
        <f>2545+220+265</f>
        <v>3030</v>
      </c>
      <c r="E21" s="36">
        <v>3000</v>
      </c>
      <c r="F21" s="36">
        <v>3000</v>
      </c>
    </row>
    <row r="22" spans="1:6" ht="31.5">
      <c r="A22" s="30" t="s">
        <v>64</v>
      </c>
      <c r="B22" s="31" t="s">
        <v>65</v>
      </c>
      <c r="C22" s="32">
        <f>SUM(C23:C27)</f>
        <v>13196.900000000001</v>
      </c>
      <c r="D22" s="32">
        <f>SUM(D23:D28)</f>
        <v>13669.95</v>
      </c>
      <c r="E22" s="32">
        <f>SUM(E23:E27)</f>
        <v>9711</v>
      </c>
      <c r="F22" s="32">
        <f>SUM(F23:F27)</f>
        <v>9817</v>
      </c>
    </row>
    <row r="23" spans="1:6" ht="78.75">
      <c r="A23" s="33" t="s">
        <v>66</v>
      </c>
      <c r="B23" s="34" t="s">
        <v>67</v>
      </c>
      <c r="C23" s="35">
        <v>2267.1</v>
      </c>
      <c r="D23" s="36">
        <v>1620</v>
      </c>
      <c r="E23" s="36">
        <v>1620</v>
      </c>
      <c r="F23" s="36">
        <v>1620</v>
      </c>
    </row>
    <row r="24" spans="1:6" ht="63" customHeight="1">
      <c r="A24" s="33" t="s">
        <v>68</v>
      </c>
      <c r="B24" s="34" t="s">
        <v>69</v>
      </c>
      <c r="C24" s="35">
        <v>7300</v>
      </c>
      <c r="D24" s="36">
        <v>5250</v>
      </c>
      <c r="E24" s="36">
        <v>5250</v>
      </c>
      <c r="F24" s="36">
        <v>5250</v>
      </c>
    </row>
    <row r="25" spans="1:6" ht="63">
      <c r="A25" s="33" t="s">
        <v>70</v>
      </c>
      <c r="B25" s="34" t="s">
        <v>71</v>
      </c>
      <c r="C25" s="35">
        <v>116</v>
      </c>
      <c r="D25" s="36">
        <f>157+175</f>
        <v>332</v>
      </c>
      <c r="E25" s="36">
        <v>157</v>
      </c>
      <c r="F25" s="36">
        <v>157</v>
      </c>
    </row>
    <row r="26" spans="1:6" ht="47.25">
      <c r="A26" s="33" t="s">
        <v>72</v>
      </c>
      <c r="B26" s="34" t="s">
        <v>73</v>
      </c>
      <c r="C26" s="35">
        <v>3203.8</v>
      </c>
      <c r="D26" s="36">
        <v>41</v>
      </c>
      <c r="E26" s="36">
        <v>42</v>
      </c>
      <c r="F26" s="36">
        <v>43</v>
      </c>
    </row>
    <row r="27" spans="1:6" ht="31.5">
      <c r="A27" s="33" t="s">
        <v>74</v>
      </c>
      <c r="B27" s="34" t="s">
        <v>75</v>
      </c>
      <c r="C27" s="35">
        <v>310</v>
      </c>
      <c r="D27" s="36">
        <f>2501+2942+517.95</f>
        <v>5960.95</v>
      </c>
      <c r="E27" s="36">
        <v>2642</v>
      </c>
      <c r="F27" s="36">
        <v>2747</v>
      </c>
    </row>
    <row r="28" spans="1:6" ht="78.75">
      <c r="A28" s="33" t="s">
        <v>76</v>
      </c>
      <c r="B28" s="34" t="s">
        <v>77</v>
      </c>
      <c r="C28" s="35"/>
      <c r="D28" s="36">
        <v>466</v>
      </c>
      <c r="E28" s="36">
        <v>424</v>
      </c>
      <c r="F28" s="36">
        <v>424</v>
      </c>
    </row>
    <row r="29" spans="1:6">
      <c r="A29" s="30" t="s">
        <v>78</v>
      </c>
      <c r="B29" s="31" t="s">
        <v>79</v>
      </c>
      <c r="C29" s="32">
        <f>SUM(C30)</f>
        <v>475</v>
      </c>
      <c r="D29" s="32">
        <f>SUM(D30)</f>
        <v>830</v>
      </c>
      <c r="E29" s="32">
        <f>SUM(E30)</f>
        <v>830</v>
      </c>
      <c r="F29" s="32">
        <f>SUM(F30)</f>
        <v>830</v>
      </c>
    </row>
    <row r="30" spans="1:6" ht="22.5" customHeight="1">
      <c r="A30" s="33" t="s">
        <v>80</v>
      </c>
      <c r="B30" s="34" t="s">
        <v>81</v>
      </c>
      <c r="C30" s="35">
        <v>475</v>
      </c>
      <c r="D30" s="36">
        <v>830</v>
      </c>
      <c r="E30" s="36">
        <v>830</v>
      </c>
      <c r="F30" s="36">
        <v>830</v>
      </c>
    </row>
    <row r="31" spans="1:6" ht="34.5" customHeight="1">
      <c r="A31" s="30" t="s">
        <v>82</v>
      </c>
      <c r="B31" s="31" t="s">
        <v>83</v>
      </c>
      <c r="C31" s="32">
        <f>SUM(C33:C33)</f>
        <v>1139</v>
      </c>
      <c r="D31" s="32">
        <f>D33+D32</f>
        <v>1098.54</v>
      </c>
      <c r="E31" s="32">
        <f>E33+E32</f>
        <v>1038</v>
      </c>
      <c r="F31" s="32">
        <f>F33+F32</f>
        <v>1078</v>
      </c>
    </row>
    <row r="32" spans="1:6" ht="34.5" customHeight="1">
      <c r="A32" s="33" t="s">
        <v>84</v>
      </c>
      <c r="B32" s="34" t="s">
        <v>85</v>
      </c>
      <c r="C32" s="35">
        <v>1139</v>
      </c>
      <c r="D32" s="36">
        <f>998+100.54</f>
        <v>1098.54</v>
      </c>
      <c r="E32" s="36">
        <v>1038</v>
      </c>
      <c r="F32" s="36">
        <v>1078</v>
      </c>
    </row>
    <row r="33" spans="1:12" hidden="1">
      <c r="A33" s="33" t="s">
        <v>86</v>
      </c>
      <c r="B33" s="34" t="s">
        <v>87</v>
      </c>
      <c r="C33" s="35">
        <v>1139</v>
      </c>
      <c r="D33" s="36"/>
      <c r="E33" s="36"/>
      <c r="F33" s="36"/>
    </row>
    <row r="34" spans="1:12" ht="31.5">
      <c r="A34" s="30" t="s">
        <v>88</v>
      </c>
      <c r="B34" s="31" t="s">
        <v>89</v>
      </c>
      <c r="C34" s="32">
        <f>SUM(C35:C37)</f>
        <v>250</v>
      </c>
      <c r="D34" s="32">
        <f>SUM(D35:D37)</f>
        <v>23766.872009999999</v>
      </c>
      <c r="E34" s="32">
        <f>SUM(E35:E37)</f>
        <v>300</v>
      </c>
      <c r="F34" s="32">
        <f>SUM(F35:F37)</f>
        <v>300</v>
      </c>
    </row>
    <row r="35" spans="1:12" ht="66.75" customHeight="1">
      <c r="A35" s="33" t="s">
        <v>90</v>
      </c>
      <c r="B35" s="34" t="s">
        <v>91</v>
      </c>
      <c r="C35" s="35">
        <v>0</v>
      </c>
      <c r="D35" s="36">
        <f>17160.93267+4341.96734+1729.5</f>
        <v>23232.400009999998</v>
      </c>
      <c r="E35" s="36">
        <v>0</v>
      </c>
      <c r="F35" s="36">
        <v>0</v>
      </c>
    </row>
    <row r="36" spans="1:12" ht="47.25" hidden="1">
      <c r="A36" s="33" t="s">
        <v>92</v>
      </c>
      <c r="B36" s="34" t="s">
        <v>93</v>
      </c>
      <c r="C36" s="35"/>
      <c r="D36" s="36"/>
      <c r="E36" s="36"/>
      <c r="F36" s="36"/>
    </row>
    <row r="37" spans="1:12" ht="38.25" customHeight="1">
      <c r="A37" s="33" t="s">
        <v>94</v>
      </c>
      <c r="B37" s="34" t="s">
        <v>95</v>
      </c>
      <c r="C37" s="35">
        <v>250</v>
      </c>
      <c r="D37" s="36">
        <f>300+234.416+0.056</f>
        <v>534.47199999999998</v>
      </c>
      <c r="E37" s="36">
        <v>300</v>
      </c>
      <c r="F37" s="36">
        <v>300</v>
      </c>
    </row>
    <row r="38" spans="1:12">
      <c r="A38" s="30" t="s">
        <v>96</v>
      </c>
      <c r="B38" s="31" t="s">
        <v>97</v>
      </c>
      <c r="C38" s="32">
        <v>0</v>
      </c>
      <c r="D38" s="37">
        <f>1170+600+80</f>
        <v>1850</v>
      </c>
      <c r="E38" s="37">
        <v>1850</v>
      </c>
      <c r="F38" s="37">
        <v>1850</v>
      </c>
    </row>
    <row r="39" spans="1:12">
      <c r="A39" s="30" t="s">
        <v>98</v>
      </c>
      <c r="B39" s="31" t="s">
        <v>99</v>
      </c>
      <c r="C39" s="32">
        <f>SUM(C40)</f>
        <v>0</v>
      </c>
      <c r="D39" s="32">
        <f>SUM(D40)</f>
        <v>0</v>
      </c>
      <c r="E39" s="32">
        <v>442</v>
      </c>
      <c r="F39" s="32">
        <v>442</v>
      </c>
    </row>
    <row r="40" spans="1:12" hidden="1">
      <c r="A40" s="33"/>
      <c r="B40" s="34"/>
      <c r="C40" s="35"/>
      <c r="D40" s="35"/>
      <c r="E40" s="35"/>
      <c r="F40" s="35"/>
    </row>
    <row r="41" spans="1:12">
      <c r="A41" s="30" t="s">
        <v>100</v>
      </c>
      <c r="B41" s="31" t="s">
        <v>101</v>
      </c>
      <c r="C41" s="32" t="e">
        <f>C42</f>
        <v>#REF!</v>
      </c>
      <c r="D41" s="32">
        <f>D42</f>
        <v>672084.19731000008</v>
      </c>
      <c r="E41" s="32">
        <f>E42</f>
        <v>576443.19990000012</v>
      </c>
      <c r="F41" s="32">
        <f>F42</f>
        <v>612996.9043800002</v>
      </c>
    </row>
    <row r="42" spans="1:12" ht="31.5">
      <c r="A42" s="33" t="s">
        <v>102</v>
      </c>
      <c r="B42" s="34" t="s">
        <v>103</v>
      </c>
      <c r="C42" s="32" t="e">
        <f>C43+C46+C72+#REF!</f>
        <v>#REF!</v>
      </c>
      <c r="D42" s="32">
        <f>D43+D46+D72+D97</f>
        <v>672084.19731000008</v>
      </c>
      <c r="E42" s="32">
        <f>E43+E46+E72+E97</f>
        <v>576443.19990000012</v>
      </c>
      <c r="F42" s="32">
        <f>F43+F46+F72+F97</f>
        <v>612996.9043800002</v>
      </c>
      <c r="G42" s="38"/>
      <c r="H42" s="38"/>
      <c r="I42" s="38"/>
      <c r="J42" s="22"/>
      <c r="K42" s="22"/>
      <c r="L42" s="22"/>
    </row>
    <row r="43" spans="1:12">
      <c r="A43" s="30" t="s">
        <v>104</v>
      </c>
      <c r="B43" s="31" t="s">
        <v>105</v>
      </c>
      <c r="C43" s="32">
        <f>C44+C45</f>
        <v>0</v>
      </c>
      <c r="D43" s="37">
        <f>D44+D45</f>
        <v>140366.52100000001</v>
      </c>
      <c r="E43" s="37">
        <f>E44+E45</f>
        <v>67696.650999999998</v>
      </c>
      <c r="F43" s="37">
        <f>F44+F45</f>
        <v>67696.650999999998</v>
      </c>
    </row>
    <row r="44" spans="1:12" ht="31.5">
      <c r="A44" s="33" t="s">
        <v>106</v>
      </c>
      <c r="B44" s="34" t="s">
        <v>107</v>
      </c>
      <c r="C44" s="35"/>
      <c r="D44" s="36">
        <v>140366.52100000001</v>
      </c>
      <c r="E44" s="36">
        <v>67696.650999999998</v>
      </c>
      <c r="F44" s="36">
        <v>67696.650999999998</v>
      </c>
    </row>
    <row r="45" spans="1:12" ht="31.5">
      <c r="A45" s="33" t="s">
        <v>108</v>
      </c>
      <c r="B45" s="34" t="s">
        <v>109</v>
      </c>
      <c r="C45" s="35"/>
      <c r="D45" s="36">
        <v>0</v>
      </c>
      <c r="E45" s="36">
        <v>0</v>
      </c>
      <c r="F45" s="36">
        <v>0</v>
      </c>
    </row>
    <row r="46" spans="1:12" ht="31.5">
      <c r="A46" s="30" t="s">
        <v>110</v>
      </c>
      <c r="B46" s="31" t="s">
        <v>111</v>
      </c>
      <c r="C46" s="32" t="e">
        <f>C58+#REF!</f>
        <v>#REF!</v>
      </c>
      <c r="D46" s="37">
        <f>D48+D51+D55+D57+D58+D56</f>
        <v>64982.0841</v>
      </c>
      <c r="E46" s="37">
        <f t="shared" ref="E46:F46" si="0">E48+E51+E55+E57+E58+E56</f>
        <v>2500.80393</v>
      </c>
      <c r="F46" s="37">
        <f t="shared" si="0"/>
        <v>9064.9810600000001</v>
      </c>
      <c r="G46" s="38"/>
      <c r="H46" s="38"/>
      <c r="I46" s="38"/>
      <c r="J46" s="22"/>
      <c r="K46" s="22"/>
      <c r="L46" s="22"/>
    </row>
    <row r="47" spans="1:12" ht="47.25" hidden="1">
      <c r="A47" s="33" t="s">
        <v>112</v>
      </c>
      <c r="B47" s="34" t="s">
        <v>113</v>
      </c>
      <c r="C47" s="35"/>
      <c r="D47" s="36"/>
      <c r="E47" s="36"/>
      <c r="F47" s="36"/>
    </row>
    <row r="48" spans="1:12" ht="66" customHeight="1">
      <c r="A48" s="33" t="s">
        <v>114</v>
      </c>
      <c r="B48" s="34" t="s">
        <v>115</v>
      </c>
      <c r="C48" s="35"/>
      <c r="D48" s="36">
        <v>3025.4287199999999</v>
      </c>
      <c r="E48" s="36">
        <v>0</v>
      </c>
      <c r="F48" s="36">
        <v>6118.08878</v>
      </c>
    </row>
    <row r="49" spans="1:6" ht="47.25" hidden="1">
      <c r="A49" s="33" t="s">
        <v>114</v>
      </c>
      <c r="B49" s="34" t="s">
        <v>116</v>
      </c>
      <c r="C49" s="35"/>
      <c r="D49" s="36"/>
      <c r="E49" s="36"/>
      <c r="F49" s="36"/>
    </row>
    <row r="50" spans="1:6" ht="54" hidden="1" customHeight="1">
      <c r="A50" s="33" t="s">
        <v>117</v>
      </c>
      <c r="B50" s="39" t="s">
        <v>118</v>
      </c>
      <c r="C50" s="35"/>
      <c r="D50" s="36"/>
      <c r="E50" s="36"/>
      <c r="F50" s="36"/>
    </row>
    <row r="51" spans="1:6" ht="35.25" customHeight="1">
      <c r="A51" s="33" t="s">
        <v>119</v>
      </c>
      <c r="B51" s="34" t="s">
        <v>120</v>
      </c>
      <c r="C51" s="35"/>
      <c r="D51" s="36">
        <f>3710.85187-2692.71333</f>
        <v>1018.1385399999999</v>
      </c>
      <c r="E51" s="36">
        <f>2111.5735-778.77457</f>
        <v>1332.7989299999999</v>
      </c>
      <c r="F51" s="36">
        <f>2881.22063-1102.33335</f>
        <v>1778.8872799999997</v>
      </c>
    </row>
    <row r="52" spans="1:6" ht="63" hidden="1">
      <c r="A52" s="33" t="s">
        <v>114</v>
      </c>
      <c r="B52" s="34" t="s">
        <v>121</v>
      </c>
      <c r="C52" s="35"/>
      <c r="D52" s="36"/>
      <c r="E52" s="36"/>
      <c r="F52" s="36"/>
    </row>
    <row r="53" spans="1:6" ht="31.5" hidden="1" customHeight="1">
      <c r="A53" s="33"/>
      <c r="B53" s="34" t="s">
        <v>122</v>
      </c>
      <c r="C53" s="35"/>
      <c r="D53" s="36"/>
      <c r="E53" s="36"/>
      <c r="F53" s="36"/>
    </row>
    <row r="54" spans="1:6" ht="47.25" hidden="1" customHeight="1">
      <c r="A54" s="33"/>
      <c r="B54" s="34" t="s">
        <v>123</v>
      </c>
      <c r="C54" s="35"/>
      <c r="D54" s="36"/>
      <c r="E54" s="36"/>
      <c r="F54" s="36"/>
    </row>
    <row r="55" spans="1:6" ht="98.25" customHeight="1">
      <c r="A55" s="33" t="s">
        <v>124</v>
      </c>
      <c r="B55" s="34" t="s">
        <v>125</v>
      </c>
      <c r="C55" s="35"/>
      <c r="D55" s="36">
        <f>4148.65854+0.01616</f>
        <v>4148.6747000000005</v>
      </c>
      <c r="E55" s="36">
        <f>68598.76543-68598.76543</f>
        <v>0</v>
      </c>
      <c r="F55" s="36">
        <v>0</v>
      </c>
    </row>
    <row r="56" spans="1:6" ht="47.25" customHeight="1">
      <c r="A56" s="40" t="s">
        <v>126</v>
      </c>
      <c r="B56" s="369" t="s">
        <v>127</v>
      </c>
      <c r="C56" s="369"/>
      <c r="D56" s="36">
        <f>2025.57634-24.40453</f>
        <v>2001.1718100000001</v>
      </c>
      <c r="E56" s="36">
        <f>1761.51234-1761.51234</f>
        <v>0</v>
      </c>
      <c r="F56" s="36">
        <f>1761.51234-1761.51234</f>
        <v>0</v>
      </c>
    </row>
    <row r="57" spans="1:6" ht="37.5" customHeight="1">
      <c r="A57" s="33" t="s">
        <v>128</v>
      </c>
      <c r="B57" s="34" t="s">
        <v>129</v>
      </c>
      <c r="C57" s="35"/>
      <c r="D57" s="36">
        <f>1729.58049+5689.37884-1414.80308</f>
        <v>6004.1562500000009</v>
      </c>
      <c r="E57" s="36">
        <f>1750.93333-1750.93333</f>
        <v>0</v>
      </c>
      <c r="F57" s="36">
        <f>1750.93333-1750.93333</f>
        <v>0</v>
      </c>
    </row>
    <row r="58" spans="1:6">
      <c r="A58" s="41" t="s">
        <v>130</v>
      </c>
      <c r="B58" s="42" t="s">
        <v>131</v>
      </c>
      <c r="C58" s="43" t="e">
        <f>#REF!</f>
        <v>#REF!</v>
      </c>
      <c r="D58" s="44">
        <f>SUM(D59:D71)</f>
        <v>48784.514080000001</v>
      </c>
      <c r="E58" s="44">
        <f>SUM(E60:E71)</f>
        <v>1168.0050000000001</v>
      </c>
      <c r="F58" s="44">
        <f>SUM(F60:F71)</f>
        <v>1168.0050000000001</v>
      </c>
    </row>
    <row r="59" spans="1:6" ht="80.25" hidden="1" customHeight="1">
      <c r="A59" s="33" t="s">
        <v>130</v>
      </c>
      <c r="B59" s="34" t="s">
        <v>132</v>
      </c>
      <c r="C59" s="43"/>
      <c r="D59" s="36"/>
      <c r="E59" s="36"/>
      <c r="F59" s="36"/>
    </row>
    <row r="60" spans="1:6" ht="47.25">
      <c r="A60" s="33" t="s">
        <v>130</v>
      </c>
      <c r="B60" s="34" t="s">
        <v>133</v>
      </c>
      <c r="C60" s="43"/>
      <c r="D60" s="36">
        <v>2970</v>
      </c>
      <c r="E60" s="36">
        <v>0</v>
      </c>
      <c r="F60" s="36">
        <v>0</v>
      </c>
    </row>
    <row r="61" spans="1:6" ht="47.25">
      <c r="A61" s="33" t="s">
        <v>130</v>
      </c>
      <c r="B61" s="34" t="s">
        <v>134</v>
      </c>
      <c r="C61" s="43"/>
      <c r="D61" s="36">
        <v>1500</v>
      </c>
      <c r="E61" s="36">
        <v>0</v>
      </c>
      <c r="F61" s="36">
        <v>0</v>
      </c>
    </row>
    <row r="62" spans="1:6" ht="47.25">
      <c r="A62" s="33" t="s">
        <v>130</v>
      </c>
      <c r="B62" s="34" t="s">
        <v>135</v>
      </c>
      <c r="C62" s="43"/>
      <c r="D62" s="36">
        <v>33170.544000000002</v>
      </c>
      <c r="E62" s="36">
        <v>0</v>
      </c>
      <c r="F62" s="36">
        <v>0</v>
      </c>
    </row>
    <row r="63" spans="1:6" ht="37.9" hidden="1" customHeight="1">
      <c r="A63" s="33" t="s">
        <v>130</v>
      </c>
      <c r="B63" s="34" t="s">
        <v>136</v>
      </c>
      <c r="C63" s="43"/>
      <c r="D63" s="36"/>
      <c r="E63" s="36"/>
      <c r="F63" s="36"/>
    </row>
    <row r="64" spans="1:6" ht="47.25">
      <c r="A64" s="33" t="s">
        <v>130</v>
      </c>
      <c r="B64" s="34" t="s">
        <v>123</v>
      </c>
      <c r="C64" s="43"/>
      <c r="D64" s="36">
        <v>8404.0649799999992</v>
      </c>
      <c r="E64" s="36">
        <v>0</v>
      </c>
      <c r="F64" s="36">
        <v>0</v>
      </c>
    </row>
    <row r="65" spans="1:12" ht="37.5" customHeight="1">
      <c r="A65" s="33" t="s">
        <v>130</v>
      </c>
      <c r="B65" s="369" t="s">
        <v>137</v>
      </c>
      <c r="C65" s="369"/>
      <c r="D65" s="36">
        <v>115.08951</v>
      </c>
      <c r="E65" s="36">
        <v>0</v>
      </c>
      <c r="F65" s="36">
        <v>0</v>
      </c>
    </row>
    <row r="66" spans="1:12" ht="43.5" hidden="1" customHeight="1">
      <c r="A66" s="33"/>
      <c r="B66" s="34"/>
      <c r="C66" s="35"/>
      <c r="D66" s="36"/>
      <c r="E66" s="36"/>
      <c r="F66" s="36"/>
    </row>
    <row r="67" spans="1:12" ht="55.5" customHeight="1">
      <c r="A67" s="33" t="s">
        <v>130</v>
      </c>
      <c r="B67" s="34" t="s">
        <v>138</v>
      </c>
      <c r="C67" s="35"/>
      <c r="D67" s="36">
        <v>1000</v>
      </c>
      <c r="E67" s="36">
        <v>1000</v>
      </c>
      <c r="F67" s="36">
        <v>1000</v>
      </c>
    </row>
    <row r="68" spans="1:12" ht="50.25" customHeight="1">
      <c r="A68" s="33" t="s">
        <v>130</v>
      </c>
      <c r="B68" s="34" t="s">
        <v>139</v>
      </c>
      <c r="C68" s="35"/>
      <c r="D68" s="36">
        <v>168.005</v>
      </c>
      <c r="E68" s="36">
        <v>168.005</v>
      </c>
      <c r="F68" s="36">
        <v>168.005</v>
      </c>
    </row>
    <row r="69" spans="1:12" ht="33" customHeight="1">
      <c r="A69" s="33" t="s">
        <v>130</v>
      </c>
      <c r="B69" s="34" t="s">
        <v>140</v>
      </c>
      <c r="C69" s="35"/>
      <c r="D69" s="36">
        <v>1456.81059</v>
      </c>
      <c r="E69" s="36">
        <v>0</v>
      </c>
      <c r="F69" s="36">
        <v>0</v>
      </c>
    </row>
    <row r="70" spans="1:12" ht="45" hidden="1" customHeight="1">
      <c r="A70" s="33" t="s">
        <v>130</v>
      </c>
      <c r="B70" s="369" t="s">
        <v>141</v>
      </c>
      <c r="C70" s="369"/>
      <c r="D70" s="36"/>
      <c r="E70" s="36"/>
      <c r="F70" s="36"/>
    </row>
    <row r="71" spans="1:12" ht="49.5" hidden="1" customHeight="1">
      <c r="A71" s="33" t="s">
        <v>130</v>
      </c>
      <c r="B71" s="34" t="s">
        <v>142</v>
      </c>
      <c r="C71" s="35"/>
      <c r="D71" s="36">
        <f>2811.6-2811.6</f>
        <v>0</v>
      </c>
      <c r="E71" s="36">
        <v>0</v>
      </c>
      <c r="F71" s="36">
        <v>0</v>
      </c>
    </row>
    <row r="72" spans="1:12" ht="40.5" customHeight="1">
      <c r="A72" s="30" t="s">
        <v>143</v>
      </c>
      <c r="B72" s="31" t="s">
        <v>144</v>
      </c>
      <c r="C72" s="32" t="e">
        <f>C91+#REF!+C89+C73+#REF!</f>
        <v>#REF!</v>
      </c>
      <c r="D72" s="32">
        <f>D73+D95</f>
        <v>428407.46990000008</v>
      </c>
      <c r="E72" s="32">
        <f>E73+E95</f>
        <v>469088.3989700001</v>
      </c>
      <c r="F72" s="32">
        <f>F73+F95</f>
        <v>498819.98779000016</v>
      </c>
    </row>
    <row r="73" spans="1:12" ht="39.75" customHeight="1">
      <c r="A73" s="41" t="s">
        <v>145</v>
      </c>
      <c r="B73" s="42" t="s">
        <v>146</v>
      </c>
      <c r="C73" s="43" t="e">
        <f>#REF!+C90+#REF!+C75+C77+C78+#REF!+C81+C82+C83+C74+C85+C79+#REF!</f>
        <v>#REF!</v>
      </c>
      <c r="D73" s="43">
        <f>SUM(D74:D92)</f>
        <v>427946.02490000008</v>
      </c>
      <c r="E73" s="43">
        <f>SUM(E74:E92)</f>
        <v>468606.78897000011</v>
      </c>
      <c r="F73" s="43">
        <f>SUM(F74:F92)</f>
        <v>498319.11379000015</v>
      </c>
      <c r="G73" s="38"/>
      <c r="H73" s="38"/>
      <c r="I73" s="38"/>
      <c r="J73" s="22"/>
      <c r="K73" s="22"/>
      <c r="L73" s="22"/>
    </row>
    <row r="74" spans="1:12" ht="63">
      <c r="A74" s="33" t="s">
        <v>145</v>
      </c>
      <c r="B74" s="34" t="s">
        <v>147</v>
      </c>
      <c r="C74" s="35">
        <v>2375</v>
      </c>
      <c r="D74" s="36">
        <v>530</v>
      </c>
      <c r="E74" s="36">
        <v>0</v>
      </c>
      <c r="F74" s="36">
        <v>0</v>
      </c>
    </row>
    <row r="75" spans="1:12" ht="63">
      <c r="A75" s="33" t="s">
        <v>145</v>
      </c>
      <c r="B75" s="34" t="s">
        <v>148</v>
      </c>
      <c r="C75" s="35">
        <v>48045.527999999998</v>
      </c>
      <c r="D75" s="36">
        <f>55537.088-2795.422</f>
        <v>52741.666000000005</v>
      </c>
      <c r="E75" s="36">
        <f>62674.21-4427.196</f>
        <v>58247.013999999996</v>
      </c>
      <c r="F75" s="36">
        <f>68341.114-5812.06</f>
        <v>62529.054000000004</v>
      </c>
    </row>
    <row r="76" spans="1:12" ht="70.5" customHeight="1">
      <c r="A76" s="33" t="s">
        <v>145</v>
      </c>
      <c r="B76" s="34" t="s">
        <v>149</v>
      </c>
      <c r="C76" s="35"/>
      <c r="D76" s="36">
        <f>284320.005-10861.342</f>
        <v>273458.663</v>
      </c>
      <c r="E76" s="36">
        <f>321750.134-19045.621</f>
        <v>302704.51300000004</v>
      </c>
      <c r="F76" s="36">
        <f>351378.465-25999.921</f>
        <v>325378.54400000005</v>
      </c>
    </row>
    <row r="77" spans="1:12" ht="47.25">
      <c r="A77" s="33" t="s">
        <v>145</v>
      </c>
      <c r="B77" s="34" t="s">
        <v>150</v>
      </c>
      <c r="C77" s="35">
        <v>3064.058</v>
      </c>
      <c r="D77" s="36">
        <v>4447.0524999999998</v>
      </c>
      <c r="E77" s="36">
        <v>6112.8</v>
      </c>
      <c r="F77" s="36">
        <v>6112.8</v>
      </c>
    </row>
    <row r="78" spans="1:12" ht="47.25" customHeight="1">
      <c r="A78" s="33" t="s">
        <v>145</v>
      </c>
      <c r="B78" s="34" t="s">
        <v>151</v>
      </c>
      <c r="C78" s="35">
        <v>768.47400000000005</v>
      </c>
      <c r="D78" s="36">
        <f>1111.581+1.347</f>
        <v>1112.9279999999999</v>
      </c>
      <c r="E78" s="36">
        <f>1153.444+5.278</f>
        <v>1158.722</v>
      </c>
      <c r="F78" s="36">
        <f>1196.982+5.489</f>
        <v>1202.471</v>
      </c>
    </row>
    <row r="79" spans="1:12" ht="47.25">
      <c r="A79" s="33" t="s">
        <v>152</v>
      </c>
      <c r="B79" s="34" t="s">
        <v>153</v>
      </c>
      <c r="C79" s="35">
        <v>1804.088</v>
      </c>
      <c r="D79" s="36">
        <f>2607.137+3.153</f>
        <v>2610.29</v>
      </c>
      <c r="E79" s="36">
        <f>2705.118+12.355</f>
        <v>2717.473</v>
      </c>
      <c r="F79" s="36">
        <f>2807.019+12.849</f>
        <v>2819.8679999999999</v>
      </c>
    </row>
    <row r="80" spans="1:12" ht="63">
      <c r="A80" s="33" t="s">
        <v>145</v>
      </c>
      <c r="B80" s="34" t="s">
        <v>154</v>
      </c>
      <c r="C80" s="35">
        <f>13848.602</f>
        <v>13848.602000000001</v>
      </c>
      <c r="D80" s="36">
        <v>12556.2</v>
      </c>
      <c r="E80" s="36">
        <v>12556.2</v>
      </c>
      <c r="F80" s="36">
        <v>12556.2</v>
      </c>
    </row>
    <row r="81" spans="1:12" ht="47.25">
      <c r="A81" s="33" t="s">
        <v>145</v>
      </c>
      <c r="B81" s="34" t="s">
        <v>155</v>
      </c>
      <c r="C81" s="35">
        <v>11501.933999999999</v>
      </c>
      <c r="D81" s="36">
        <v>10840.454</v>
      </c>
      <c r="E81" s="36">
        <v>10840.454</v>
      </c>
      <c r="F81" s="36">
        <v>10840.454</v>
      </c>
    </row>
    <row r="82" spans="1:12" ht="47.25">
      <c r="A82" s="33" t="s">
        <v>145</v>
      </c>
      <c r="B82" s="34" t="s">
        <v>156</v>
      </c>
      <c r="C82" s="35">
        <v>1.6952400000000001</v>
      </c>
      <c r="D82" s="36">
        <f>2.40731+0.01159</f>
        <v>2.4188999999999998</v>
      </c>
      <c r="E82" s="36">
        <f>2.50361+0.01204</f>
        <v>2.5156499999999999</v>
      </c>
      <c r="F82" s="36">
        <f>2.60375+0.01252</f>
        <v>2.6162699999999997</v>
      </c>
    </row>
    <row r="83" spans="1:12" ht="69.75" customHeight="1">
      <c r="A83" s="33" t="s">
        <v>145</v>
      </c>
      <c r="B83" s="34" t="s">
        <v>157</v>
      </c>
      <c r="C83" s="35">
        <v>316.23500000000001</v>
      </c>
      <c r="D83" s="36">
        <v>1485.3911900000001</v>
      </c>
      <c r="E83" s="36">
        <v>1485.3911900000001</v>
      </c>
      <c r="F83" s="36">
        <v>1485.3911900000001</v>
      </c>
    </row>
    <row r="84" spans="1:12" ht="65.25" customHeight="1">
      <c r="A84" s="33" t="s">
        <v>145</v>
      </c>
      <c r="B84" s="34" t="s">
        <v>158</v>
      </c>
      <c r="C84" s="35"/>
      <c r="D84" s="36">
        <f>31708.1304-13584.8664+313.038</f>
        <v>18436.301999999996</v>
      </c>
      <c r="E84" s="36">
        <v>20890.3344</v>
      </c>
      <c r="F84" s="36">
        <v>20890.3344</v>
      </c>
    </row>
    <row r="85" spans="1:12" ht="35.25" customHeight="1">
      <c r="A85" s="33" t="s">
        <v>152</v>
      </c>
      <c r="B85" s="34" t="s">
        <v>159</v>
      </c>
      <c r="C85" s="35">
        <v>22005.496800000001</v>
      </c>
      <c r="D85" s="36">
        <f>22611.28209+25.08714</f>
        <v>22636.36923</v>
      </c>
      <c r="E85" s="36">
        <f>26308.98636-652.96371</f>
        <v>25656.022649999999</v>
      </c>
      <c r="F85" s="36">
        <f>29742.45163-1281.68678</f>
        <v>28460.76485</v>
      </c>
    </row>
    <row r="86" spans="1:12" ht="77.45" customHeight="1">
      <c r="A86" s="33" t="s">
        <v>152</v>
      </c>
      <c r="B86" s="34" t="s">
        <v>160</v>
      </c>
      <c r="C86" s="35"/>
      <c r="D86" s="36">
        <v>3.3870800000000001</v>
      </c>
      <c r="E86" s="36">
        <v>3.3870800000000001</v>
      </c>
      <c r="F86" s="36">
        <v>3.3870800000000001</v>
      </c>
    </row>
    <row r="87" spans="1:12" ht="72.75" customHeight="1">
      <c r="A87" s="33" t="s">
        <v>161</v>
      </c>
      <c r="B87" s="34" t="s">
        <v>162</v>
      </c>
      <c r="C87" s="35">
        <v>4647.3230000000003</v>
      </c>
      <c r="D87" s="35">
        <f>5832.775+28.314</f>
        <v>5861.0889999999999</v>
      </c>
      <c r="E87" s="35">
        <f>6066.369+28.314</f>
        <v>6094.683</v>
      </c>
      <c r="F87" s="36">
        <f>6310.581+28.314</f>
        <v>6338.8950000000004</v>
      </c>
    </row>
    <row r="88" spans="1:12" ht="66.75" hidden="1" customHeight="1">
      <c r="A88" s="33" t="s">
        <v>163</v>
      </c>
      <c r="B88" s="34" t="s">
        <v>164</v>
      </c>
      <c r="C88" s="35"/>
      <c r="D88" s="36"/>
      <c r="E88" s="36"/>
      <c r="F88" s="36"/>
    </row>
    <row r="89" spans="1:12" ht="44.25" customHeight="1">
      <c r="A89" s="33" t="s">
        <v>165</v>
      </c>
      <c r="B89" s="34" t="s">
        <v>166</v>
      </c>
      <c r="C89" s="35">
        <v>18.268000000000001</v>
      </c>
      <c r="D89" s="36">
        <f>14.7-1.148</f>
        <v>13.552</v>
      </c>
      <c r="E89" s="36">
        <f>182.062-73.05</f>
        <v>109.01200000000001</v>
      </c>
      <c r="F89" s="36">
        <f>14.7+2.684</f>
        <v>17.384</v>
      </c>
    </row>
    <row r="90" spans="1:12" ht="47.25">
      <c r="A90" s="33" t="s">
        <v>167</v>
      </c>
      <c r="B90" s="34" t="s">
        <v>168</v>
      </c>
      <c r="C90" s="35">
        <v>13848.602000000001</v>
      </c>
      <c r="D90" s="36">
        <f>14841.85+775.2</f>
        <v>15617.050000000001</v>
      </c>
      <c r="E90" s="36">
        <f>14841.85-532.95</f>
        <v>14308.9</v>
      </c>
      <c r="F90" s="36">
        <f>14841.85-1001.3</f>
        <v>13840.550000000001</v>
      </c>
    </row>
    <row r="91" spans="1:12" ht="39" customHeight="1">
      <c r="A91" s="33" t="s">
        <v>169</v>
      </c>
      <c r="B91" s="34" t="s">
        <v>170</v>
      </c>
      <c r="C91" s="35">
        <v>1331</v>
      </c>
      <c r="D91" s="36">
        <f>1512.732+1180.855</f>
        <v>2693.587</v>
      </c>
      <c r="E91" s="36">
        <f t="shared" ref="E91:F91" si="1">1512.732+1180.855</f>
        <v>2693.587</v>
      </c>
      <c r="F91" s="36">
        <f t="shared" si="1"/>
        <v>2693.587</v>
      </c>
    </row>
    <row r="92" spans="1:12" ht="40.5" customHeight="1">
      <c r="A92" s="41" t="s">
        <v>171</v>
      </c>
      <c r="B92" s="42" t="s">
        <v>172</v>
      </c>
      <c r="C92" s="43" t="e">
        <f>#REF!+#REF!</f>
        <v>#REF!</v>
      </c>
      <c r="D92" s="44">
        <f>2896.09+3.535</f>
        <v>2899.625</v>
      </c>
      <c r="E92" s="44">
        <f>3011.934+13.846</f>
        <v>3025.78</v>
      </c>
      <c r="F92" s="44">
        <f>3132.412+14.401</f>
        <v>3146.8129999999996</v>
      </c>
    </row>
    <row r="93" spans="1:12" ht="52.5" customHeight="1">
      <c r="A93" s="40" t="s">
        <v>171</v>
      </c>
      <c r="B93" s="45" t="s">
        <v>173</v>
      </c>
      <c r="C93" s="46"/>
      <c r="D93" s="47">
        <f>'3'!F98</f>
        <v>1197.2910000000002</v>
      </c>
      <c r="E93" s="47">
        <f>'3'!G98</f>
        <v>1256.5540000000001</v>
      </c>
      <c r="F93" s="47">
        <f>'3'!H98</f>
        <v>1316.7930000000001</v>
      </c>
    </row>
    <row r="94" spans="1:12" ht="47.25" customHeight="1">
      <c r="A94" s="40" t="s">
        <v>171</v>
      </c>
      <c r="B94" s="45" t="s">
        <v>174</v>
      </c>
      <c r="C94" s="46"/>
      <c r="D94" s="47">
        <f>'3'!F93</f>
        <v>1702.3340000000001</v>
      </c>
      <c r="E94" s="47">
        <f>'3'!G93</f>
        <v>1769.2260000000001</v>
      </c>
      <c r="F94" s="47">
        <f>'3'!H93</f>
        <v>1830.0200000000002</v>
      </c>
    </row>
    <row r="95" spans="1:12" ht="24" customHeight="1">
      <c r="A95" s="41" t="s">
        <v>175</v>
      </c>
      <c r="B95" s="42" t="s">
        <v>176</v>
      </c>
      <c r="C95" s="43"/>
      <c r="D95" s="44">
        <f>D96</f>
        <v>461.44499999999999</v>
      </c>
      <c r="E95" s="44">
        <f>E96</f>
        <v>481.61</v>
      </c>
      <c r="F95" s="44">
        <f>F96</f>
        <v>500.87399999999997</v>
      </c>
      <c r="G95" s="38"/>
      <c r="H95" s="38"/>
      <c r="I95" s="38"/>
      <c r="J95" s="22"/>
      <c r="K95" s="22"/>
      <c r="L95" s="22"/>
    </row>
    <row r="96" spans="1:12" ht="53.45" customHeight="1">
      <c r="A96" s="33" t="s">
        <v>175</v>
      </c>
      <c r="B96" s="34" t="s">
        <v>177</v>
      </c>
      <c r="C96" s="35"/>
      <c r="D96" s="36">
        <f>728.078-266.633</f>
        <v>461.44499999999999</v>
      </c>
      <c r="E96" s="36">
        <f>755.442-273.832</f>
        <v>481.61</v>
      </c>
      <c r="F96" s="36">
        <f>783.9-283.026</f>
        <v>500.87399999999997</v>
      </c>
    </row>
    <row r="97" spans="1:241">
      <c r="A97" s="30" t="s">
        <v>178</v>
      </c>
      <c r="B97" s="31" t="s">
        <v>179</v>
      </c>
      <c r="C97" s="32">
        <v>0</v>
      </c>
      <c r="D97" s="37">
        <f>D100+D99+D98+D101+D102</f>
        <v>38328.122309999999</v>
      </c>
      <c r="E97" s="37">
        <f t="shared" ref="E97:F97" si="2">E100+E99+E98+E101+E102</f>
        <v>37157.345999999998</v>
      </c>
      <c r="F97" s="37">
        <f t="shared" si="2"/>
        <v>37415.284530000004</v>
      </c>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0"/>
      <c r="GF97" s="20"/>
      <c r="GG97" s="20"/>
      <c r="GH97" s="20"/>
      <c r="GI97" s="20"/>
      <c r="GJ97" s="20"/>
      <c r="GK97" s="20"/>
      <c r="GL97" s="20"/>
      <c r="GM97" s="20"/>
      <c r="GN97" s="20"/>
      <c r="GO97" s="20"/>
      <c r="GP97" s="20"/>
      <c r="GQ97" s="20"/>
      <c r="GR97" s="20"/>
      <c r="GS97" s="20"/>
      <c r="GT97" s="20"/>
      <c r="GU97" s="20"/>
      <c r="GV97" s="20"/>
      <c r="GW97" s="20"/>
      <c r="GX97" s="20"/>
      <c r="GY97" s="20"/>
      <c r="GZ97" s="20"/>
      <c r="HA97" s="20"/>
      <c r="HB97" s="20"/>
      <c r="HC97" s="20"/>
      <c r="HD97" s="20"/>
      <c r="HE97" s="20"/>
      <c r="HF97" s="20"/>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row>
    <row r="98" spans="1:241" ht="47.45" customHeight="1">
      <c r="A98" s="33" t="s">
        <v>180</v>
      </c>
      <c r="B98" s="34" t="s">
        <v>181</v>
      </c>
      <c r="C98" s="35"/>
      <c r="D98" s="36">
        <f>470.556+120</f>
        <v>590.55600000000004</v>
      </c>
      <c r="E98" s="36">
        <v>0</v>
      </c>
      <c r="F98" s="36">
        <v>0</v>
      </c>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row>
    <row r="99" spans="1:241" ht="63">
      <c r="A99" s="33" t="s">
        <v>182</v>
      </c>
      <c r="B99" s="34" t="s">
        <v>183</v>
      </c>
      <c r="C99" s="35"/>
      <c r="D99" s="36">
        <f>3382.85664-2133.38184+54.12351</f>
        <v>1303.5983099999999</v>
      </c>
      <c r="E99" s="36">
        <f>4228.5708-2905.1928</f>
        <v>1323.3780000000006</v>
      </c>
      <c r="F99" s="36">
        <f>4228.5708-2881.25427</f>
        <v>1347.3165300000005</v>
      </c>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row>
    <row r="100" spans="1:241" ht="47.25">
      <c r="A100" s="33" t="s">
        <v>184</v>
      </c>
      <c r="B100" s="34" t="s">
        <v>185</v>
      </c>
      <c r="C100" s="35">
        <v>0</v>
      </c>
      <c r="D100" s="36">
        <f>28423.2+6910.8</f>
        <v>35334</v>
      </c>
      <c r="E100" s="36">
        <f>28423.2+6910.8</f>
        <v>35334</v>
      </c>
      <c r="F100" s="36">
        <f>28423.2+7144.8</f>
        <v>35568</v>
      </c>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row>
    <row r="101" spans="1:241" ht="63.75" customHeight="1">
      <c r="A101" s="33" t="s">
        <v>186</v>
      </c>
      <c r="B101" s="34" t="s">
        <v>187</v>
      </c>
      <c r="C101" s="35"/>
      <c r="D101" s="36">
        <v>600</v>
      </c>
      <c r="E101" s="36">
        <v>0</v>
      </c>
      <c r="F101" s="36">
        <v>0</v>
      </c>
      <c r="G101" s="21"/>
      <c r="H101" s="21"/>
      <c r="I101" s="21"/>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20"/>
      <c r="GC101" s="20"/>
      <c r="GD101" s="20"/>
      <c r="GE101" s="20"/>
      <c r="GF101" s="20"/>
      <c r="GG101" s="20"/>
      <c r="GH101" s="20"/>
      <c r="GI101" s="20"/>
      <c r="GJ101" s="20"/>
      <c r="GK101" s="20"/>
      <c r="GL101" s="20"/>
      <c r="GM101" s="20"/>
      <c r="GN101" s="20"/>
      <c r="GO101" s="20"/>
      <c r="GP101" s="20"/>
      <c r="GQ101" s="20"/>
      <c r="GR101" s="20"/>
      <c r="GS101" s="20"/>
      <c r="GT101" s="20"/>
      <c r="GU101" s="20"/>
      <c r="GV101" s="20"/>
      <c r="GW101" s="20"/>
      <c r="GX101" s="20"/>
      <c r="GY101" s="20"/>
      <c r="GZ101" s="20"/>
      <c r="HA101" s="20"/>
      <c r="HB101" s="20"/>
      <c r="HC101" s="20"/>
      <c r="HD101" s="20"/>
      <c r="HE101" s="20"/>
      <c r="HF101" s="20"/>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row>
    <row r="102" spans="1:241" ht="134.25" customHeight="1">
      <c r="A102" s="33" t="s">
        <v>188</v>
      </c>
      <c r="B102" s="34" t="s">
        <v>189</v>
      </c>
      <c r="C102" s="35"/>
      <c r="D102" s="36">
        <v>499.96800000000002</v>
      </c>
      <c r="E102" s="36">
        <v>499.96800000000002</v>
      </c>
      <c r="F102" s="36">
        <v>499.96800000000002</v>
      </c>
      <c r="G102" s="21"/>
      <c r="H102" s="21"/>
      <c r="I102" s="21"/>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20"/>
      <c r="GC102" s="20"/>
      <c r="GD102" s="20"/>
      <c r="GE102" s="20"/>
      <c r="GF102" s="20"/>
      <c r="GG102" s="20"/>
      <c r="GH102" s="20"/>
      <c r="GI102" s="20"/>
      <c r="GJ102" s="20"/>
      <c r="GK102" s="20"/>
      <c r="GL102" s="20"/>
      <c r="GM102" s="20"/>
      <c r="GN102" s="20"/>
      <c r="GO102" s="20"/>
      <c r="GP102" s="20"/>
      <c r="GQ102" s="20"/>
      <c r="GR102" s="20"/>
      <c r="GS102" s="20"/>
      <c r="GT102" s="20"/>
      <c r="GU102" s="20"/>
      <c r="GV102" s="20"/>
      <c r="GW102" s="20"/>
      <c r="GX102" s="20"/>
      <c r="GY102" s="20"/>
      <c r="GZ102" s="20"/>
      <c r="HA102" s="20"/>
      <c r="HB102" s="20"/>
      <c r="HC102" s="20"/>
      <c r="HD102" s="20"/>
      <c r="HE102" s="20"/>
      <c r="HF102" s="20"/>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row>
    <row r="103" spans="1:241">
      <c r="A103" s="33"/>
      <c r="B103" s="31" t="s">
        <v>190</v>
      </c>
      <c r="C103" s="32" t="e">
        <f>C10+C41</f>
        <v>#REF!</v>
      </c>
      <c r="D103" s="32">
        <f>D10+D41</f>
        <v>1041142.55932</v>
      </c>
      <c r="E103" s="32">
        <f>E10+E41</f>
        <v>938077.19990000012</v>
      </c>
      <c r="F103" s="32">
        <f>F10+F41</f>
        <v>1000450.9043800002</v>
      </c>
      <c r="G103" s="21"/>
      <c r="H103" s="21"/>
      <c r="I103" s="21"/>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20"/>
      <c r="GC103" s="20"/>
      <c r="GD103" s="20"/>
      <c r="GE103" s="20"/>
      <c r="GF103" s="20"/>
      <c r="GG103" s="20"/>
      <c r="GH103" s="20"/>
      <c r="GI103" s="20"/>
      <c r="GJ103" s="20"/>
      <c r="GK103" s="20"/>
      <c r="GL103" s="20"/>
      <c r="GM103" s="20"/>
      <c r="GN103" s="20"/>
      <c r="GO103" s="20"/>
      <c r="GP103" s="20"/>
      <c r="GQ103" s="20"/>
      <c r="GR103" s="20"/>
      <c r="GS103" s="20"/>
      <c r="GT103" s="20"/>
      <c r="GU103" s="20"/>
      <c r="GV103" s="20"/>
      <c r="GW103" s="20"/>
      <c r="GX103" s="20"/>
      <c r="GY103" s="20"/>
      <c r="GZ103" s="20"/>
      <c r="HA103" s="20"/>
      <c r="HB103" s="20"/>
      <c r="HC103" s="20"/>
      <c r="HD103" s="20"/>
      <c r="HE103" s="20"/>
      <c r="HF103" s="20"/>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row>
    <row r="104" spans="1:241" ht="49.15" customHeight="1">
      <c r="C104" s="48"/>
      <c r="G104" s="21"/>
      <c r="H104" s="21"/>
      <c r="I104" s="21"/>
      <c r="J104" s="20"/>
      <c r="K104" s="20"/>
      <c r="L104" s="20"/>
    </row>
    <row r="105" spans="1:241" ht="51" customHeight="1">
      <c r="C105" s="24"/>
      <c r="F105" s="21"/>
      <c r="G105" s="21"/>
      <c r="H105" s="21"/>
      <c r="I105" s="21"/>
      <c r="J105" s="20"/>
      <c r="K105" s="20"/>
      <c r="L105" s="20"/>
    </row>
    <row r="106" spans="1:241">
      <c r="C106" s="24"/>
      <c r="F106" s="21"/>
      <c r="G106" s="21"/>
      <c r="H106" s="21"/>
      <c r="I106" s="21"/>
    </row>
    <row r="107" spans="1:241">
      <c r="C107" s="24"/>
      <c r="D107" s="49"/>
      <c r="G107" s="21"/>
      <c r="H107" s="21"/>
      <c r="I107" s="21"/>
    </row>
    <row r="108" spans="1:241">
      <c r="D108" s="49"/>
    </row>
    <row r="111" spans="1:241" ht="67.900000000000006" customHeight="1"/>
    <row r="112" spans="1:241" ht="54" customHeight="1"/>
    <row r="114" ht="51.6" customHeight="1"/>
    <row r="115" ht="65.45" customHeight="1"/>
    <row r="116" ht="50.45" customHeight="1"/>
  </sheetData>
  <autoFilter ref="A8:F65"/>
  <mergeCells count="14">
    <mergeCell ref="F8:F9"/>
    <mergeCell ref="B56:C56"/>
    <mergeCell ref="B65:C65"/>
    <mergeCell ref="B70:C70"/>
    <mergeCell ref="A8:A9"/>
    <mergeCell ref="B8:B9"/>
    <mergeCell ref="C8:C9"/>
    <mergeCell ref="D8:D9"/>
    <mergeCell ref="E8:E9"/>
    <mergeCell ref="D1:F1"/>
    <mergeCell ref="D2:F2"/>
    <mergeCell ref="D3:F3"/>
    <mergeCell ref="D4:F4"/>
    <mergeCell ref="A6:F6"/>
  </mergeCells>
  <pageMargins left="0.25" right="0.25" top="0.75" bottom="0.75" header="0.3" footer="0.3"/>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sheetPr>
  <dimension ref="A1:O1016"/>
  <sheetViews>
    <sheetView view="pageBreakPreview" topLeftCell="A977" zoomScale="90" workbookViewId="0">
      <selection activeCell="A3" sqref="A3:H3"/>
    </sheetView>
  </sheetViews>
  <sheetFormatPr defaultColWidth="8.7109375" defaultRowHeight="15.75"/>
  <cols>
    <col min="1" max="1" width="46" style="51" customWidth="1"/>
    <col min="2" max="2" width="4.7109375" style="52" customWidth="1"/>
    <col min="3" max="3" width="5.42578125" style="52" customWidth="1"/>
    <col min="4" max="4" width="17.28515625" style="52" customWidth="1"/>
    <col min="5" max="5" width="5.5703125" style="52" customWidth="1"/>
    <col min="6" max="6" width="18.85546875" style="50" customWidth="1"/>
    <col min="7" max="7" width="18.7109375" style="50" customWidth="1"/>
    <col min="8" max="8" width="18.85546875" style="50" customWidth="1"/>
    <col min="9" max="9" width="25.85546875" style="50" customWidth="1"/>
    <col min="10" max="11" width="19.42578125" style="50" customWidth="1"/>
    <col min="12" max="14" width="17.7109375" style="50" customWidth="1"/>
    <col min="15" max="16384" width="8.7109375" style="50"/>
  </cols>
  <sheetData>
    <row r="1" spans="1:14">
      <c r="A1" s="370" t="s">
        <v>191</v>
      </c>
      <c r="B1" s="370"/>
      <c r="C1" s="370"/>
      <c r="D1" s="370"/>
      <c r="E1" s="370"/>
      <c r="F1" s="370"/>
      <c r="G1" s="370"/>
      <c r="H1" s="370"/>
    </row>
    <row r="2" spans="1:14">
      <c r="A2" s="370" t="s">
        <v>1</v>
      </c>
      <c r="B2" s="370"/>
      <c r="C2" s="370"/>
      <c r="D2" s="370"/>
      <c r="E2" s="370"/>
      <c r="F2" s="370"/>
      <c r="G2" s="370"/>
      <c r="H2" s="370"/>
    </row>
    <row r="3" spans="1:14">
      <c r="A3" s="370" t="s">
        <v>2</v>
      </c>
      <c r="B3" s="370"/>
      <c r="C3" s="370"/>
      <c r="D3" s="370"/>
      <c r="E3" s="370"/>
      <c r="F3" s="370"/>
      <c r="G3" s="370"/>
      <c r="H3" s="370"/>
    </row>
    <row r="4" spans="1:14" ht="15.75" customHeight="1">
      <c r="A4" s="371" t="s">
        <v>3</v>
      </c>
      <c r="B4" s="371"/>
      <c r="C4" s="371"/>
      <c r="D4" s="371"/>
      <c r="E4" s="371"/>
      <c r="F4" s="371"/>
      <c r="G4" s="371"/>
      <c r="H4" s="371"/>
    </row>
    <row r="5" spans="1:14" ht="4.5" customHeight="1"/>
    <row r="6" spans="1:14">
      <c r="A6" s="372" t="s">
        <v>192</v>
      </c>
      <c r="B6" s="372"/>
      <c r="C6" s="372"/>
      <c r="D6" s="372"/>
      <c r="E6" s="372"/>
      <c r="F6" s="372"/>
      <c r="G6" s="372"/>
      <c r="H6" s="372"/>
    </row>
    <row r="7" spans="1:14" ht="16.5" customHeight="1">
      <c r="A7" s="372" t="s">
        <v>193</v>
      </c>
      <c r="B7" s="372"/>
      <c r="C7" s="372"/>
      <c r="D7" s="372"/>
      <c r="E7" s="372"/>
      <c r="F7" s="372"/>
      <c r="G7" s="372"/>
      <c r="H7" s="372"/>
    </row>
    <row r="8" spans="1:14" ht="15.75" customHeight="1">
      <c r="A8" s="372" t="s">
        <v>194</v>
      </c>
      <c r="B8" s="372"/>
      <c r="C8" s="372"/>
      <c r="D8" s="372"/>
      <c r="E8" s="372"/>
      <c r="F8" s="372"/>
      <c r="G8" s="372"/>
      <c r="H8" s="372"/>
    </row>
    <row r="9" spans="1:14" ht="29.45" customHeight="1">
      <c r="A9" s="55"/>
      <c r="B9" s="55"/>
      <c r="C9" s="56"/>
      <c r="D9" s="56"/>
      <c r="E9" s="56"/>
      <c r="F9" s="56"/>
      <c r="G9" s="56"/>
      <c r="H9" s="57" t="s">
        <v>5</v>
      </c>
    </row>
    <row r="10" spans="1:14" ht="18.75" customHeight="1">
      <c r="A10" s="373" t="s">
        <v>35</v>
      </c>
      <c r="B10" s="373" t="s">
        <v>195</v>
      </c>
      <c r="C10" s="373" t="s">
        <v>196</v>
      </c>
      <c r="D10" s="373" t="s">
        <v>197</v>
      </c>
      <c r="E10" s="373" t="s">
        <v>198</v>
      </c>
      <c r="F10" s="373" t="s">
        <v>199</v>
      </c>
      <c r="G10" s="373" t="s">
        <v>200</v>
      </c>
      <c r="H10" s="373" t="s">
        <v>201</v>
      </c>
    </row>
    <row r="11" spans="1:14" ht="52.5" customHeight="1">
      <c r="A11" s="373"/>
      <c r="B11" s="373"/>
      <c r="C11" s="373"/>
      <c r="D11" s="373"/>
      <c r="E11" s="373"/>
      <c r="F11" s="373"/>
      <c r="G11" s="373"/>
      <c r="H11" s="373"/>
    </row>
    <row r="12" spans="1:14" s="59" customFormat="1" ht="15.6" customHeight="1">
      <c r="A12" s="58">
        <v>1</v>
      </c>
      <c r="B12" s="58">
        <v>2</v>
      </c>
      <c r="C12" s="58">
        <v>3</v>
      </c>
      <c r="D12" s="58">
        <v>4</v>
      </c>
      <c r="E12" s="58">
        <v>5</v>
      </c>
      <c r="F12" s="58">
        <v>6</v>
      </c>
      <c r="G12" s="58">
        <v>7</v>
      </c>
      <c r="H12" s="58">
        <v>8</v>
      </c>
    </row>
    <row r="13" spans="1:14" s="60" customFormat="1" ht="27.75" customHeight="1">
      <c r="A13" s="61" t="s">
        <v>202</v>
      </c>
      <c r="B13" s="62" t="s">
        <v>203</v>
      </c>
      <c r="C13" s="62" t="s">
        <v>204</v>
      </c>
      <c r="D13" s="62" t="s">
        <v>205</v>
      </c>
      <c r="E13" s="62" t="s">
        <v>206</v>
      </c>
      <c r="F13" s="63">
        <f>F14+F20+F35+F45+F48+F74+F80+F86</f>
        <v>108318.04499999998</v>
      </c>
      <c r="G13" s="63">
        <f t="shared" ref="G13:H13" si="0">G14+G20+G35+G45+G48+G74+G80+G86</f>
        <v>92506.747940000001</v>
      </c>
      <c r="H13" s="63">
        <f t="shared" si="0"/>
        <v>88686.83124</v>
      </c>
      <c r="I13" s="64"/>
      <c r="J13" s="64"/>
      <c r="K13" s="64"/>
      <c r="L13" s="64"/>
    </row>
    <row r="14" spans="1:14" s="65" customFormat="1" ht="54" customHeight="1">
      <c r="A14" s="66" t="s">
        <v>207</v>
      </c>
      <c r="B14" s="67" t="s">
        <v>203</v>
      </c>
      <c r="C14" s="67" t="s">
        <v>208</v>
      </c>
      <c r="D14" s="67" t="s">
        <v>205</v>
      </c>
      <c r="E14" s="67" t="s">
        <v>206</v>
      </c>
      <c r="F14" s="68">
        <f>F17</f>
        <v>3270.7910000000002</v>
      </c>
      <c r="G14" s="68">
        <f t="shared" ref="G14:H14" si="1">G17</f>
        <v>3433.2802999999999</v>
      </c>
      <c r="H14" s="68">
        <f t="shared" si="1"/>
        <v>3603.8943800000002</v>
      </c>
      <c r="L14" s="69"/>
      <c r="M14" s="69"/>
      <c r="N14" s="69"/>
    </row>
    <row r="15" spans="1:14" ht="33" customHeight="1">
      <c r="A15" s="70" t="s">
        <v>209</v>
      </c>
      <c r="B15" s="71" t="s">
        <v>203</v>
      </c>
      <c r="C15" s="71" t="s">
        <v>208</v>
      </c>
      <c r="D15" s="71" t="s">
        <v>210</v>
      </c>
      <c r="E15" s="71" t="s">
        <v>206</v>
      </c>
      <c r="F15" s="72">
        <f t="shared" ref="F15:H18" si="2">F16</f>
        <v>3270.7910000000002</v>
      </c>
      <c r="G15" s="72">
        <f t="shared" si="2"/>
        <v>3433.2802999999999</v>
      </c>
      <c r="H15" s="72">
        <f t="shared" si="2"/>
        <v>3603.8943800000002</v>
      </c>
      <c r="L15" s="73"/>
      <c r="M15" s="73"/>
      <c r="N15" s="73"/>
    </row>
    <row r="16" spans="1:14" ht="48" customHeight="1">
      <c r="A16" s="74" t="s">
        <v>211</v>
      </c>
      <c r="B16" s="75" t="s">
        <v>203</v>
      </c>
      <c r="C16" s="75" t="s">
        <v>208</v>
      </c>
      <c r="D16" s="75" t="s">
        <v>212</v>
      </c>
      <c r="E16" s="75" t="s">
        <v>206</v>
      </c>
      <c r="F16" s="76">
        <f t="shared" si="2"/>
        <v>3270.7910000000002</v>
      </c>
      <c r="G16" s="76">
        <f t="shared" si="2"/>
        <v>3433.2802999999999</v>
      </c>
      <c r="H16" s="76">
        <f t="shared" si="2"/>
        <v>3603.8943800000002</v>
      </c>
      <c r="I16" s="73"/>
      <c r="J16" s="73"/>
      <c r="K16" s="73"/>
      <c r="L16" s="73"/>
      <c r="M16" s="73"/>
      <c r="N16" s="73"/>
    </row>
    <row r="17" spans="1:15" s="77" customFormat="1" ht="16.5" customHeight="1">
      <c r="A17" s="78" t="s">
        <v>213</v>
      </c>
      <c r="B17" s="79" t="s">
        <v>203</v>
      </c>
      <c r="C17" s="79" t="s">
        <v>208</v>
      </c>
      <c r="D17" s="79" t="s">
        <v>214</v>
      </c>
      <c r="E17" s="79" t="s">
        <v>206</v>
      </c>
      <c r="F17" s="80">
        <f t="shared" si="2"/>
        <v>3270.7910000000002</v>
      </c>
      <c r="G17" s="80">
        <f t="shared" si="2"/>
        <v>3433.2802999999999</v>
      </c>
      <c r="H17" s="80">
        <f t="shared" si="2"/>
        <v>3603.8943800000002</v>
      </c>
    </row>
    <row r="18" spans="1:15" ht="95.25" customHeight="1">
      <c r="A18" s="74" t="s">
        <v>215</v>
      </c>
      <c r="B18" s="75" t="s">
        <v>203</v>
      </c>
      <c r="C18" s="75" t="s">
        <v>208</v>
      </c>
      <c r="D18" s="75" t="s">
        <v>214</v>
      </c>
      <c r="E18" s="75" t="s">
        <v>216</v>
      </c>
      <c r="F18" s="76">
        <f t="shared" si="2"/>
        <v>3270.7910000000002</v>
      </c>
      <c r="G18" s="76">
        <f t="shared" si="2"/>
        <v>3433.2802999999999</v>
      </c>
      <c r="H18" s="76">
        <f t="shared" si="2"/>
        <v>3603.8943800000002</v>
      </c>
      <c r="I18" s="73"/>
      <c r="J18" s="73"/>
      <c r="K18" s="73"/>
    </row>
    <row r="19" spans="1:15" ht="33.75" customHeight="1">
      <c r="A19" s="70" t="s">
        <v>217</v>
      </c>
      <c r="B19" s="71" t="s">
        <v>203</v>
      </c>
      <c r="C19" s="71" t="s">
        <v>208</v>
      </c>
      <c r="D19" s="71" t="s">
        <v>214</v>
      </c>
      <c r="E19" s="71" t="s">
        <v>218</v>
      </c>
      <c r="F19" s="76">
        <f>'5'!D269</f>
        <v>3270.7910000000002</v>
      </c>
      <c r="G19" s="76">
        <f>'5'!E269</f>
        <v>3433.2802999999999</v>
      </c>
      <c r="H19" s="76">
        <f>'5'!F269</f>
        <v>3603.8943800000002</v>
      </c>
      <c r="L19" s="73"/>
      <c r="M19" s="73"/>
      <c r="N19" s="73"/>
    </row>
    <row r="20" spans="1:15" s="65" customFormat="1" ht="83.45" customHeight="1">
      <c r="A20" s="66" t="s">
        <v>219</v>
      </c>
      <c r="B20" s="67" t="s">
        <v>203</v>
      </c>
      <c r="C20" s="67" t="s">
        <v>220</v>
      </c>
      <c r="D20" s="67" t="s">
        <v>205</v>
      </c>
      <c r="E20" s="67" t="s">
        <v>206</v>
      </c>
      <c r="F20" s="68">
        <f>F23+F28</f>
        <v>7652.68</v>
      </c>
      <c r="G20" s="68">
        <f t="shared" ref="G20:H20" si="3">G23+G28</f>
        <v>6675.66</v>
      </c>
      <c r="H20" s="68">
        <f t="shared" si="3"/>
        <v>6917.05</v>
      </c>
    </row>
    <row r="21" spans="1:15" ht="33" customHeight="1">
      <c r="A21" s="74" t="s">
        <v>209</v>
      </c>
      <c r="B21" s="75" t="s">
        <v>203</v>
      </c>
      <c r="C21" s="75" t="s">
        <v>220</v>
      </c>
      <c r="D21" s="75" t="s">
        <v>210</v>
      </c>
      <c r="E21" s="75" t="s">
        <v>206</v>
      </c>
      <c r="F21" s="76">
        <f>F22</f>
        <v>7652.68</v>
      </c>
      <c r="G21" s="76">
        <f t="shared" ref="G21:H21" si="4">G22</f>
        <v>6675.66</v>
      </c>
      <c r="H21" s="76">
        <f t="shared" si="4"/>
        <v>6917.05</v>
      </c>
      <c r="L21" s="73"/>
      <c r="M21" s="73"/>
      <c r="N21" s="73"/>
    </row>
    <row r="22" spans="1:15" ht="47.25" customHeight="1">
      <c r="A22" s="74" t="s">
        <v>211</v>
      </c>
      <c r="B22" s="75" t="s">
        <v>203</v>
      </c>
      <c r="C22" s="75" t="s">
        <v>220</v>
      </c>
      <c r="D22" s="75" t="s">
        <v>212</v>
      </c>
      <c r="E22" s="75" t="s">
        <v>206</v>
      </c>
      <c r="F22" s="76">
        <f>F28+F23</f>
        <v>7652.68</v>
      </c>
      <c r="G22" s="76">
        <f>G28+G23</f>
        <v>6675.66</v>
      </c>
      <c r="H22" s="76">
        <f>H28+H23</f>
        <v>6917.05</v>
      </c>
      <c r="J22" s="77"/>
      <c r="K22" s="77"/>
      <c r="L22" s="77"/>
      <c r="M22" s="77"/>
      <c r="N22" s="77"/>
      <c r="O22" s="77"/>
    </row>
    <row r="23" spans="1:15" s="77" customFormat="1" ht="33.75" customHeight="1">
      <c r="A23" s="78" t="s">
        <v>221</v>
      </c>
      <c r="B23" s="79" t="s">
        <v>203</v>
      </c>
      <c r="C23" s="79" t="s">
        <v>220</v>
      </c>
      <c r="D23" s="79" t="s">
        <v>222</v>
      </c>
      <c r="E23" s="79" t="s">
        <v>206</v>
      </c>
      <c r="F23" s="80">
        <f>F24+F26</f>
        <v>3140.5</v>
      </c>
      <c r="G23" s="80">
        <f t="shared" ref="G23:H23" si="5">G24+G26</f>
        <v>3250.5</v>
      </c>
      <c r="H23" s="80">
        <f t="shared" si="5"/>
        <v>3380</v>
      </c>
      <c r="J23" s="50"/>
      <c r="K23" s="50"/>
      <c r="L23" s="73"/>
      <c r="M23" s="73"/>
      <c r="N23" s="73"/>
      <c r="O23" s="50"/>
    </row>
    <row r="24" spans="1:15" ht="98.25" customHeight="1">
      <c r="A24" s="74" t="s">
        <v>215</v>
      </c>
      <c r="B24" s="75" t="s">
        <v>203</v>
      </c>
      <c r="C24" s="75" t="s">
        <v>220</v>
      </c>
      <c r="D24" s="75" t="s">
        <v>222</v>
      </c>
      <c r="E24" s="75" t="s">
        <v>216</v>
      </c>
      <c r="F24" s="76">
        <f>F25</f>
        <v>3140.5</v>
      </c>
      <c r="G24" s="76">
        <f>G25</f>
        <v>3250.5</v>
      </c>
      <c r="H24" s="76">
        <f>H25</f>
        <v>3380</v>
      </c>
      <c r="L24" s="73"/>
      <c r="M24" s="73"/>
      <c r="N24" s="73"/>
    </row>
    <row r="25" spans="1:15" ht="35.25" customHeight="1">
      <c r="A25" s="74" t="s">
        <v>217</v>
      </c>
      <c r="B25" s="75" t="s">
        <v>203</v>
      </c>
      <c r="C25" s="75" t="s">
        <v>220</v>
      </c>
      <c r="D25" s="75" t="s">
        <v>222</v>
      </c>
      <c r="E25" s="75" t="s">
        <v>218</v>
      </c>
      <c r="F25" s="76">
        <f>'5'!D270</f>
        <v>3140.5</v>
      </c>
      <c r="G25" s="76">
        <f>'5'!E270</f>
        <v>3250.5</v>
      </c>
      <c r="H25" s="76">
        <f>'5'!F270</f>
        <v>3380</v>
      </c>
    </row>
    <row r="26" spans="1:15" ht="35.25" hidden="1" customHeight="1">
      <c r="A26" s="74" t="s">
        <v>223</v>
      </c>
      <c r="B26" s="75" t="s">
        <v>203</v>
      </c>
      <c r="C26" s="75" t="s">
        <v>220</v>
      </c>
      <c r="D26" s="75" t="s">
        <v>222</v>
      </c>
      <c r="E26" s="75" t="s">
        <v>224</v>
      </c>
      <c r="F26" s="76">
        <f>F27</f>
        <v>0</v>
      </c>
      <c r="G26" s="76">
        <f>G27</f>
        <v>0</v>
      </c>
      <c r="H26" s="76">
        <f>H27</f>
        <v>0</v>
      </c>
      <c r="L26" s="73"/>
      <c r="M26" s="73"/>
      <c r="N26" s="73"/>
    </row>
    <row r="27" spans="1:15" ht="48.6" hidden="1" customHeight="1">
      <c r="A27" s="74" t="s">
        <v>225</v>
      </c>
      <c r="B27" s="75" t="s">
        <v>203</v>
      </c>
      <c r="C27" s="75" t="s">
        <v>220</v>
      </c>
      <c r="D27" s="75" t="s">
        <v>222</v>
      </c>
      <c r="E27" s="75" t="s">
        <v>226</v>
      </c>
      <c r="F27" s="76">
        <v>0</v>
      </c>
      <c r="G27" s="76">
        <v>0</v>
      </c>
      <c r="H27" s="76">
        <v>0</v>
      </c>
      <c r="O27" s="77"/>
    </row>
    <row r="28" spans="1:15" s="77" customFormat="1" ht="48.75" customHeight="1">
      <c r="A28" s="78" t="s">
        <v>227</v>
      </c>
      <c r="B28" s="79" t="s">
        <v>203</v>
      </c>
      <c r="C28" s="79" t="s">
        <v>220</v>
      </c>
      <c r="D28" s="79" t="s">
        <v>228</v>
      </c>
      <c r="E28" s="79" t="s">
        <v>206</v>
      </c>
      <c r="F28" s="80">
        <f>F29+F31+F33</f>
        <v>4512.18</v>
      </c>
      <c r="G28" s="80">
        <f t="shared" ref="G28:H28" si="6">G29+G31+G33</f>
        <v>3425.16</v>
      </c>
      <c r="H28" s="80">
        <f t="shared" si="6"/>
        <v>3537.05</v>
      </c>
      <c r="O28" s="50"/>
    </row>
    <row r="29" spans="1:15" ht="94.5" customHeight="1">
      <c r="A29" s="74" t="s">
        <v>215</v>
      </c>
      <c r="B29" s="75" t="s">
        <v>203</v>
      </c>
      <c r="C29" s="75" t="s">
        <v>220</v>
      </c>
      <c r="D29" s="75" t="s">
        <v>228</v>
      </c>
      <c r="E29" s="75" t="s">
        <v>216</v>
      </c>
      <c r="F29" s="76">
        <f>F30</f>
        <v>3503.18</v>
      </c>
      <c r="G29" s="76">
        <f>G30</f>
        <v>2797.16</v>
      </c>
      <c r="H29" s="76">
        <f>H30</f>
        <v>2909.05</v>
      </c>
    </row>
    <row r="30" spans="1:15" ht="35.25" customHeight="1">
      <c r="A30" s="74" t="s">
        <v>217</v>
      </c>
      <c r="B30" s="75" t="s">
        <v>203</v>
      </c>
      <c r="C30" s="75" t="s">
        <v>220</v>
      </c>
      <c r="D30" s="75" t="s">
        <v>228</v>
      </c>
      <c r="E30" s="75" t="s">
        <v>218</v>
      </c>
      <c r="F30" s="76">
        <v>3503.18</v>
      </c>
      <c r="G30" s="76">
        <v>2797.16</v>
      </c>
      <c r="H30" s="76">
        <v>2909.05</v>
      </c>
      <c r="L30" s="73"/>
      <c r="M30" s="73"/>
      <c r="N30" s="73"/>
    </row>
    <row r="31" spans="1:15" ht="33" customHeight="1">
      <c r="A31" s="74" t="s">
        <v>223</v>
      </c>
      <c r="B31" s="75" t="s">
        <v>203</v>
      </c>
      <c r="C31" s="75" t="s">
        <v>220</v>
      </c>
      <c r="D31" s="75" t="s">
        <v>228</v>
      </c>
      <c r="E31" s="75" t="s">
        <v>224</v>
      </c>
      <c r="F31" s="76">
        <f>F32</f>
        <v>999</v>
      </c>
      <c r="G31" s="76">
        <f>G32</f>
        <v>618</v>
      </c>
      <c r="H31" s="76">
        <f>H32</f>
        <v>618</v>
      </c>
      <c r="L31" s="73"/>
      <c r="M31" s="73"/>
      <c r="N31" s="73"/>
    </row>
    <row r="32" spans="1:15" ht="50.25" customHeight="1">
      <c r="A32" s="74" t="s">
        <v>225</v>
      </c>
      <c r="B32" s="75" t="s">
        <v>203</v>
      </c>
      <c r="C32" s="75" t="s">
        <v>220</v>
      </c>
      <c r="D32" s="75" t="s">
        <v>228</v>
      </c>
      <c r="E32" s="75" t="s">
        <v>226</v>
      </c>
      <c r="F32" s="76">
        <f>618+381</f>
        <v>999</v>
      </c>
      <c r="G32" s="76">
        <v>618</v>
      </c>
      <c r="H32" s="76">
        <v>618</v>
      </c>
      <c r="L32" s="81"/>
      <c r="M32" s="81"/>
      <c r="N32" s="81"/>
    </row>
    <row r="33" spans="1:15" ht="19.5" customHeight="1">
      <c r="A33" s="74" t="s">
        <v>229</v>
      </c>
      <c r="B33" s="75" t="s">
        <v>203</v>
      </c>
      <c r="C33" s="75" t="s">
        <v>220</v>
      </c>
      <c r="D33" s="75" t="s">
        <v>228</v>
      </c>
      <c r="E33" s="75" t="s">
        <v>230</v>
      </c>
      <c r="F33" s="76">
        <f>F34</f>
        <v>10</v>
      </c>
      <c r="G33" s="76">
        <f>G34</f>
        <v>10</v>
      </c>
      <c r="H33" s="76">
        <f>H34</f>
        <v>10</v>
      </c>
    </row>
    <row r="34" spans="1:15" ht="18.75" customHeight="1">
      <c r="A34" s="74" t="s">
        <v>231</v>
      </c>
      <c r="B34" s="75" t="s">
        <v>203</v>
      </c>
      <c r="C34" s="75" t="s">
        <v>220</v>
      </c>
      <c r="D34" s="75" t="s">
        <v>228</v>
      </c>
      <c r="E34" s="75" t="s">
        <v>232</v>
      </c>
      <c r="F34" s="76">
        <v>10</v>
      </c>
      <c r="G34" s="76">
        <v>10</v>
      </c>
      <c r="H34" s="76">
        <v>10</v>
      </c>
      <c r="O34" s="65"/>
    </row>
    <row r="35" spans="1:15" s="65" customFormat="1" ht="82.5" customHeight="1">
      <c r="A35" s="66" t="s">
        <v>233</v>
      </c>
      <c r="B35" s="67" t="s">
        <v>203</v>
      </c>
      <c r="C35" s="67" t="s">
        <v>234</v>
      </c>
      <c r="D35" s="67" t="s">
        <v>205</v>
      </c>
      <c r="E35" s="67" t="s">
        <v>206</v>
      </c>
      <c r="F35" s="68">
        <f>F38</f>
        <v>47864.262999999999</v>
      </c>
      <c r="G35" s="68">
        <f t="shared" ref="G35:H35" si="7">G38</f>
        <v>48575.828640000007</v>
      </c>
      <c r="H35" s="68">
        <f t="shared" si="7"/>
        <v>44032.761859999999</v>
      </c>
      <c r="O35" s="50"/>
    </row>
    <row r="36" spans="1:15" ht="33.75" customHeight="1">
      <c r="A36" s="70" t="s">
        <v>209</v>
      </c>
      <c r="B36" s="71" t="s">
        <v>203</v>
      </c>
      <c r="C36" s="71" t="s">
        <v>234</v>
      </c>
      <c r="D36" s="71" t="s">
        <v>210</v>
      </c>
      <c r="E36" s="71" t="s">
        <v>206</v>
      </c>
      <c r="F36" s="72">
        <f t="shared" ref="F36:H37" si="8">F37</f>
        <v>47864.262999999999</v>
      </c>
      <c r="G36" s="72">
        <f t="shared" si="8"/>
        <v>48575.828640000007</v>
      </c>
      <c r="H36" s="72">
        <f t="shared" si="8"/>
        <v>44032.761859999999</v>
      </c>
    </row>
    <row r="37" spans="1:15" ht="47.25" customHeight="1">
      <c r="A37" s="74" t="s">
        <v>211</v>
      </c>
      <c r="B37" s="75" t="s">
        <v>203</v>
      </c>
      <c r="C37" s="75" t="s">
        <v>234</v>
      </c>
      <c r="D37" s="75" t="s">
        <v>212</v>
      </c>
      <c r="E37" s="75" t="s">
        <v>206</v>
      </c>
      <c r="F37" s="76">
        <f t="shared" si="8"/>
        <v>47864.262999999999</v>
      </c>
      <c r="G37" s="76">
        <f t="shared" si="8"/>
        <v>48575.828640000007</v>
      </c>
      <c r="H37" s="76">
        <f t="shared" si="8"/>
        <v>44032.761859999999</v>
      </c>
      <c r="O37" s="77"/>
    </row>
    <row r="38" spans="1:15" s="77" customFormat="1" ht="48.75" customHeight="1">
      <c r="A38" s="78" t="s">
        <v>227</v>
      </c>
      <c r="B38" s="79" t="s">
        <v>203</v>
      </c>
      <c r="C38" s="79" t="s">
        <v>234</v>
      </c>
      <c r="D38" s="79" t="s">
        <v>228</v>
      </c>
      <c r="E38" s="79" t="s">
        <v>206</v>
      </c>
      <c r="F38" s="80">
        <f>F39+F41+F43</f>
        <v>47864.262999999999</v>
      </c>
      <c r="G38" s="80">
        <f t="shared" ref="G38:H38" si="9">G39+G41+G43</f>
        <v>48575.828640000007</v>
      </c>
      <c r="H38" s="80">
        <f t="shared" si="9"/>
        <v>44032.761859999999</v>
      </c>
      <c r="O38" s="50"/>
    </row>
    <row r="39" spans="1:15" ht="96" customHeight="1">
      <c r="A39" s="74" t="s">
        <v>215</v>
      </c>
      <c r="B39" s="75" t="s">
        <v>203</v>
      </c>
      <c r="C39" s="75" t="s">
        <v>234</v>
      </c>
      <c r="D39" s="75" t="s">
        <v>228</v>
      </c>
      <c r="E39" s="75" t="s">
        <v>216</v>
      </c>
      <c r="F39" s="76">
        <f>F40</f>
        <v>35925.663</v>
      </c>
      <c r="G39" s="76">
        <f>G40</f>
        <v>37294.226000000002</v>
      </c>
      <c r="H39" s="76">
        <f>H40</f>
        <v>38731.216999999997</v>
      </c>
    </row>
    <row r="40" spans="1:15" ht="39" customHeight="1">
      <c r="A40" s="74" t="s">
        <v>217</v>
      </c>
      <c r="B40" s="75" t="s">
        <v>203</v>
      </c>
      <c r="C40" s="75" t="s">
        <v>234</v>
      </c>
      <c r="D40" s="75" t="s">
        <v>228</v>
      </c>
      <c r="E40" s="75" t="s">
        <v>218</v>
      </c>
      <c r="F40" s="76">
        <v>35925.663</v>
      </c>
      <c r="G40" s="76">
        <v>37294.226000000002</v>
      </c>
      <c r="H40" s="76">
        <v>38731.216999999997</v>
      </c>
    </row>
    <row r="41" spans="1:15" ht="33" customHeight="1">
      <c r="A41" s="74" t="s">
        <v>223</v>
      </c>
      <c r="B41" s="75" t="s">
        <v>203</v>
      </c>
      <c r="C41" s="75" t="s">
        <v>234</v>
      </c>
      <c r="D41" s="75" t="s">
        <v>228</v>
      </c>
      <c r="E41" s="75" t="s">
        <v>224</v>
      </c>
      <c r="F41" s="76">
        <f>F42</f>
        <v>11427.6</v>
      </c>
      <c r="G41" s="76">
        <f>G42</f>
        <v>10770.602640000001</v>
      </c>
      <c r="H41" s="76">
        <f>H42</f>
        <v>4790.5448599999991</v>
      </c>
    </row>
    <row r="42" spans="1:15" ht="49.5" customHeight="1">
      <c r="A42" s="74" t="s">
        <v>225</v>
      </c>
      <c r="B42" s="75" t="s">
        <v>203</v>
      </c>
      <c r="C42" s="75" t="s">
        <v>234</v>
      </c>
      <c r="D42" s="75" t="s">
        <v>228</v>
      </c>
      <c r="E42" s="75" t="s">
        <v>226</v>
      </c>
      <c r="F42" s="76">
        <v>11427.6</v>
      </c>
      <c r="G42" s="76">
        <f>10770.6+0.00264</f>
        <v>10770.602640000001</v>
      </c>
      <c r="H42" s="76">
        <f>5354.91213-316.068-248.29927</f>
        <v>4790.5448599999991</v>
      </c>
    </row>
    <row r="43" spans="1:15" ht="18" customHeight="1">
      <c r="A43" s="74" t="s">
        <v>229</v>
      </c>
      <c r="B43" s="75" t="s">
        <v>203</v>
      </c>
      <c r="C43" s="75" t="s">
        <v>234</v>
      </c>
      <c r="D43" s="75" t="s">
        <v>228</v>
      </c>
      <c r="E43" s="75" t="s">
        <v>230</v>
      </c>
      <c r="F43" s="76">
        <f>F44</f>
        <v>511</v>
      </c>
      <c r="G43" s="76">
        <f>G44</f>
        <v>511</v>
      </c>
      <c r="H43" s="76">
        <f>H44</f>
        <v>511</v>
      </c>
    </row>
    <row r="44" spans="1:15" ht="17.25" customHeight="1">
      <c r="A44" s="70" t="s">
        <v>231</v>
      </c>
      <c r="B44" s="71" t="s">
        <v>203</v>
      </c>
      <c r="C44" s="71" t="s">
        <v>234</v>
      </c>
      <c r="D44" s="71" t="s">
        <v>228</v>
      </c>
      <c r="E44" s="71" t="s">
        <v>232</v>
      </c>
      <c r="F44" s="72">
        <v>511</v>
      </c>
      <c r="G44" s="72">
        <v>511</v>
      </c>
      <c r="H44" s="72">
        <v>511</v>
      </c>
      <c r="O44" s="65"/>
    </row>
    <row r="45" spans="1:15" s="65" customFormat="1" ht="49.5" customHeight="1">
      <c r="A45" s="66" t="s">
        <v>235</v>
      </c>
      <c r="B45" s="67" t="s">
        <v>203</v>
      </c>
      <c r="C45" s="67" t="s">
        <v>236</v>
      </c>
      <c r="D45" s="67" t="s">
        <v>237</v>
      </c>
      <c r="E45" s="67" t="s">
        <v>206</v>
      </c>
      <c r="F45" s="68">
        <f t="shared" ref="F45:H46" si="10">F46</f>
        <v>13.552</v>
      </c>
      <c r="G45" s="68">
        <f t="shared" ref="G45:H45" si="11">G46</f>
        <v>109.01200000000001</v>
      </c>
      <c r="H45" s="68">
        <f t="shared" si="11"/>
        <v>17.384</v>
      </c>
      <c r="O45" s="50"/>
    </row>
    <row r="46" spans="1:15" ht="33.75" customHeight="1">
      <c r="A46" s="74" t="s">
        <v>223</v>
      </c>
      <c r="B46" s="75" t="s">
        <v>203</v>
      </c>
      <c r="C46" s="75" t="s">
        <v>236</v>
      </c>
      <c r="D46" s="75" t="s">
        <v>237</v>
      </c>
      <c r="E46" s="75" t="s">
        <v>224</v>
      </c>
      <c r="F46" s="76">
        <f t="shared" si="10"/>
        <v>13.552</v>
      </c>
      <c r="G46" s="76">
        <f t="shared" si="10"/>
        <v>109.01200000000001</v>
      </c>
      <c r="H46" s="76">
        <f t="shared" si="10"/>
        <v>17.384</v>
      </c>
    </row>
    <row r="47" spans="1:15" ht="52.5" customHeight="1">
      <c r="A47" s="74" t="s">
        <v>225</v>
      </c>
      <c r="B47" s="75" t="s">
        <v>203</v>
      </c>
      <c r="C47" s="75" t="s">
        <v>236</v>
      </c>
      <c r="D47" s="75" t="s">
        <v>237</v>
      </c>
      <c r="E47" s="75" t="s">
        <v>226</v>
      </c>
      <c r="F47" s="36">
        <f>'5'!D327</f>
        <v>13.552</v>
      </c>
      <c r="G47" s="36">
        <f>'5'!E327</f>
        <v>109.01200000000001</v>
      </c>
      <c r="H47" s="36">
        <f>'5'!F327</f>
        <v>17.384</v>
      </c>
      <c r="O47" s="65"/>
    </row>
    <row r="48" spans="1:15" s="65" customFormat="1" ht="63" customHeight="1">
      <c r="A48" s="66" t="s">
        <v>238</v>
      </c>
      <c r="B48" s="67" t="s">
        <v>203</v>
      </c>
      <c r="C48" s="67" t="s">
        <v>239</v>
      </c>
      <c r="D48" s="67" t="s">
        <v>205</v>
      </c>
      <c r="E48" s="67" t="s">
        <v>206</v>
      </c>
      <c r="F48" s="68">
        <f>F51+F60+F69</f>
        <v>14596.7</v>
      </c>
      <c r="G48" s="68">
        <f t="shared" ref="G48:H48" si="12">G51+G60+G69</f>
        <v>15036.208000000001</v>
      </c>
      <c r="H48" s="68">
        <f t="shared" si="12"/>
        <v>14850.096</v>
      </c>
      <c r="O48" s="50"/>
    </row>
    <row r="49" spans="1:15" ht="33.75" customHeight="1">
      <c r="A49" s="74" t="s">
        <v>240</v>
      </c>
      <c r="B49" s="75" t="s">
        <v>203</v>
      </c>
      <c r="C49" s="75" t="s">
        <v>239</v>
      </c>
      <c r="D49" s="75" t="s">
        <v>210</v>
      </c>
      <c r="E49" s="75" t="s">
        <v>206</v>
      </c>
      <c r="F49" s="76">
        <f t="shared" ref="F49:H49" si="13">F50</f>
        <v>14596.7</v>
      </c>
      <c r="G49" s="76">
        <f t="shared" si="13"/>
        <v>15036.208000000001</v>
      </c>
      <c r="H49" s="76">
        <f t="shared" si="13"/>
        <v>14850.096</v>
      </c>
    </row>
    <row r="50" spans="1:15" ht="47.25" customHeight="1">
      <c r="A50" s="74" t="s">
        <v>211</v>
      </c>
      <c r="B50" s="75" t="s">
        <v>203</v>
      </c>
      <c r="C50" s="75" t="s">
        <v>239</v>
      </c>
      <c r="D50" s="75" t="s">
        <v>212</v>
      </c>
      <c r="E50" s="75" t="s">
        <v>206</v>
      </c>
      <c r="F50" s="76">
        <f>F51+F60+F67</f>
        <v>14596.7</v>
      </c>
      <c r="G50" s="76">
        <f>G51+G60+G67</f>
        <v>15036.208000000001</v>
      </c>
      <c r="H50" s="76">
        <f>H51+H60+H67</f>
        <v>14850.096</v>
      </c>
      <c r="O50" s="77"/>
    </row>
    <row r="51" spans="1:15" s="77" customFormat="1" ht="48.75" customHeight="1">
      <c r="A51" s="78" t="s">
        <v>241</v>
      </c>
      <c r="B51" s="79" t="s">
        <v>203</v>
      </c>
      <c r="C51" s="79" t="s">
        <v>239</v>
      </c>
      <c r="D51" s="79" t="s">
        <v>228</v>
      </c>
      <c r="E51" s="79" t="s">
        <v>206</v>
      </c>
      <c r="F51" s="80">
        <f>F52+F54+F58+F56</f>
        <v>11334</v>
      </c>
      <c r="G51" s="80">
        <f t="shared" ref="G51:H51" si="14">G52+G54+G58+G56</f>
        <v>11834</v>
      </c>
      <c r="H51" s="80">
        <f t="shared" si="14"/>
        <v>11534</v>
      </c>
      <c r="O51" s="50"/>
    </row>
    <row r="52" spans="1:15" ht="95.25" customHeight="1">
      <c r="A52" s="74" t="s">
        <v>215</v>
      </c>
      <c r="B52" s="75" t="s">
        <v>203</v>
      </c>
      <c r="C52" s="75" t="s">
        <v>239</v>
      </c>
      <c r="D52" s="75" t="s">
        <v>228</v>
      </c>
      <c r="E52" s="75" t="s">
        <v>216</v>
      </c>
      <c r="F52" s="76">
        <f>F53</f>
        <v>9716.2180000000008</v>
      </c>
      <c r="G52" s="76">
        <f>G53</f>
        <v>10216.218000000001</v>
      </c>
      <c r="H52" s="76">
        <f>H53</f>
        <v>10916.218000000001</v>
      </c>
    </row>
    <row r="53" spans="1:15" ht="33" customHeight="1">
      <c r="A53" s="74" t="s">
        <v>217</v>
      </c>
      <c r="B53" s="75" t="s">
        <v>203</v>
      </c>
      <c r="C53" s="75" t="s">
        <v>239</v>
      </c>
      <c r="D53" s="75" t="s">
        <v>228</v>
      </c>
      <c r="E53" s="75" t="s">
        <v>218</v>
      </c>
      <c r="F53" s="76">
        <v>9716.2180000000008</v>
      </c>
      <c r="G53" s="76">
        <f>9716.218+500</f>
        <v>10216.218000000001</v>
      </c>
      <c r="H53" s="76">
        <v>10916.218000000001</v>
      </c>
    </row>
    <row r="54" spans="1:15" ht="33" customHeight="1">
      <c r="A54" s="74" t="s">
        <v>223</v>
      </c>
      <c r="B54" s="75" t="s">
        <v>203</v>
      </c>
      <c r="C54" s="75" t="s">
        <v>239</v>
      </c>
      <c r="D54" s="75" t="s">
        <v>228</v>
      </c>
      <c r="E54" s="75" t="s">
        <v>224</v>
      </c>
      <c r="F54" s="76">
        <f>F55</f>
        <v>1612.7820000000002</v>
      </c>
      <c r="G54" s="76">
        <f>G55</f>
        <v>1612.7820000000002</v>
      </c>
      <c r="H54" s="76">
        <f>H55</f>
        <v>612.78200000000015</v>
      </c>
    </row>
    <row r="55" spans="1:15" ht="48" customHeight="1">
      <c r="A55" s="74" t="s">
        <v>225</v>
      </c>
      <c r="B55" s="75" t="s">
        <v>203</v>
      </c>
      <c r="C55" s="75" t="s">
        <v>239</v>
      </c>
      <c r="D55" s="75" t="s">
        <v>228</v>
      </c>
      <c r="E55" s="75" t="s">
        <v>226</v>
      </c>
      <c r="F55" s="76">
        <f>167.949+7+1155.833+282</f>
        <v>1612.7820000000002</v>
      </c>
      <c r="G55" s="76">
        <f>167.949+7+1155.833+282</f>
        <v>1612.7820000000002</v>
      </c>
      <c r="H55" s="76">
        <f>167.949+7+1155.833+282-1000</f>
        <v>612.78200000000015</v>
      </c>
    </row>
    <row r="56" spans="1:15" ht="34.5" hidden="1" customHeight="1">
      <c r="A56" s="74" t="s">
        <v>242</v>
      </c>
      <c r="B56" s="75" t="s">
        <v>203</v>
      </c>
      <c r="C56" s="75" t="s">
        <v>239</v>
      </c>
      <c r="D56" s="75" t="s">
        <v>228</v>
      </c>
      <c r="E56" s="75" t="s">
        <v>243</v>
      </c>
      <c r="F56" s="76">
        <v>0</v>
      </c>
      <c r="G56" s="76">
        <f>G57</f>
        <v>0</v>
      </c>
      <c r="H56" s="76">
        <f>H57</f>
        <v>0</v>
      </c>
    </row>
    <row r="57" spans="1:15" ht="33.75" hidden="1" customHeight="1">
      <c r="A57" s="74" t="s">
        <v>244</v>
      </c>
      <c r="B57" s="75" t="s">
        <v>203</v>
      </c>
      <c r="C57" s="75" t="s">
        <v>239</v>
      </c>
      <c r="D57" s="75" t="s">
        <v>228</v>
      </c>
      <c r="E57" s="75" t="s">
        <v>245</v>
      </c>
      <c r="F57" s="76">
        <v>0</v>
      </c>
      <c r="G57" s="76">
        <v>0</v>
      </c>
      <c r="H57" s="76">
        <v>0</v>
      </c>
    </row>
    <row r="58" spans="1:15" ht="17.25" customHeight="1">
      <c r="A58" s="74" t="s">
        <v>229</v>
      </c>
      <c r="B58" s="75" t="s">
        <v>203</v>
      </c>
      <c r="C58" s="75" t="s">
        <v>239</v>
      </c>
      <c r="D58" s="75" t="s">
        <v>228</v>
      </c>
      <c r="E58" s="75" t="s">
        <v>230</v>
      </c>
      <c r="F58" s="76">
        <f>F59</f>
        <v>5</v>
      </c>
      <c r="G58" s="76">
        <f>G59</f>
        <v>5</v>
      </c>
      <c r="H58" s="76">
        <f>H59</f>
        <v>5</v>
      </c>
    </row>
    <row r="59" spans="1:15" ht="17.25" customHeight="1">
      <c r="A59" s="74" t="s">
        <v>231</v>
      </c>
      <c r="B59" s="75" t="s">
        <v>203</v>
      </c>
      <c r="C59" s="75" t="s">
        <v>239</v>
      </c>
      <c r="D59" s="75" t="s">
        <v>228</v>
      </c>
      <c r="E59" s="75" t="s">
        <v>232</v>
      </c>
      <c r="F59" s="76">
        <v>5</v>
      </c>
      <c r="G59" s="76">
        <v>5</v>
      </c>
      <c r="H59" s="76">
        <v>5</v>
      </c>
      <c r="O59" s="77"/>
    </row>
    <row r="60" spans="1:15" s="77" customFormat="1" ht="48" customHeight="1">
      <c r="A60" s="78" t="s">
        <v>246</v>
      </c>
      <c r="B60" s="79" t="s">
        <v>203</v>
      </c>
      <c r="C60" s="79" t="s">
        <v>239</v>
      </c>
      <c r="D60" s="79" t="s">
        <v>228</v>
      </c>
      <c r="E60" s="79" t="s">
        <v>206</v>
      </c>
      <c r="F60" s="80">
        <f>F63+F65+F61</f>
        <v>475</v>
      </c>
      <c r="G60" s="80">
        <f>G63+G65+G61</f>
        <v>355</v>
      </c>
      <c r="H60" s="80">
        <f>H63+H65+H61</f>
        <v>355</v>
      </c>
    </row>
    <row r="61" spans="1:15" s="77" customFormat="1" ht="94.5" hidden="1" customHeight="1">
      <c r="A61" s="74" t="s">
        <v>215</v>
      </c>
      <c r="B61" s="75" t="s">
        <v>203</v>
      </c>
      <c r="C61" s="75" t="s">
        <v>239</v>
      </c>
      <c r="D61" s="79" t="s">
        <v>228</v>
      </c>
      <c r="E61" s="75" t="s">
        <v>216</v>
      </c>
      <c r="F61" s="76">
        <f>F62</f>
        <v>0</v>
      </c>
      <c r="G61" s="76">
        <f>G62</f>
        <v>0</v>
      </c>
      <c r="H61" s="76">
        <f>H62</f>
        <v>0</v>
      </c>
    </row>
    <row r="62" spans="1:15" s="77" customFormat="1" ht="31.5" hidden="1" customHeight="1">
      <c r="A62" s="74" t="s">
        <v>217</v>
      </c>
      <c r="B62" s="75" t="s">
        <v>203</v>
      </c>
      <c r="C62" s="75" t="s">
        <v>239</v>
      </c>
      <c r="D62" s="79" t="s">
        <v>228</v>
      </c>
      <c r="E62" s="75" t="s">
        <v>218</v>
      </c>
      <c r="F62" s="76"/>
      <c r="G62" s="76"/>
      <c r="H62" s="76"/>
      <c r="O62" s="50"/>
    </row>
    <row r="63" spans="1:15" ht="34.5" customHeight="1">
      <c r="A63" s="74" t="s">
        <v>223</v>
      </c>
      <c r="B63" s="75" t="s">
        <v>203</v>
      </c>
      <c r="C63" s="75" t="s">
        <v>239</v>
      </c>
      <c r="D63" s="75" t="s">
        <v>228</v>
      </c>
      <c r="E63" s="75" t="s">
        <v>224</v>
      </c>
      <c r="F63" s="76">
        <f>F64</f>
        <v>473</v>
      </c>
      <c r="G63" s="76">
        <f>G64</f>
        <v>353</v>
      </c>
      <c r="H63" s="76">
        <f>H64</f>
        <v>353</v>
      </c>
    </row>
    <row r="64" spans="1:15" ht="45.75" customHeight="1">
      <c r="A64" s="74" t="s">
        <v>225</v>
      </c>
      <c r="B64" s="75" t="s">
        <v>203</v>
      </c>
      <c r="C64" s="75" t="s">
        <v>239</v>
      </c>
      <c r="D64" s="75" t="s">
        <v>228</v>
      </c>
      <c r="E64" s="75" t="s">
        <v>226</v>
      </c>
      <c r="F64" s="76">
        <f>353+120</f>
        <v>473</v>
      </c>
      <c r="G64" s="76">
        <v>353</v>
      </c>
      <c r="H64" s="76">
        <v>353</v>
      </c>
    </row>
    <row r="65" spans="1:15" ht="16.5" customHeight="1">
      <c r="A65" s="74" t="s">
        <v>229</v>
      </c>
      <c r="B65" s="75" t="s">
        <v>203</v>
      </c>
      <c r="C65" s="75" t="s">
        <v>239</v>
      </c>
      <c r="D65" s="75" t="s">
        <v>228</v>
      </c>
      <c r="E65" s="75" t="s">
        <v>230</v>
      </c>
      <c r="F65" s="76">
        <f>F66</f>
        <v>2</v>
      </c>
      <c r="G65" s="76">
        <f>G66</f>
        <v>2</v>
      </c>
      <c r="H65" s="76">
        <f>H66</f>
        <v>2</v>
      </c>
    </row>
    <row r="66" spans="1:15" ht="17.25" customHeight="1">
      <c r="A66" s="74" t="s">
        <v>231</v>
      </c>
      <c r="B66" s="75" t="s">
        <v>203</v>
      </c>
      <c r="C66" s="75" t="s">
        <v>239</v>
      </c>
      <c r="D66" s="75" t="s">
        <v>228</v>
      </c>
      <c r="E66" s="75" t="s">
        <v>232</v>
      </c>
      <c r="F66" s="76">
        <v>2</v>
      </c>
      <c r="G66" s="76">
        <v>2</v>
      </c>
      <c r="H66" s="76">
        <v>2</v>
      </c>
      <c r="O66" s="77"/>
    </row>
    <row r="67" spans="1:15" s="77" customFormat="1" ht="33" customHeight="1">
      <c r="A67" s="78" t="s">
        <v>247</v>
      </c>
      <c r="B67" s="79" t="s">
        <v>203</v>
      </c>
      <c r="C67" s="79" t="s">
        <v>239</v>
      </c>
      <c r="D67" s="79" t="s">
        <v>248</v>
      </c>
      <c r="E67" s="79" t="s">
        <v>206</v>
      </c>
      <c r="F67" s="80">
        <f>F69</f>
        <v>2787.7</v>
      </c>
      <c r="G67" s="80">
        <f>G69</f>
        <v>2847.2080000000001</v>
      </c>
      <c r="H67" s="80">
        <f>H69</f>
        <v>2961.096</v>
      </c>
      <c r="O67" s="50"/>
    </row>
    <row r="68" spans="1:15" ht="94.5" customHeight="1">
      <c r="A68" s="74" t="s">
        <v>215</v>
      </c>
      <c r="B68" s="75" t="s">
        <v>203</v>
      </c>
      <c r="C68" s="75" t="s">
        <v>239</v>
      </c>
      <c r="D68" s="75" t="s">
        <v>248</v>
      </c>
      <c r="E68" s="75" t="s">
        <v>216</v>
      </c>
      <c r="F68" s="76">
        <f>F69</f>
        <v>2787.7</v>
      </c>
      <c r="G68" s="76">
        <f>G69</f>
        <v>2847.2080000000001</v>
      </c>
      <c r="H68" s="76">
        <f>H69</f>
        <v>2961.096</v>
      </c>
    </row>
    <row r="69" spans="1:15" ht="34.5" customHeight="1">
      <c r="A69" s="74" t="s">
        <v>217</v>
      </c>
      <c r="B69" s="75" t="s">
        <v>203</v>
      </c>
      <c r="C69" s="75" t="s">
        <v>239</v>
      </c>
      <c r="D69" s="75" t="s">
        <v>248</v>
      </c>
      <c r="E69" s="75" t="s">
        <v>218</v>
      </c>
      <c r="F69" s="76">
        <f>'5'!D273</f>
        <v>2787.7</v>
      </c>
      <c r="G69" s="76">
        <f>'5'!E273</f>
        <v>2847.2080000000001</v>
      </c>
      <c r="H69" s="76">
        <f>'5'!F273</f>
        <v>2961.096</v>
      </c>
      <c r="O69" s="82"/>
    </row>
    <row r="70" spans="1:15" s="82" customFormat="1" ht="15.75" hidden="1" customHeight="1">
      <c r="A70" s="83" t="s">
        <v>249</v>
      </c>
      <c r="B70" s="84" t="s">
        <v>203</v>
      </c>
      <c r="C70" s="84" t="s">
        <v>250</v>
      </c>
      <c r="D70" s="84" t="s">
        <v>251</v>
      </c>
      <c r="E70" s="84" t="s">
        <v>206</v>
      </c>
      <c r="F70" s="85">
        <f>F71</f>
        <v>0</v>
      </c>
      <c r="G70" s="85">
        <f>G71</f>
        <v>0</v>
      </c>
      <c r="H70" s="85">
        <f>H71</f>
        <v>0</v>
      </c>
    </row>
    <row r="71" spans="1:15" s="82" customFormat="1" ht="31.5" hidden="1" customHeight="1">
      <c r="A71" s="83" t="s">
        <v>252</v>
      </c>
      <c r="B71" s="84" t="s">
        <v>203</v>
      </c>
      <c r="C71" s="84" t="s">
        <v>250</v>
      </c>
      <c r="D71" s="84" t="s">
        <v>253</v>
      </c>
      <c r="E71" s="84" t="s">
        <v>206</v>
      </c>
      <c r="F71" s="85">
        <f>F73</f>
        <v>0</v>
      </c>
      <c r="G71" s="85">
        <f>G73</f>
        <v>0</v>
      </c>
      <c r="H71" s="85">
        <f>H73</f>
        <v>0</v>
      </c>
    </row>
    <row r="72" spans="1:15" s="82" customFormat="1" ht="15.75" hidden="1" customHeight="1">
      <c r="A72" s="83" t="s">
        <v>229</v>
      </c>
      <c r="B72" s="84" t="s">
        <v>203</v>
      </c>
      <c r="C72" s="84" t="s">
        <v>250</v>
      </c>
      <c r="D72" s="84" t="s">
        <v>253</v>
      </c>
      <c r="E72" s="84" t="s">
        <v>230</v>
      </c>
      <c r="F72" s="85">
        <f>F73</f>
        <v>0</v>
      </c>
      <c r="G72" s="85">
        <f>G73</f>
        <v>0</v>
      </c>
      <c r="H72" s="85">
        <f>H73</f>
        <v>0</v>
      </c>
    </row>
    <row r="73" spans="1:15" s="82" customFormat="1" ht="15.75" hidden="1" customHeight="1">
      <c r="A73" s="83" t="s">
        <v>254</v>
      </c>
      <c r="B73" s="84" t="s">
        <v>203</v>
      </c>
      <c r="C73" s="84" t="s">
        <v>250</v>
      </c>
      <c r="D73" s="84" t="s">
        <v>253</v>
      </c>
      <c r="E73" s="84" t="s">
        <v>255</v>
      </c>
      <c r="F73" s="85"/>
      <c r="G73" s="85"/>
      <c r="H73" s="85"/>
    </row>
    <row r="74" spans="1:15" s="82" customFormat="1" ht="31.5" customHeight="1">
      <c r="A74" s="86" t="s">
        <v>256</v>
      </c>
      <c r="B74" s="87" t="s">
        <v>203</v>
      </c>
      <c r="C74" s="87" t="s">
        <v>257</v>
      </c>
      <c r="D74" s="87" t="s">
        <v>205</v>
      </c>
      <c r="E74" s="87" t="s">
        <v>206</v>
      </c>
      <c r="F74" s="88">
        <f>F77</f>
        <v>3721.68</v>
      </c>
      <c r="G74" s="88">
        <f t="shared" ref="G74:H74" si="15">G77</f>
        <v>0</v>
      </c>
      <c r="H74" s="88">
        <f t="shared" si="15"/>
        <v>0</v>
      </c>
    </row>
    <row r="75" spans="1:15" s="82" customFormat="1" ht="31.5" customHeight="1">
      <c r="A75" s="89" t="s">
        <v>258</v>
      </c>
      <c r="B75" s="75" t="s">
        <v>203</v>
      </c>
      <c r="C75" s="75" t="s">
        <v>257</v>
      </c>
      <c r="D75" s="75" t="s">
        <v>210</v>
      </c>
      <c r="E75" s="75" t="s">
        <v>206</v>
      </c>
      <c r="F75" s="76">
        <f t="shared" ref="F75:H78" si="16">F76</f>
        <v>3721.68</v>
      </c>
      <c r="G75" s="76">
        <f t="shared" si="16"/>
        <v>0</v>
      </c>
      <c r="H75" s="76">
        <f t="shared" si="16"/>
        <v>0</v>
      </c>
    </row>
    <row r="76" spans="1:15" s="82" customFormat="1" ht="47.25" customHeight="1">
      <c r="A76" s="89" t="s">
        <v>211</v>
      </c>
      <c r="B76" s="75" t="s">
        <v>203</v>
      </c>
      <c r="C76" s="75" t="s">
        <v>257</v>
      </c>
      <c r="D76" s="75" t="s">
        <v>212</v>
      </c>
      <c r="E76" s="75" t="s">
        <v>206</v>
      </c>
      <c r="F76" s="76">
        <f t="shared" si="16"/>
        <v>3721.68</v>
      </c>
      <c r="G76" s="76">
        <f t="shared" si="16"/>
        <v>0</v>
      </c>
      <c r="H76" s="76">
        <f t="shared" si="16"/>
        <v>0</v>
      </c>
    </row>
    <row r="77" spans="1:15" s="82" customFormat="1" ht="31.5" customHeight="1">
      <c r="A77" s="89" t="s">
        <v>259</v>
      </c>
      <c r="B77" s="75" t="s">
        <v>203</v>
      </c>
      <c r="C77" s="75" t="s">
        <v>257</v>
      </c>
      <c r="D77" s="75" t="s">
        <v>260</v>
      </c>
      <c r="E77" s="75" t="s">
        <v>206</v>
      </c>
      <c r="F77" s="76">
        <f t="shared" si="16"/>
        <v>3721.68</v>
      </c>
      <c r="G77" s="76">
        <f t="shared" si="16"/>
        <v>0</v>
      </c>
      <c r="H77" s="76">
        <f t="shared" si="16"/>
        <v>0</v>
      </c>
    </row>
    <row r="78" spans="1:15" s="82" customFormat="1" ht="15.75" customHeight="1">
      <c r="A78" s="89" t="s">
        <v>229</v>
      </c>
      <c r="B78" s="75" t="s">
        <v>203</v>
      </c>
      <c r="C78" s="75" t="s">
        <v>257</v>
      </c>
      <c r="D78" s="75" t="s">
        <v>260</v>
      </c>
      <c r="E78" s="75" t="s">
        <v>230</v>
      </c>
      <c r="F78" s="76">
        <f t="shared" si="16"/>
        <v>3721.68</v>
      </c>
      <c r="G78" s="76">
        <f t="shared" si="16"/>
        <v>0</v>
      </c>
      <c r="H78" s="76">
        <f t="shared" si="16"/>
        <v>0</v>
      </c>
    </row>
    <row r="79" spans="1:15" s="82" customFormat="1" ht="15.75" customHeight="1">
      <c r="A79" s="90" t="s">
        <v>261</v>
      </c>
      <c r="B79" s="75" t="s">
        <v>203</v>
      </c>
      <c r="C79" s="75" t="s">
        <v>257</v>
      </c>
      <c r="D79" s="75" t="s">
        <v>260</v>
      </c>
      <c r="E79" s="75" t="s">
        <v>262</v>
      </c>
      <c r="F79" s="76">
        <v>3721.68</v>
      </c>
      <c r="G79" s="76">
        <v>0</v>
      </c>
      <c r="H79" s="76">
        <v>0</v>
      </c>
      <c r="O79" s="65"/>
    </row>
    <row r="80" spans="1:15" s="65" customFormat="1" ht="19.5" customHeight="1">
      <c r="A80" s="91" t="s">
        <v>249</v>
      </c>
      <c r="B80" s="67" t="s">
        <v>203</v>
      </c>
      <c r="C80" s="67" t="s">
        <v>250</v>
      </c>
      <c r="D80" s="67" t="s">
        <v>205</v>
      </c>
      <c r="E80" s="67" t="s">
        <v>206</v>
      </c>
      <c r="F80" s="68">
        <f>F83</f>
        <v>11391.264000000001</v>
      </c>
      <c r="G80" s="68">
        <f t="shared" ref="G80:H80" si="17">G83</f>
        <v>3000</v>
      </c>
      <c r="H80" s="68">
        <f t="shared" si="17"/>
        <v>3000</v>
      </c>
      <c r="O80" s="50"/>
    </row>
    <row r="81" spans="1:15" ht="33.75" customHeight="1">
      <c r="A81" s="92" t="s">
        <v>209</v>
      </c>
      <c r="B81" s="71" t="s">
        <v>203</v>
      </c>
      <c r="C81" s="71" t="s">
        <v>250</v>
      </c>
      <c r="D81" s="93" t="s">
        <v>210</v>
      </c>
      <c r="E81" s="93" t="s">
        <v>206</v>
      </c>
      <c r="F81" s="72">
        <f t="shared" ref="F81:H84" si="18">F82</f>
        <v>11391.264000000001</v>
      </c>
      <c r="G81" s="72">
        <f t="shared" si="18"/>
        <v>3000</v>
      </c>
      <c r="H81" s="72">
        <f t="shared" si="18"/>
        <v>3000</v>
      </c>
    </row>
    <row r="82" spans="1:15" ht="49.5" customHeight="1">
      <c r="A82" s="94" t="s">
        <v>211</v>
      </c>
      <c r="B82" s="75" t="s">
        <v>203</v>
      </c>
      <c r="C82" s="75" t="s">
        <v>250</v>
      </c>
      <c r="D82" s="95" t="s">
        <v>212</v>
      </c>
      <c r="E82" s="95" t="s">
        <v>206</v>
      </c>
      <c r="F82" s="76">
        <f t="shared" si="18"/>
        <v>11391.264000000001</v>
      </c>
      <c r="G82" s="76">
        <f t="shared" si="18"/>
        <v>3000</v>
      </c>
      <c r="H82" s="76">
        <f t="shared" si="18"/>
        <v>3000</v>
      </c>
    </row>
    <row r="83" spans="1:15" ht="33" customHeight="1">
      <c r="A83" s="94" t="s">
        <v>263</v>
      </c>
      <c r="B83" s="75" t="s">
        <v>203</v>
      </c>
      <c r="C83" s="75" t="s">
        <v>250</v>
      </c>
      <c r="D83" s="75" t="s">
        <v>264</v>
      </c>
      <c r="E83" s="95" t="s">
        <v>206</v>
      </c>
      <c r="F83" s="76">
        <f t="shared" si="18"/>
        <v>11391.264000000001</v>
      </c>
      <c r="G83" s="76">
        <f t="shared" si="18"/>
        <v>3000</v>
      </c>
      <c r="H83" s="76">
        <f t="shared" si="18"/>
        <v>3000</v>
      </c>
    </row>
    <row r="84" spans="1:15" ht="20.25" customHeight="1">
      <c r="A84" s="94" t="s">
        <v>229</v>
      </c>
      <c r="B84" s="75" t="s">
        <v>203</v>
      </c>
      <c r="C84" s="75" t="s">
        <v>250</v>
      </c>
      <c r="D84" s="75" t="s">
        <v>264</v>
      </c>
      <c r="E84" s="95" t="s">
        <v>230</v>
      </c>
      <c r="F84" s="76">
        <f t="shared" si="18"/>
        <v>11391.264000000001</v>
      </c>
      <c r="G84" s="76">
        <f t="shared" si="18"/>
        <v>3000</v>
      </c>
      <c r="H84" s="76">
        <f t="shared" si="18"/>
        <v>3000</v>
      </c>
    </row>
    <row r="85" spans="1:15" ht="18" customHeight="1">
      <c r="A85" s="94" t="s">
        <v>254</v>
      </c>
      <c r="B85" s="75" t="s">
        <v>203</v>
      </c>
      <c r="C85" s="75" t="s">
        <v>250</v>
      </c>
      <c r="D85" s="75" t="s">
        <v>264</v>
      </c>
      <c r="E85" s="95" t="s">
        <v>255</v>
      </c>
      <c r="F85" s="76">
        <f>'5'!D299</f>
        <v>11391.264000000001</v>
      </c>
      <c r="G85" s="76">
        <f>'5'!E299</f>
        <v>3000</v>
      </c>
      <c r="H85" s="76">
        <f>'5'!F299</f>
        <v>3000</v>
      </c>
      <c r="O85" s="65"/>
    </row>
    <row r="86" spans="1:15" s="65" customFormat="1" ht="18.75" customHeight="1">
      <c r="A86" s="96" t="s">
        <v>265</v>
      </c>
      <c r="B86" s="67" t="s">
        <v>203</v>
      </c>
      <c r="C86" s="67" t="s">
        <v>266</v>
      </c>
      <c r="D86" s="67" t="s">
        <v>205</v>
      </c>
      <c r="E86" s="67" t="s">
        <v>206</v>
      </c>
      <c r="F86" s="68">
        <f>F88+F93+F98+F103+F108+F127+F137+F140+F152+F173+F194+F197+F204+F228+F146+F176</f>
        <v>19807.114999999998</v>
      </c>
      <c r="G86" s="68">
        <f t="shared" ref="G86:H86" si="19">G88+G93+G98+G103+G108+G127+G137+G140+G152+G173+G194+G197+G204+G228+G146+G176</f>
        <v>15676.758999999998</v>
      </c>
      <c r="H86" s="68">
        <f t="shared" si="19"/>
        <v>16265.644999999999</v>
      </c>
      <c r="O86" s="50"/>
    </row>
    <row r="87" spans="1:15" ht="17.25" customHeight="1">
      <c r="A87" s="89" t="s">
        <v>267</v>
      </c>
      <c r="B87" s="75" t="s">
        <v>203</v>
      </c>
      <c r="C87" s="75" t="s">
        <v>266</v>
      </c>
      <c r="D87" s="75" t="s">
        <v>205</v>
      </c>
      <c r="E87" s="75" t="s">
        <v>206</v>
      </c>
      <c r="F87" s="76">
        <f>F88+F93+F98+F103+F108+F150+F112</f>
        <v>8268.7889999999989</v>
      </c>
      <c r="G87" s="76">
        <f>G88+G93+G98+G103+G108+G150+G112</f>
        <v>7359.6989999999996</v>
      </c>
      <c r="H87" s="76">
        <f>H88+H93+H98+H103+H108+H150+H112</f>
        <v>7543.744999999999</v>
      </c>
      <c r="O87" s="77"/>
    </row>
    <row r="88" spans="1:15" s="77" customFormat="1" ht="69" customHeight="1">
      <c r="A88" s="78" t="s">
        <v>268</v>
      </c>
      <c r="B88" s="79" t="s">
        <v>203</v>
      </c>
      <c r="C88" s="79" t="s">
        <v>266</v>
      </c>
      <c r="D88" s="79" t="s">
        <v>269</v>
      </c>
      <c r="E88" s="79" t="s">
        <v>206</v>
      </c>
      <c r="F88" s="80">
        <f>F89+F91</f>
        <v>1112.9279999999999</v>
      </c>
      <c r="G88" s="80">
        <f t="shared" ref="G88:H88" si="20">G89+G91</f>
        <v>1158.722</v>
      </c>
      <c r="H88" s="80">
        <f t="shared" si="20"/>
        <v>1202.471</v>
      </c>
      <c r="O88" s="50"/>
    </row>
    <row r="89" spans="1:15" ht="96" customHeight="1">
      <c r="A89" s="74" t="s">
        <v>215</v>
      </c>
      <c r="B89" s="75" t="s">
        <v>203</v>
      </c>
      <c r="C89" s="75" t="s">
        <v>266</v>
      </c>
      <c r="D89" s="75" t="s">
        <v>269</v>
      </c>
      <c r="E89" s="75" t="s">
        <v>216</v>
      </c>
      <c r="F89" s="76">
        <f>F90</f>
        <v>1085.6959999999999</v>
      </c>
      <c r="G89" s="76">
        <f>G90</f>
        <v>1085.6959999999999</v>
      </c>
      <c r="H89" s="76">
        <f>H90</f>
        <v>1085.6959999999999</v>
      </c>
    </row>
    <row r="90" spans="1:15" ht="33" customHeight="1">
      <c r="A90" s="70" t="s">
        <v>217</v>
      </c>
      <c r="B90" s="71" t="s">
        <v>203</v>
      </c>
      <c r="C90" s="71" t="s">
        <v>266</v>
      </c>
      <c r="D90" s="71" t="s">
        <v>269</v>
      </c>
      <c r="E90" s="71" t="s">
        <v>218</v>
      </c>
      <c r="F90" s="76">
        <v>1085.6959999999999</v>
      </c>
      <c r="G90" s="76">
        <v>1085.6959999999999</v>
      </c>
      <c r="H90" s="76">
        <v>1085.6959999999999</v>
      </c>
    </row>
    <row r="91" spans="1:15" ht="33.75" customHeight="1">
      <c r="A91" s="70" t="s">
        <v>223</v>
      </c>
      <c r="B91" s="71" t="s">
        <v>203</v>
      </c>
      <c r="C91" s="71" t="s">
        <v>266</v>
      </c>
      <c r="D91" s="71" t="s">
        <v>269</v>
      </c>
      <c r="E91" s="71" t="s">
        <v>224</v>
      </c>
      <c r="F91" s="76">
        <f>F92</f>
        <v>27.232000000000003</v>
      </c>
      <c r="G91" s="72">
        <f>G92</f>
        <v>73.02600000000001</v>
      </c>
      <c r="H91" s="72">
        <f>H92</f>
        <v>116.77500000000001</v>
      </c>
    </row>
    <row r="92" spans="1:15" ht="48.75" customHeight="1">
      <c r="A92" s="74" t="s">
        <v>225</v>
      </c>
      <c r="B92" s="75" t="s">
        <v>203</v>
      </c>
      <c r="C92" s="75" t="s">
        <v>266</v>
      </c>
      <c r="D92" s="75" t="s">
        <v>269</v>
      </c>
      <c r="E92" s="75" t="s">
        <v>226</v>
      </c>
      <c r="F92" s="76">
        <f>25.885+1.347</f>
        <v>27.232000000000003</v>
      </c>
      <c r="G92" s="76">
        <f>67.748+5.278</f>
        <v>73.02600000000001</v>
      </c>
      <c r="H92" s="76">
        <f>111.286+5.489</f>
        <v>116.77500000000001</v>
      </c>
      <c r="O92" s="97"/>
    </row>
    <row r="93" spans="1:15" s="97" customFormat="1" ht="48" customHeight="1">
      <c r="A93" s="78" t="s">
        <v>270</v>
      </c>
      <c r="B93" s="79" t="s">
        <v>203</v>
      </c>
      <c r="C93" s="79" t="s">
        <v>266</v>
      </c>
      <c r="D93" s="98" t="s">
        <v>271</v>
      </c>
      <c r="E93" s="79" t="s">
        <v>206</v>
      </c>
      <c r="F93" s="80">
        <f>F94+F96</f>
        <v>1702.3340000000001</v>
      </c>
      <c r="G93" s="80">
        <f>G94+G96</f>
        <v>1769.2260000000001</v>
      </c>
      <c r="H93" s="80">
        <f>H94+H96</f>
        <v>1830.0200000000002</v>
      </c>
      <c r="O93" s="99"/>
    </row>
    <row r="94" spans="1:15" s="99" customFormat="1" ht="96.75" customHeight="1">
      <c r="A94" s="74" t="s">
        <v>215</v>
      </c>
      <c r="B94" s="75" t="s">
        <v>203</v>
      </c>
      <c r="C94" s="75" t="s">
        <v>266</v>
      </c>
      <c r="D94" s="75" t="s">
        <v>271</v>
      </c>
      <c r="E94" s="75" t="s">
        <v>216</v>
      </c>
      <c r="F94" s="76">
        <f>F95</f>
        <v>1702.3340000000001</v>
      </c>
      <c r="G94" s="76">
        <f>G95</f>
        <v>1769.2260000000001</v>
      </c>
      <c r="H94" s="76">
        <f>H95</f>
        <v>1830.0200000000002</v>
      </c>
      <c r="O94" s="50"/>
    </row>
    <row r="95" spans="1:15" ht="31.5" customHeight="1">
      <c r="A95" s="74" t="s">
        <v>217</v>
      </c>
      <c r="B95" s="75" t="s">
        <v>203</v>
      </c>
      <c r="C95" s="75" t="s">
        <v>266</v>
      </c>
      <c r="D95" s="75" t="s">
        <v>271</v>
      </c>
      <c r="E95" s="75" t="s">
        <v>218</v>
      </c>
      <c r="F95" s="76">
        <f>16.491+1680.967+4.876</f>
        <v>1702.3340000000001</v>
      </c>
      <c r="G95" s="76">
        <f>16.491+1680.967+57.922+13.846</f>
        <v>1769.2260000000001</v>
      </c>
      <c r="H95" s="76">
        <f>16.491+1680.967+57.922+60.239+14.401</f>
        <v>1830.0200000000002</v>
      </c>
    </row>
    <row r="96" spans="1:15" ht="33.75" hidden="1" customHeight="1">
      <c r="A96" s="74" t="s">
        <v>223</v>
      </c>
      <c r="B96" s="75" t="s">
        <v>203</v>
      </c>
      <c r="C96" s="75" t="s">
        <v>266</v>
      </c>
      <c r="D96" s="75" t="s">
        <v>271</v>
      </c>
      <c r="E96" s="75" t="s">
        <v>224</v>
      </c>
      <c r="F96" s="76">
        <f>F97</f>
        <v>0</v>
      </c>
      <c r="G96" s="76">
        <f>G97</f>
        <v>0</v>
      </c>
      <c r="H96" s="76">
        <f>H97</f>
        <v>0</v>
      </c>
    </row>
    <row r="97" spans="1:15" ht="49.5" hidden="1" customHeight="1">
      <c r="A97" s="74" t="s">
        <v>225</v>
      </c>
      <c r="B97" s="75" t="s">
        <v>203</v>
      </c>
      <c r="C97" s="75" t="s">
        <v>266</v>
      </c>
      <c r="D97" s="75" t="s">
        <v>271</v>
      </c>
      <c r="E97" s="75" t="s">
        <v>226</v>
      </c>
      <c r="F97" s="76">
        <v>0</v>
      </c>
      <c r="G97" s="76">
        <v>0</v>
      </c>
      <c r="H97" s="76">
        <v>0</v>
      </c>
      <c r="O97" s="77"/>
    </row>
    <row r="98" spans="1:15" s="77" customFormat="1" ht="49.5" customHeight="1">
      <c r="A98" s="78" t="s">
        <v>272</v>
      </c>
      <c r="B98" s="79" t="s">
        <v>203</v>
      </c>
      <c r="C98" s="79" t="s">
        <v>266</v>
      </c>
      <c r="D98" s="79" t="s">
        <v>271</v>
      </c>
      <c r="E98" s="79" t="s">
        <v>206</v>
      </c>
      <c r="F98" s="80">
        <f>F99+F101</f>
        <v>1197.2910000000002</v>
      </c>
      <c r="G98" s="80">
        <f>G99+G101</f>
        <v>1256.5540000000001</v>
      </c>
      <c r="H98" s="80">
        <f>H99+H101</f>
        <v>1316.7930000000001</v>
      </c>
      <c r="O98" s="50"/>
    </row>
    <row r="99" spans="1:15" ht="97.5" customHeight="1">
      <c r="A99" s="74" t="s">
        <v>215</v>
      </c>
      <c r="B99" s="75" t="s">
        <v>203</v>
      </c>
      <c r="C99" s="75" t="s">
        <v>266</v>
      </c>
      <c r="D99" s="75" t="s">
        <v>271</v>
      </c>
      <c r="E99" s="75" t="s">
        <v>216</v>
      </c>
      <c r="F99" s="76">
        <f>F100</f>
        <v>1197.2910000000002</v>
      </c>
      <c r="G99" s="76">
        <f>G100</f>
        <v>1256.5540000000001</v>
      </c>
      <c r="H99" s="76">
        <f>H100</f>
        <v>1316.7930000000001</v>
      </c>
    </row>
    <row r="100" spans="1:15" ht="31.5" customHeight="1">
      <c r="A100" s="74" t="s">
        <v>217</v>
      </c>
      <c r="B100" s="75" t="s">
        <v>203</v>
      </c>
      <c r="C100" s="75" t="s">
        <v>266</v>
      </c>
      <c r="D100" s="75" t="s">
        <v>271</v>
      </c>
      <c r="E100" s="75" t="s">
        <v>218</v>
      </c>
      <c r="F100" s="76">
        <f>16.491+1182.141-1.341</f>
        <v>1197.2910000000002</v>
      </c>
      <c r="G100" s="76">
        <f>16.491+1182.141+57.922</f>
        <v>1256.5540000000001</v>
      </c>
      <c r="H100" s="76">
        <f>16.491+1182.141+57.922+60.239</f>
        <v>1316.7930000000001</v>
      </c>
    </row>
    <row r="101" spans="1:15" ht="35.25" hidden="1" customHeight="1">
      <c r="A101" s="74" t="s">
        <v>223</v>
      </c>
      <c r="B101" s="75" t="s">
        <v>203</v>
      </c>
      <c r="C101" s="75" t="s">
        <v>266</v>
      </c>
      <c r="D101" s="75" t="s">
        <v>271</v>
      </c>
      <c r="E101" s="75" t="s">
        <v>224</v>
      </c>
      <c r="F101" s="76">
        <f>F102</f>
        <v>0</v>
      </c>
      <c r="G101" s="76">
        <f>G102</f>
        <v>0</v>
      </c>
      <c r="H101" s="76">
        <f>H102</f>
        <v>0</v>
      </c>
    </row>
    <row r="102" spans="1:15" ht="48" hidden="1" customHeight="1">
      <c r="A102" s="74" t="s">
        <v>225</v>
      </c>
      <c r="B102" s="75" t="s">
        <v>203</v>
      </c>
      <c r="C102" s="75" t="s">
        <v>266</v>
      </c>
      <c r="D102" s="75" t="s">
        <v>271</v>
      </c>
      <c r="E102" s="75" t="s">
        <v>226</v>
      </c>
      <c r="F102" s="76">
        <v>0</v>
      </c>
      <c r="G102" s="76">
        <v>0</v>
      </c>
      <c r="H102" s="76">
        <v>0</v>
      </c>
      <c r="O102" s="77"/>
    </row>
    <row r="103" spans="1:15" s="77" customFormat="1" ht="115.5" customHeight="1">
      <c r="A103" s="78" t="s">
        <v>273</v>
      </c>
      <c r="B103" s="79" t="s">
        <v>203</v>
      </c>
      <c r="C103" s="79" t="s">
        <v>266</v>
      </c>
      <c r="D103" s="79" t="s">
        <v>274</v>
      </c>
      <c r="E103" s="79" t="s">
        <v>206</v>
      </c>
      <c r="F103" s="80">
        <f>F105+F106</f>
        <v>2693.587</v>
      </c>
      <c r="G103" s="80">
        <f t="shared" ref="G103:H103" si="21">G105+G106</f>
        <v>2693.587</v>
      </c>
      <c r="H103" s="80">
        <f t="shared" si="21"/>
        <v>2693.587</v>
      </c>
      <c r="O103" s="50"/>
    </row>
    <row r="104" spans="1:15" ht="99" customHeight="1">
      <c r="A104" s="74" t="s">
        <v>215</v>
      </c>
      <c r="B104" s="75" t="s">
        <v>203</v>
      </c>
      <c r="C104" s="75" t="s">
        <v>266</v>
      </c>
      <c r="D104" s="75" t="s">
        <v>274</v>
      </c>
      <c r="E104" s="75" t="s">
        <v>216</v>
      </c>
      <c r="F104" s="76">
        <f>'2  '!D91</f>
        <v>2693.587</v>
      </c>
      <c r="G104" s="76">
        <f>'2  '!E91</f>
        <v>2693.587</v>
      </c>
      <c r="H104" s="76">
        <f>'2  '!F91</f>
        <v>2693.587</v>
      </c>
      <c r="I104" s="73"/>
    </row>
    <row r="105" spans="1:15" ht="35.25" customHeight="1">
      <c r="A105" s="74" t="s">
        <v>217</v>
      </c>
      <c r="B105" s="75" t="s">
        <v>203</v>
      </c>
      <c r="C105" s="75" t="s">
        <v>266</v>
      </c>
      <c r="D105" s="75" t="s">
        <v>274</v>
      </c>
      <c r="E105" s="75" t="s">
        <v>218</v>
      </c>
      <c r="F105" s="76">
        <v>2358.5709999999999</v>
      </c>
      <c r="G105" s="76">
        <v>2358.5709999999999</v>
      </c>
      <c r="H105" s="76">
        <v>2358.5709999999999</v>
      </c>
      <c r="I105" s="73"/>
    </row>
    <row r="106" spans="1:15" ht="33" customHeight="1">
      <c r="A106" s="74" t="s">
        <v>223</v>
      </c>
      <c r="B106" s="75" t="s">
        <v>203</v>
      </c>
      <c r="C106" s="75" t="s">
        <v>266</v>
      </c>
      <c r="D106" s="75" t="s">
        <v>274</v>
      </c>
      <c r="E106" s="75" t="s">
        <v>224</v>
      </c>
      <c r="F106" s="76">
        <f>F107</f>
        <v>335.01600000000002</v>
      </c>
      <c r="G106" s="76">
        <f>G107</f>
        <v>335.01600000000002</v>
      </c>
      <c r="H106" s="76">
        <f>H107</f>
        <v>335.01600000000002</v>
      </c>
    </row>
    <row r="107" spans="1:15" ht="47.45" customHeight="1">
      <c r="A107" s="74" t="s">
        <v>225</v>
      </c>
      <c r="B107" s="75" t="s">
        <v>203</v>
      </c>
      <c r="C107" s="75" t="s">
        <v>266</v>
      </c>
      <c r="D107" s="75" t="s">
        <v>274</v>
      </c>
      <c r="E107" s="75" t="s">
        <v>226</v>
      </c>
      <c r="F107" s="76">
        <v>335.01600000000002</v>
      </c>
      <c r="G107" s="76">
        <v>335.01600000000002</v>
      </c>
      <c r="H107" s="76">
        <v>335.01600000000002</v>
      </c>
    </row>
    <row r="108" spans="1:15" ht="67.5" customHeight="1">
      <c r="A108" s="78" t="s">
        <v>275</v>
      </c>
      <c r="B108" s="79" t="s">
        <v>203</v>
      </c>
      <c r="C108" s="79" t="s">
        <v>266</v>
      </c>
      <c r="D108" s="79" t="s">
        <v>276</v>
      </c>
      <c r="E108" s="79" t="s">
        <v>206</v>
      </c>
      <c r="F108" s="80">
        <f>'2  '!D96</f>
        <v>461.44499999999999</v>
      </c>
      <c r="G108" s="80">
        <f>'2  '!E96</f>
        <v>481.61</v>
      </c>
      <c r="H108" s="80">
        <f>'2  '!F96</f>
        <v>500.87399999999997</v>
      </c>
    </row>
    <row r="109" spans="1:15" ht="42" customHeight="1">
      <c r="A109" s="74" t="s">
        <v>217</v>
      </c>
      <c r="B109" s="75" t="s">
        <v>203</v>
      </c>
      <c r="C109" s="75" t="s">
        <v>266</v>
      </c>
      <c r="D109" s="79" t="s">
        <v>276</v>
      </c>
      <c r="E109" s="75" t="s">
        <v>218</v>
      </c>
      <c r="F109" s="80">
        <f>472.055-277.63711</f>
        <v>194.41789</v>
      </c>
      <c r="G109" s="80">
        <f>472.055-472.055</f>
        <v>0</v>
      </c>
      <c r="H109" s="80">
        <f>472.055-472.055</f>
        <v>0</v>
      </c>
      <c r="I109" s="73"/>
      <c r="J109" s="73"/>
      <c r="K109" s="73"/>
      <c r="L109" s="73"/>
    </row>
    <row r="110" spans="1:15" ht="37.5" customHeight="1">
      <c r="A110" s="74" t="s">
        <v>223</v>
      </c>
      <c r="B110" s="75" t="s">
        <v>203</v>
      </c>
      <c r="C110" s="75" t="s">
        <v>266</v>
      </c>
      <c r="D110" s="75" t="s">
        <v>276</v>
      </c>
      <c r="E110" s="75" t="s">
        <v>224</v>
      </c>
      <c r="F110" s="76">
        <f>F111</f>
        <v>267.02711000000005</v>
      </c>
      <c r="G110" s="76">
        <f>G111</f>
        <v>481.61</v>
      </c>
      <c r="H110" s="76">
        <f>H111</f>
        <v>500.87400000000002</v>
      </c>
    </row>
    <row r="111" spans="1:15" ht="48" customHeight="1">
      <c r="A111" s="74" t="s">
        <v>225</v>
      </c>
      <c r="B111" s="75" t="s">
        <v>203</v>
      </c>
      <c r="C111" s="75" t="s">
        <v>266</v>
      </c>
      <c r="D111" s="75" t="s">
        <v>276</v>
      </c>
      <c r="E111" s="75" t="s">
        <v>226</v>
      </c>
      <c r="F111" s="76">
        <f>256.023+11.00411</f>
        <v>267.02711000000005</v>
      </c>
      <c r="G111" s="76">
        <f>283.387+198.223</f>
        <v>481.61</v>
      </c>
      <c r="H111" s="76">
        <f>311.845+189.029</f>
        <v>500.87400000000002</v>
      </c>
    </row>
    <row r="112" spans="1:15" ht="35.65" hidden="1" customHeight="1">
      <c r="A112" s="74" t="s">
        <v>277</v>
      </c>
      <c r="B112" s="75" t="s">
        <v>203</v>
      </c>
      <c r="C112" s="75" t="s">
        <v>266</v>
      </c>
      <c r="D112" s="75" t="s">
        <v>278</v>
      </c>
      <c r="E112" s="75" t="s">
        <v>206</v>
      </c>
      <c r="F112" s="76">
        <f>F113</f>
        <v>0</v>
      </c>
      <c r="G112" s="76">
        <f>G113</f>
        <v>0</v>
      </c>
      <c r="H112" s="76">
        <f>H113</f>
        <v>0</v>
      </c>
    </row>
    <row r="113" spans="1:15" ht="47.25" hidden="1" customHeight="1">
      <c r="A113" s="74" t="s">
        <v>225</v>
      </c>
      <c r="B113" s="75" t="s">
        <v>203</v>
      </c>
      <c r="C113" s="75" t="s">
        <v>266</v>
      </c>
      <c r="D113" s="75" t="s">
        <v>278</v>
      </c>
      <c r="E113" s="75" t="s">
        <v>226</v>
      </c>
      <c r="F113" s="76"/>
      <c r="G113" s="76"/>
      <c r="H113" s="76"/>
    </row>
    <row r="114" spans="1:15" ht="15.75" hidden="1" customHeight="1">
      <c r="A114" s="100" t="s">
        <v>265</v>
      </c>
      <c r="B114" s="75" t="s">
        <v>203</v>
      </c>
      <c r="C114" s="75" t="s">
        <v>266</v>
      </c>
      <c r="D114" s="101" t="s">
        <v>205</v>
      </c>
      <c r="E114" s="101" t="s">
        <v>206</v>
      </c>
      <c r="F114" s="102">
        <f>F119+F116</f>
        <v>0</v>
      </c>
      <c r="G114" s="102">
        <f>G119+G116</f>
        <v>0</v>
      </c>
      <c r="H114" s="102">
        <f>H119+H116</f>
        <v>0</v>
      </c>
      <c r="O114" s="77"/>
    </row>
    <row r="115" spans="1:15" s="77" customFormat="1" ht="78.75" hidden="1" customHeight="1">
      <c r="A115" s="78" t="s">
        <v>279</v>
      </c>
      <c r="B115" s="75" t="s">
        <v>203</v>
      </c>
      <c r="C115" s="75" t="s">
        <v>266</v>
      </c>
      <c r="D115" s="79" t="s">
        <v>280</v>
      </c>
      <c r="E115" s="79" t="s">
        <v>206</v>
      </c>
      <c r="F115" s="80">
        <f t="shared" ref="F115:H125" si="22">F116</f>
        <v>0</v>
      </c>
      <c r="G115" s="80">
        <f t="shared" si="22"/>
        <v>0</v>
      </c>
      <c r="H115" s="80">
        <f t="shared" si="22"/>
        <v>0</v>
      </c>
      <c r="O115" s="50"/>
    </row>
    <row r="116" spans="1:15" ht="63" hidden="1" customHeight="1">
      <c r="A116" s="74" t="s">
        <v>281</v>
      </c>
      <c r="B116" s="75" t="s">
        <v>203</v>
      </c>
      <c r="C116" s="75" t="s">
        <v>266</v>
      </c>
      <c r="D116" s="75" t="s">
        <v>282</v>
      </c>
      <c r="E116" s="75" t="s">
        <v>283</v>
      </c>
      <c r="F116" s="76">
        <f t="shared" si="22"/>
        <v>0</v>
      </c>
      <c r="G116" s="76">
        <f t="shared" si="22"/>
        <v>0</v>
      </c>
      <c r="H116" s="76">
        <f t="shared" si="22"/>
        <v>0</v>
      </c>
    </row>
    <row r="117" spans="1:15" ht="47.25" hidden="1" customHeight="1">
      <c r="A117" s="74" t="s">
        <v>284</v>
      </c>
      <c r="B117" s="75" t="s">
        <v>203</v>
      </c>
      <c r="C117" s="75" t="s">
        <v>266</v>
      </c>
      <c r="D117" s="75" t="s">
        <v>282</v>
      </c>
      <c r="E117" s="75" t="s">
        <v>283</v>
      </c>
      <c r="F117" s="76">
        <f t="shared" si="22"/>
        <v>0</v>
      </c>
      <c r="G117" s="76">
        <f t="shared" si="22"/>
        <v>0</v>
      </c>
      <c r="H117" s="76">
        <f t="shared" si="22"/>
        <v>0</v>
      </c>
    </row>
    <row r="118" spans="1:15" ht="15.75" hidden="1" customHeight="1">
      <c r="A118" s="74" t="s">
        <v>285</v>
      </c>
      <c r="B118" s="75" t="s">
        <v>203</v>
      </c>
      <c r="C118" s="75" t="s">
        <v>266</v>
      </c>
      <c r="D118" s="75" t="s">
        <v>282</v>
      </c>
      <c r="E118" s="75" t="s">
        <v>286</v>
      </c>
      <c r="F118" s="76"/>
      <c r="G118" s="76"/>
      <c r="H118" s="76"/>
    </row>
    <row r="119" spans="1:15" ht="78.75" hidden="1" customHeight="1">
      <c r="A119" s="103" t="s">
        <v>287</v>
      </c>
      <c r="B119" s="75" t="s">
        <v>203</v>
      </c>
      <c r="C119" s="75" t="s">
        <v>266</v>
      </c>
      <c r="D119" s="75" t="s">
        <v>288</v>
      </c>
      <c r="E119" s="75" t="s">
        <v>206</v>
      </c>
      <c r="F119" s="76">
        <f t="shared" si="22"/>
        <v>0</v>
      </c>
      <c r="G119" s="76">
        <f t="shared" si="22"/>
        <v>0</v>
      </c>
      <c r="H119" s="76">
        <f t="shared" si="22"/>
        <v>0</v>
      </c>
    </row>
    <row r="120" spans="1:15" ht="47.25" hidden="1" customHeight="1">
      <c r="A120" s="74" t="s">
        <v>284</v>
      </c>
      <c r="B120" s="75" t="s">
        <v>203</v>
      </c>
      <c r="C120" s="75" t="s">
        <v>266</v>
      </c>
      <c r="D120" s="75" t="s">
        <v>288</v>
      </c>
      <c r="E120" s="75" t="s">
        <v>283</v>
      </c>
      <c r="F120" s="76">
        <f t="shared" si="22"/>
        <v>0</v>
      </c>
      <c r="G120" s="76">
        <f t="shared" si="22"/>
        <v>0</v>
      </c>
      <c r="H120" s="76">
        <f t="shared" si="22"/>
        <v>0</v>
      </c>
    </row>
    <row r="121" spans="1:15" ht="15.75" hidden="1" customHeight="1">
      <c r="A121" s="74" t="s">
        <v>285</v>
      </c>
      <c r="B121" s="75" t="s">
        <v>203</v>
      </c>
      <c r="C121" s="75" t="s">
        <v>266</v>
      </c>
      <c r="D121" s="75" t="s">
        <v>288</v>
      </c>
      <c r="E121" s="75" t="s">
        <v>286</v>
      </c>
      <c r="F121" s="76"/>
      <c r="G121" s="76"/>
      <c r="H121" s="76"/>
    </row>
    <row r="122" spans="1:15" ht="78.75" hidden="1" customHeight="1">
      <c r="A122" s="78" t="s">
        <v>289</v>
      </c>
      <c r="B122" s="79" t="s">
        <v>203</v>
      </c>
      <c r="C122" s="79" t="s">
        <v>266</v>
      </c>
      <c r="D122" s="79" t="s">
        <v>290</v>
      </c>
      <c r="E122" s="79" t="s">
        <v>206</v>
      </c>
      <c r="F122" s="80">
        <f t="shared" si="22"/>
        <v>0</v>
      </c>
      <c r="G122" s="80">
        <f t="shared" si="22"/>
        <v>0</v>
      </c>
      <c r="H122" s="80">
        <f t="shared" si="22"/>
        <v>0</v>
      </c>
    </row>
    <row r="123" spans="1:15" ht="94.5" hidden="1" customHeight="1">
      <c r="A123" s="74" t="s">
        <v>215</v>
      </c>
      <c r="B123" s="75" t="s">
        <v>203</v>
      </c>
      <c r="C123" s="75" t="s">
        <v>266</v>
      </c>
      <c r="D123" s="75" t="s">
        <v>290</v>
      </c>
      <c r="E123" s="75" t="s">
        <v>216</v>
      </c>
      <c r="F123" s="76">
        <f t="shared" si="22"/>
        <v>0</v>
      </c>
      <c r="G123" s="76">
        <f t="shared" si="22"/>
        <v>0</v>
      </c>
      <c r="H123" s="76">
        <f t="shared" si="22"/>
        <v>0</v>
      </c>
    </row>
    <row r="124" spans="1:15" ht="31.5" hidden="1" customHeight="1">
      <c r="A124" s="74" t="s">
        <v>217</v>
      </c>
      <c r="B124" s="75" t="s">
        <v>203</v>
      </c>
      <c r="C124" s="75" t="s">
        <v>266</v>
      </c>
      <c r="D124" s="75" t="s">
        <v>290</v>
      </c>
      <c r="E124" s="75" t="s">
        <v>218</v>
      </c>
      <c r="F124" s="76"/>
      <c r="G124" s="76"/>
      <c r="H124" s="76"/>
    </row>
    <row r="125" spans="1:15" ht="34.5" customHeight="1">
      <c r="A125" s="74" t="s">
        <v>209</v>
      </c>
      <c r="B125" s="75" t="s">
        <v>203</v>
      </c>
      <c r="C125" s="75" t="s">
        <v>266</v>
      </c>
      <c r="D125" s="75" t="s">
        <v>210</v>
      </c>
      <c r="E125" s="75" t="s">
        <v>206</v>
      </c>
      <c r="F125" s="76">
        <f t="shared" si="22"/>
        <v>11339.325999999999</v>
      </c>
      <c r="G125" s="76">
        <f>G126</f>
        <v>8158.0599999999995</v>
      </c>
      <c r="H125" s="76">
        <f>H126</f>
        <v>8540.9</v>
      </c>
    </row>
    <row r="126" spans="1:15" ht="51" customHeight="1">
      <c r="A126" s="74" t="s">
        <v>211</v>
      </c>
      <c r="B126" s="75" t="s">
        <v>203</v>
      </c>
      <c r="C126" s="75" t="s">
        <v>266</v>
      </c>
      <c r="D126" s="75" t="s">
        <v>212</v>
      </c>
      <c r="E126" s="75" t="s">
        <v>206</v>
      </c>
      <c r="F126" s="76">
        <f>F127+F132+F137+F140+F145+F164+F167+F173+F176</f>
        <v>11339.325999999999</v>
      </c>
      <c r="G126" s="76">
        <f>G127+G132+G137+G140+G145+G164+G167+G170+G173+G176</f>
        <v>8158.0599999999995</v>
      </c>
      <c r="H126" s="76">
        <f>H127+H132+H137+H140+H145+H164+H167+H170+H173+H176</f>
        <v>8540.9</v>
      </c>
      <c r="O126" s="77"/>
    </row>
    <row r="127" spans="1:15" s="77" customFormat="1" ht="49.5" customHeight="1">
      <c r="A127" s="78" t="s">
        <v>291</v>
      </c>
      <c r="B127" s="79" t="s">
        <v>203</v>
      </c>
      <c r="C127" s="79" t="s">
        <v>266</v>
      </c>
      <c r="D127" s="79" t="s">
        <v>228</v>
      </c>
      <c r="E127" s="79" t="s">
        <v>206</v>
      </c>
      <c r="F127" s="80">
        <f>F128+F130</f>
        <v>7603.4699999999993</v>
      </c>
      <c r="G127" s="80">
        <f t="shared" ref="G127:H127" si="23">G128+G130</f>
        <v>7968.0599999999995</v>
      </c>
      <c r="H127" s="80">
        <f t="shared" si="23"/>
        <v>8350.9</v>
      </c>
      <c r="O127" s="50"/>
    </row>
    <row r="128" spans="1:15" ht="96" customHeight="1">
      <c r="A128" s="74" t="s">
        <v>215</v>
      </c>
      <c r="B128" s="75" t="s">
        <v>203</v>
      </c>
      <c r="C128" s="75" t="s">
        <v>266</v>
      </c>
      <c r="D128" s="75" t="s">
        <v>228</v>
      </c>
      <c r="E128" s="75" t="s">
        <v>216</v>
      </c>
      <c r="F128" s="76">
        <f>F129</f>
        <v>7387.82</v>
      </c>
      <c r="G128" s="76">
        <f t="shared" ref="G128:H130" si="24">G129</f>
        <v>7752.41</v>
      </c>
      <c r="H128" s="76">
        <f t="shared" si="24"/>
        <v>8135.25</v>
      </c>
    </row>
    <row r="129" spans="1:15" ht="34.5" customHeight="1">
      <c r="A129" s="74" t="s">
        <v>217</v>
      </c>
      <c r="B129" s="75" t="s">
        <v>203</v>
      </c>
      <c r="C129" s="75" t="s">
        <v>266</v>
      </c>
      <c r="D129" s="75" t="s">
        <v>228</v>
      </c>
      <c r="E129" s="75" t="s">
        <v>218</v>
      </c>
      <c r="F129" s="76">
        <v>7387.82</v>
      </c>
      <c r="G129" s="76">
        <v>7752.41</v>
      </c>
      <c r="H129" s="76">
        <v>8135.25</v>
      </c>
    </row>
    <row r="130" spans="1:15" ht="35.25" customHeight="1">
      <c r="A130" s="74" t="s">
        <v>223</v>
      </c>
      <c r="B130" s="75" t="s">
        <v>203</v>
      </c>
      <c r="C130" s="75" t="s">
        <v>266</v>
      </c>
      <c r="D130" s="75" t="s">
        <v>228</v>
      </c>
      <c r="E130" s="75" t="s">
        <v>224</v>
      </c>
      <c r="F130" s="76">
        <f>F131</f>
        <v>215.65</v>
      </c>
      <c r="G130" s="76">
        <f t="shared" si="24"/>
        <v>215.65</v>
      </c>
      <c r="H130" s="76">
        <f>H131</f>
        <v>215.65</v>
      </c>
    </row>
    <row r="131" spans="1:15" ht="49.5" customHeight="1">
      <c r="A131" s="74" t="s">
        <v>225</v>
      </c>
      <c r="B131" s="75" t="s">
        <v>203</v>
      </c>
      <c r="C131" s="75" t="s">
        <v>266</v>
      </c>
      <c r="D131" s="75" t="s">
        <v>228</v>
      </c>
      <c r="E131" s="75" t="s">
        <v>226</v>
      </c>
      <c r="F131" s="76">
        <v>215.65</v>
      </c>
      <c r="G131" s="76">
        <v>215.65</v>
      </c>
      <c r="H131" s="76">
        <v>215.65</v>
      </c>
      <c r="O131" s="77"/>
    </row>
    <row r="132" spans="1:15" s="77" customFormat="1" ht="15.75" hidden="1" customHeight="1">
      <c r="A132" s="78" t="s">
        <v>292</v>
      </c>
      <c r="B132" s="79" t="s">
        <v>203</v>
      </c>
      <c r="C132" s="79" t="s">
        <v>266</v>
      </c>
      <c r="D132" s="79" t="s">
        <v>293</v>
      </c>
      <c r="E132" s="79" t="s">
        <v>206</v>
      </c>
      <c r="F132" s="80">
        <f t="shared" ref="F132:H133" si="25">F133</f>
        <v>0</v>
      </c>
      <c r="G132" s="80">
        <f t="shared" si="25"/>
        <v>0</v>
      </c>
      <c r="H132" s="80">
        <f t="shared" si="25"/>
        <v>0</v>
      </c>
      <c r="O132" s="50"/>
    </row>
    <row r="133" spans="1:15" ht="15.75" hidden="1" customHeight="1">
      <c r="A133" s="74" t="s">
        <v>229</v>
      </c>
      <c r="B133" s="75" t="s">
        <v>203</v>
      </c>
      <c r="C133" s="75" t="s">
        <v>266</v>
      </c>
      <c r="D133" s="75" t="s">
        <v>293</v>
      </c>
      <c r="E133" s="75" t="s">
        <v>230</v>
      </c>
      <c r="F133" s="76">
        <f t="shared" si="25"/>
        <v>0</v>
      </c>
      <c r="G133" s="76">
        <f t="shared" si="25"/>
        <v>0</v>
      </c>
      <c r="H133" s="76">
        <f t="shared" si="25"/>
        <v>0</v>
      </c>
    </row>
    <row r="134" spans="1:15" ht="15.75" hidden="1" customHeight="1">
      <c r="A134" s="74" t="s">
        <v>292</v>
      </c>
      <c r="B134" s="75" t="s">
        <v>203</v>
      </c>
      <c r="C134" s="75" t="s">
        <v>266</v>
      </c>
      <c r="D134" s="75" t="s">
        <v>293</v>
      </c>
      <c r="E134" s="75" t="s">
        <v>294</v>
      </c>
      <c r="F134" s="76">
        <f>'5'!D274</f>
        <v>0</v>
      </c>
      <c r="G134" s="76">
        <f>'5'!E274</f>
        <v>0</v>
      </c>
      <c r="H134" s="76">
        <f>'5'!F274</f>
        <v>0</v>
      </c>
    </row>
    <row r="135" spans="1:15" ht="32.450000000000003" hidden="1" customHeight="1">
      <c r="A135" s="74" t="s">
        <v>295</v>
      </c>
      <c r="B135" s="75" t="s">
        <v>203</v>
      </c>
      <c r="C135" s="75" t="s">
        <v>266</v>
      </c>
      <c r="D135" s="75" t="s">
        <v>228</v>
      </c>
      <c r="E135" s="75" t="s">
        <v>224</v>
      </c>
      <c r="F135" s="76">
        <f>F136</f>
        <v>0</v>
      </c>
      <c r="G135" s="76">
        <f>G136</f>
        <v>0</v>
      </c>
      <c r="H135" s="76">
        <f>H136</f>
        <v>0</v>
      </c>
    </row>
    <row r="136" spans="1:15" ht="47.25" hidden="1" customHeight="1">
      <c r="A136" s="74" t="s">
        <v>225</v>
      </c>
      <c r="B136" s="75" t="s">
        <v>203</v>
      </c>
      <c r="C136" s="75" t="s">
        <v>266</v>
      </c>
      <c r="D136" s="75" t="s">
        <v>228</v>
      </c>
      <c r="E136" s="75" t="s">
        <v>226</v>
      </c>
      <c r="F136" s="76"/>
      <c r="G136" s="76"/>
      <c r="H136" s="76"/>
      <c r="O136" s="77"/>
    </row>
    <row r="137" spans="1:15" s="77" customFormat="1" ht="63" customHeight="1">
      <c r="A137" s="78" t="s">
        <v>296</v>
      </c>
      <c r="B137" s="79" t="s">
        <v>203</v>
      </c>
      <c r="C137" s="79" t="s">
        <v>266</v>
      </c>
      <c r="D137" s="79" t="s">
        <v>297</v>
      </c>
      <c r="E137" s="79" t="s">
        <v>206</v>
      </c>
      <c r="F137" s="80">
        <f t="shared" ref="F137:H138" si="26">F138</f>
        <v>500</v>
      </c>
      <c r="G137" s="80">
        <f t="shared" si="26"/>
        <v>50</v>
      </c>
      <c r="H137" s="80">
        <f t="shared" si="26"/>
        <v>50</v>
      </c>
      <c r="O137" s="50"/>
    </row>
    <row r="138" spans="1:15" ht="35.25" customHeight="1">
      <c r="A138" s="74" t="s">
        <v>223</v>
      </c>
      <c r="B138" s="75" t="s">
        <v>203</v>
      </c>
      <c r="C138" s="75" t="s">
        <v>266</v>
      </c>
      <c r="D138" s="75" t="s">
        <v>297</v>
      </c>
      <c r="E138" s="75" t="s">
        <v>224</v>
      </c>
      <c r="F138" s="76">
        <f t="shared" si="26"/>
        <v>500</v>
      </c>
      <c r="G138" s="76">
        <f t="shared" si="26"/>
        <v>50</v>
      </c>
      <c r="H138" s="76">
        <f t="shared" si="26"/>
        <v>50</v>
      </c>
    </row>
    <row r="139" spans="1:15" ht="49.5" customHeight="1">
      <c r="A139" s="74" t="s">
        <v>225</v>
      </c>
      <c r="B139" s="75" t="s">
        <v>203</v>
      </c>
      <c r="C139" s="75" t="s">
        <v>266</v>
      </c>
      <c r="D139" s="75" t="s">
        <v>297</v>
      </c>
      <c r="E139" s="75" t="s">
        <v>226</v>
      </c>
      <c r="F139" s="76">
        <f>'5'!D276</f>
        <v>500</v>
      </c>
      <c r="G139" s="76">
        <f>'5'!E276</f>
        <v>50</v>
      </c>
      <c r="H139" s="76">
        <f>'5'!F276</f>
        <v>50</v>
      </c>
    </row>
    <row r="140" spans="1:15" ht="16.5" customHeight="1">
      <c r="A140" s="78" t="s">
        <v>298</v>
      </c>
      <c r="B140" s="79" t="s">
        <v>203</v>
      </c>
      <c r="C140" s="79" t="s">
        <v>266</v>
      </c>
      <c r="D140" s="79" t="s">
        <v>299</v>
      </c>
      <c r="E140" s="79" t="s">
        <v>206</v>
      </c>
      <c r="F140" s="80">
        <f>F141+F143</f>
        <v>2148.04</v>
      </c>
      <c r="G140" s="80">
        <f>G141+G143</f>
        <v>60</v>
      </c>
      <c r="H140" s="80">
        <f>H141+H143</f>
        <v>60</v>
      </c>
    </row>
    <row r="141" spans="1:15" ht="34.5" customHeight="1">
      <c r="A141" s="74" t="s">
        <v>223</v>
      </c>
      <c r="B141" s="75" t="s">
        <v>203</v>
      </c>
      <c r="C141" s="75" t="s">
        <v>266</v>
      </c>
      <c r="D141" s="75" t="s">
        <v>299</v>
      </c>
      <c r="E141" s="75" t="s">
        <v>224</v>
      </c>
      <c r="F141" s="76">
        <f>F142</f>
        <v>2148.04</v>
      </c>
      <c r="G141" s="76">
        <f>G142</f>
        <v>60</v>
      </c>
      <c r="H141" s="76">
        <f>H142</f>
        <v>60</v>
      </c>
    </row>
    <row r="142" spans="1:15" ht="54.75" customHeight="1">
      <c r="A142" s="74" t="s">
        <v>225</v>
      </c>
      <c r="B142" s="75" t="s">
        <v>203</v>
      </c>
      <c r="C142" s="75" t="s">
        <v>266</v>
      </c>
      <c r="D142" s="75" t="s">
        <v>299</v>
      </c>
      <c r="E142" s="75" t="s">
        <v>226</v>
      </c>
      <c r="F142" s="76">
        <f>'5'!D295</f>
        <v>2148.04</v>
      </c>
      <c r="G142" s="76">
        <f>'5'!E295</f>
        <v>60</v>
      </c>
      <c r="H142" s="76">
        <f>'5'!F295</f>
        <v>60</v>
      </c>
    </row>
    <row r="143" spans="1:15" ht="21.75" hidden="1" customHeight="1">
      <c r="A143" s="74" t="s">
        <v>229</v>
      </c>
      <c r="B143" s="75" t="s">
        <v>203</v>
      </c>
      <c r="C143" s="75" t="s">
        <v>266</v>
      </c>
      <c r="D143" s="75" t="s">
        <v>299</v>
      </c>
      <c r="E143" s="75" t="s">
        <v>230</v>
      </c>
      <c r="F143" s="76">
        <f>F144</f>
        <v>0</v>
      </c>
      <c r="G143" s="76">
        <f>G144</f>
        <v>0</v>
      </c>
      <c r="H143" s="76">
        <f>H144</f>
        <v>0</v>
      </c>
    </row>
    <row r="144" spans="1:15" ht="15.75" hidden="1" customHeight="1">
      <c r="A144" s="74" t="s">
        <v>231</v>
      </c>
      <c r="B144" s="75" t="s">
        <v>203</v>
      </c>
      <c r="C144" s="75" t="s">
        <v>266</v>
      </c>
      <c r="D144" s="75" t="s">
        <v>299</v>
      </c>
      <c r="E144" s="75" t="s">
        <v>232</v>
      </c>
      <c r="F144" s="76"/>
      <c r="G144" s="76"/>
      <c r="H144" s="76"/>
      <c r="O144" s="77"/>
    </row>
    <row r="145" spans="1:15" s="77" customFormat="1" ht="78.75" customHeight="1">
      <c r="A145" s="78" t="s">
        <v>300</v>
      </c>
      <c r="B145" s="79" t="s">
        <v>203</v>
      </c>
      <c r="C145" s="79" t="s">
        <v>266</v>
      </c>
      <c r="D145" s="79" t="s">
        <v>301</v>
      </c>
      <c r="E145" s="79" t="s">
        <v>206</v>
      </c>
      <c r="F145" s="80">
        <f>F147+F148</f>
        <v>107.81599999999999</v>
      </c>
      <c r="G145" s="80">
        <f>G147+G148</f>
        <v>0</v>
      </c>
      <c r="H145" s="80">
        <f>H147+H148</f>
        <v>0</v>
      </c>
    </row>
    <row r="146" spans="1:15" s="77" customFormat="1" ht="31.5" customHeight="1">
      <c r="A146" s="74" t="s">
        <v>223</v>
      </c>
      <c r="B146" s="75" t="s">
        <v>203</v>
      </c>
      <c r="C146" s="75" t="s">
        <v>266</v>
      </c>
      <c r="D146" s="79" t="s">
        <v>301</v>
      </c>
      <c r="E146" s="75" t="s">
        <v>224</v>
      </c>
      <c r="F146" s="76">
        <f>F147</f>
        <v>107.81599999999999</v>
      </c>
      <c r="G146" s="76">
        <f>G147</f>
        <v>0</v>
      </c>
      <c r="H146" s="76">
        <f>H147</f>
        <v>0</v>
      </c>
      <c r="O146" s="50"/>
    </row>
    <row r="147" spans="1:15" ht="47.25" customHeight="1">
      <c r="A147" s="74" t="s">
        <v>225</v>
      </c>
      <c r="B147" s="75" t="s">
        <v>203</v>
      </c>
      <c r="C147" s="75" t="s">
        <v>266</v>
      </c>
      <c r="D147" s="79" t="s">
        <v>301</v>
      </c>
      <c r="E147" s="75" t="s">
        <v>226</v>
      </c>
      <c r="F147" s="76">
        <f>'5'!D304</f>
        <v>107.81599999999999</v>
      </c>
      <c r="G147" s="76">
        <v>0</v>
      </c>
      <c r="H147" s="76">
        <v>0</v>
      </c>
    </row>
    <row r="148" spans="1:15" ht="15.75" hidden="1" customHeight="1">
      <c r="A148" s="74" t="s">
        <v>229</v>
      </c>
      <c r="B148" s="75" t="s">
        <v>203</v>
      </c>
      <c r="C148" s="75" t="s">
        <v>266</v>
      </c>
      <c r="D148" s="75" t="s">
        <v>302</v>
      </c>
      <c r="E148" s="75" t="s">
        <v>230</v>
      </c>
      <c r="F148" s="76">
        <f>F149</f>
        <v>0</v>
      </c>
      <c r="G148" s="76">
        <f>G149</f>
        <v>0</v>
      </c>
      <c r="H148" s="76">
        <f>H149</f>
        <v>0</v>
      </c>
    </row>
    <row r="149" spans="1:15" ht="15.75" hidden="1" customHeight="1">
      <c r="A149" s="74" t="s">
        <v>231</v>
      </c>
      <c r="B149" s="75" t="s">
        <v>203</v>
      </c>
      <c r="C149" s="75" t="s">
        <v>266</v>
      </c>
      <c r="D149" s="75" t="s">
        <v>302</v>
      </c>
      <c r="E149" s="75" t="s">
        <v>232</v>
      </c>
      <c r="F149" s="76"/>
      <c r="G149" s="76"/>
      <c r="H149" s="76"/>
      <c r="O149" s="99"/>
    </row>
    <row r="150" spans="1:15" s="99" customFormat="1" ht="81" customHeight="1">
      <c r="A150" s="104" t="s">
        <v>303</v>
      </c>
      <c r="B150" s="105" t="s">
        <v>203</v>
      </c>
      <c r="C150" s="105" t="s">
        <v>266</v>
      </c>
      <c r="D150" s="105" t="s">
        <v>205</v>
      </c>
      <c r="E150" s="105" t="s">
        <v>206</v>
      </c>
      <c r="F150" s="106">
        <f>F151+F158</f>
        <v>1101.2040000000002</v>
      </c>
      <c r="G150" s="106">
        <f>G151+G158</f>
        <v>0</v>
      </c>
      <c r="H150" s="106">
        <f>H151+H158</f>
        <v>0</v>
      </c>
      <c r="O150" s="50"/>
    </row>
    <row r="151" spans="1:15" ht="38.25" customHeight="1">
      <c r="A151" s="74" t="s">
        <v>258</v>
      </c>
      <c r="B151" s="75" t="s">
        <v>203</v>
      </c>
      <c r="C151" s="75" t="s">
        <v>266</v>
      </c>
      <c r="D151" s="75" t="s">
        <v>210</v>
      </c>
      <c r="E151" s="75" t="s">
        <v>206</v>
      </c>
      <c r="F151" s="76">
        <f t="shared" ref="F151:F154" si="27">F152</f>
        <v>1101.2040000000002</v>
      </c>
      <c r="G151" s="76">
        <f t="shared" ref="G151:G158" si="28">G152</f>
        <v>0</v>
      </c>
      <c r="H151" s="76">
        <f t="shared" ref="H151:H158" si="29">H152</f>
        <v>0</v>
      </c>
    </row>
    <row r="152" spans="1:15" ht="45.75" customHeight="1">
      <c r="A152" s="74" t="s">
        <v>211</v>
      </c>
      <c r="B152" s="75" t="s">
        <v>203</v>
      </c>
      <c r="C152" s="75" t="s">
        <v>266</v>
      </c>
      <c r="D152" s="75" t="s">
        <v>212</v>
      </c>
      <c r="E152" s="75" t="s">
        <v>206</v>
      </c>
      <c r="F152" s="76">
        <f t="shared" si="27"/>
        <v>1101.2040000000002</v>
      </c>
      <c r="G152" s="76">
        <f t="shared" si="28"/>
        <v>0</v>
      </c>
      <c r="H152" s="76">
        <f t="shared" si="29"/>
        <v>0</v>
      </c>
    </row>
    <row r="153" spans="1:15" ht="78.75">
      <c r="A153" s="74" t="s">
        <v>304</v>
      </c>
      <c r="B153" s="75" t="s">
        <v>203</v>
      </c>
      <c r="C153" s="75" t="s">
        <v>266</v>
      </c>
      <c r="D153" s="75" t="s">
        <v>305</v>
      </c>
      <c r="E153" s="75" t="s">
        <v>206</v>
      </c>
      <c r="F153" s="76">
        <f>F155+F157</f>
        <v>1101.2040000000002</v>
      </c>
      <c r="G153" s="76">
        <f t="shared" ref="G153:H153" si="30">G155+G157</f>
        <v>0</v>
      </c>
      <c r="H153" s="76">
        <f t="shared" si="30"/>
        <v>0</v>
      </c>
    </row>
    <row r="154" spans="1:15" ht="96" customHeight="1">
      <c r="A154" s="74" t="s">
        <v>215</v>
      </c>
      <c r="B154" s="75" t="s">
        <v>203</v>
      </c>
      <c r="C154" s="75" t="s">
        <v>266</v>
      </c>
      <c r="D154" s="98" t="s">
        <v>305</v>
      </c>
      <c r="E154" s="75" t="s">
        <v>216</v>
      </c>
      <c r="F154" s="76">
        <f t="shared" si="27"/>
        <v>634.60400000000004</v>
      </c>
      <c r="G154" s="76">
        <f t="shared" si="28"/>
        <v>0</v>
      </c>
      <c r="H154" s="76">
        <f t="shared" si="29"/>
        <v>0</v>
      </c>
    </row>
    <row r="155" spans="1:15" ht="32.25" customHeight="1">
      <c r="A155" s="74" t="s">
        <v>217</v>
      </c>
      <c r="B155" s="75" t="s">
        <v>203</v>
      </c>
      <c r="C155" s="75" t="s">
        <v>266</v>
      </c>
      <c r="D155" s="98" t="s">
        <v>305</v>
      </c>
      <c r="E155" s="75" t="s">
        <v>218</v>
      </c>
      <c r="F155" s="76">
        <f>944.95722-310.35322</f>
        <v>634.60400000000004</v>
      </c>
      <c r="G155" s="76">
        <f t="shared" si="28"/>
        <v>0</v>
      </c>
      <c r="H155" s="76">
        <f t="shared" si="29"/>
        <v>0</v>
      </c>
    </row>
    <row r="156" spans="1:15" ht="37.5" customHeight="1">
      <c r="A156" s="74" t="s">
        <v>223</v>
      </c>
      <c r="B156" s="75" t="s">
        <v>203</v>
      </c>
      <c r="C156" s="75" t="s">
        <v>266</v>
      </c>
      <c r="D156" s="98" t="s">
        <v>305</v>
      </c>
      <c r="E156" s="75" t="s">
        <v>224</v>
      </c>
      <c r="F156" s="76">
        <f>F157</f>
        <v>466.6</v>
      </c>
      <c r="G156" s="76">
        <f t="shared" si="28"/>
        <v>0</v>
      </c>
      <c r="H156" s="76">
        <f t="shared" si="29"/>
        <v>0</v>
      </c>
    </row>
    <row r="157" spans="1:15" ht="49.5" customHeight="1">
      <c r="A157" s="74" t="s">
        <v>225</v>
      </c>
      <c r="B157" s="75" t="s">
        <v>203</v>
      </c>
      <c r="C157" s="75" t="s">
        <v>266</v>
      </c>
      <c r="D157" s="98" t="s">
        <v>305</v>
      </c>
      <c r="E157" s="75" t="s">
        <v>226</v>
      </c>
      <c r="F157" s="76">
        <f>323.368+143.232</f>
        <v>466.6</v>
      </c>
      <c r="G157" s="76">
        <v>0</v>
      </c>
      <c r="H157" s="76">
        <v>0</v>
      </c>
    </row>
    <row r="158" spans="1:15" ht="37.5" hidden="1" customHeight="1">
      <c r="A158" s="74" t="s">
        <v>258</v>
      </c>
      <c r="B158" s="75" t="s">
        <v>203</v>
      </c>
      <c r="C158" s="75" t="s">
        <v>266</v>
      </c>
      <c r="D158" s="75" t="s">
        <v>210</v>
      </c>
      <c r="E158" s="75" t="s">
        <v>206</v>
      </c>
      <c r="F158" s="76">
        <f>F159</f>
        <v>0</v>
      </c>
      <c r="G158" s="76">
        <f t="shared" si="28"/>
        <v>0</v>
      </c>
      <c r="H158" s="76">
        <f t="shared" si="29"/>
        <v>0</v>
      </c>
    </row>
    <row r="159" spans="1:15" ht="49.5" hidden="1" customHeight="1">
      <c r="A159" s="74" t="s">
        <v>211</v>
      </c>
      <c r="B159" s="75" t="s">
        <v>203</v>
      </c>
      <c r="C159" s="75" t="s">
        <v>266</v>
      </c>
      <c r="D159" s="75" t="s">
        <v>212</v>
      </c>
      <c r="E159" s="75" t="s">
        <v>206</v>
      </c>
      <c r="F159" s="76">
        <f>F160+F162</f>
        <v>0</v>
      </c>
      <c r="G159" s="76">
        <f>G160+G162</f>
        <v>0</v>
      </c>
      <c r="H159" s="76">
        <f>H160+H162</f>
        <v>0</v>
      </c>
    </row>
    <row r="160" spans="1:15" ht="93" hidden="1" customHeight="1">
      <c r="A160" s="74" t="s">
        <v>215</v>
      </c>
      <c r="B160" s="75" t="s">
        <v>203</v>
      </c>
      <c r="C160" s="75" t="s">
        <v>266</v>
      </c>
      <c r="D160" s="75" t="s">
        <v>306</v>
      </c>
      <c r="E160" s="75" t="s">
        <v>216</v>
      </c>
      <c r="F160" s="76">
        <f>F161</f>
        <v>0</v>
      </c>
      <c r="G160" s="76">
        <f>G161</f>
        <v>0</v>
      </c>
      <c r="H160" s="76">
        <f>H161</f>
        <v>0</v>
      </c>
    </row>
    <row r="161" spans="1:8" ht="41.45" hidden="1" customHeight="1">
      <c r="A161" s="74" t="s">
        <v>217</v>
      </c>
      <c r="B161" s="75" t="s">
        <v>203</v>
      </c>
      <c r="C161" s="75" t="s">
        <v>266</v>
      </c>
      <c r="D161" s="75" t="s">
        <v>306</v>
      </c>
      <c r="E161" s="75" t="s">
        <v>218</v>
      </c>
      <c r="F161" s="76"/>
      <c r="G161" s="76"/>
      <c r="H161" s="76"/>
    </row>
    <row r="162" spans="1:8" ht="49.5" hidden="1" customHeight="1">
      <c r="A162" s="74" t="s">
        <v>223</v>
      </c>
      <c r="B162" s="75" t="s">
        <v>203</v>
      </c>
      <c r="C162" s="75" t="s">
        <v>266</v>
      </c>
      <c r="D162" s="75" t="s">
        <v>306</v>
      </c>
      <c r="E162" s="75" t="s">
        <v>224</v>
      </c>
      <c r="F162" s="76">
        <f>F163</f>
        <v>0</v>
      </c>
      <c r="G162" s="76">
        <f>G163</f>
        <v>0</v>
      </c>
      <c r="H162" s="76">
        <f>H163</f>
        <v>0</v>
      </c>
    </row>
    <row r="163" spans="1:8" ht="49.5" hidden="1" customHeight="1">
      <c r="A163" s="74" t="s">
        <v>225</v>
      </c>
      <c r="B163" s="75" t="s">
        <v>203</v>
      </c>
      <c r="C163" s="75" t="s">
        <v>266</v>
      </c>
      <c r="D163" s="75" t="s">
        <v>306</v>
      </c>
      <c r="E163" s="75" t="s">
        <v>226</v>
      </c>
      <c r="F163" s="76"/>
      <c r="G163" s="76"/>
      <c r="H163" s="76"/>
    </row>
    <row r="164" spans="1:8" ht="46.15" hidden="1" customHeight="1">
      <c r="A164" s="78" t="s">
        <v>307</v>
      </c>
      <c r="B164" s="79" t="s">
        <v>203</v>
      </c>
      <c r="C164" s="79" t="s">
        <v>266</v>
      </c>
      <c r="D164" s="79" t="s">
        <v>308</v>
      </c>
      <c r="E164" s="79" t="s">
        <v>206</v>
      </c>
      <c r="F164" s="80">
        <f t="shared" ref="F164:H168" si="31">F165</f>
        <v>0</v>
      </c>
      <c r="G164" s="80">
        <f t="shared" si="31"/>
        <v>0</v>
      </c>
      <c r="H164" s="80">
        <f t="shared" si="31"/>
        <v>0</v>
      </c>
    </row>
    <row r="165" spans="1:8" ht="35.65" hidden="1" customHeight="1">
      <c r="A165" s="74" t="s">
        <v>223</v>
      </c>
      <c r="B165" s="75" t="s">
        <v>203</v>
      </c>
      <c r="C165" s="75" t="s">
        <v>266</v>
      </c>
      <c r="D165" s="75" t="s">
        <v>308</v>
      </c>
      <c r="E165" s="75" t="s">
        <v>224</v>
      </c>
      <c r="F165" s="76">
        <f t="shared" si="31"/>
        <v>0</v>
      </c>
      <c r="G165" s="76">
        <f t="shared" si="31"/>
        <v>0</v>
      </c>
      <c r="H165" s="76">
        <f t="shared" si="31"/>
        <v>0</v>
      </c>
    </row>
    <row r="166" spans="1:8" ht="48.6" hidden="1" customHeight="1">
      <c r="A166" s="74" t="s">
        <v>225</v>
      </c>
      <c r="B166" s="75" t="s">
        <v>203</v>
      </c>
      <c r="C166" s="75" t="s">
        <v>266</v>
      </c>
      <c r="D166" s="75" t="s">
        <v>308</v>
      </c>
      <c r="E166" s="75" t="s">
        <v>226</v>
      </c>
      <c r="F166" s="76"/>
      <c r="G166" s="76"/>
      <c r="H166" s="76"/>
    </row>
    <row r="167" spans="1:8" ht="34.9" hidden="1" customHeight="1">
      <c r="A167" s="104" t="s">
        <v>309</v>
      </c>
      <c r="B167" s="105" t="s">
        <v>203</v>
      </c>
      <c r="C167" s="105" t="s">
        <v>266</v>
      </c>
      <c r="D167" s="105" t="s">
        <v>310</v>
      </c>
      <c r="E167" s="105" t="s">
        <v>206</v>
      </c>
      <c r="F167" s="106">
        <f t="shared" si="31"/>
        <v>0</v>
      </c>
      <c r="G167" s="106">
        <f t="shared" si="31"/>
        <v>0</v>
      </c>
      <c r="H167" s="106">
        <f t="shared" si="31"/>
        <v>0</v>
      </c>
    </row>
    <row r="168" spans="1:8" ht="36.6" hidden="1" customHeight="1">
      <c r="A168" s="74" t="s">
        <v>223</v>
      </c>
      <c r="B168" s="75" t="s">
        <v>203</v>
      </c>
      <c r="C168" s="75" t="s">
        <v>266</v>
      </c>
      <c r="D168" s="75" t="s">
        <v>310</v>
      </c>
      <c r="E168" s="75" t="s">
        <v>224</v>
      </c>
      <c r="F168" s="76">
        <f t="shared" si="31"/>
        <v>0</v>
      </c>
      <c r="G168" s="76">
        <f t="shared" si="31"/>
        <v>0</v>
      </c>
      <c r="H168" s="76">
        <f t="shared" si="31"/>
        <v>0</v>
      </c>
    </row>
    <row r="169" spans="1:8" ht="49.15" hidden="1" customHeight="1">
      <c r="A169" s="74" t="s">
        <v>225</v>
      </c>
      <c r="B169" s="75" t="s">
        <v>203</v>
      </c>
      <c r="C169" s="75" t="s">
        <v>266</v>
      </c>
      <c r="D169" s="75" t="s">
        <v>310</v>
      </c>
      <c r="E169" s="75" t="s">
        <v>226</v>
      </c>
      <c r="F169" s="76">
        <f>'5'!D309</f>
        <v>0</v>
      </c>
      <c r="G169" s="76">
        <v>0</v>
      </c>
      <c r="H169" s="76">
        <v>0</v>
      </c>
    </row>
    <row r="170" spans="1:8" ht="78.75" hidden="1" customHeight="1">
      <c r="A170" s="78" t="s">
        <v>300</v>
      </c>
      <c r="B170" s="79" t="s">
        <v>203</v>
      </c>
      <c r="C170" s="79" t="s">
        <v>266</v>
      </c>
      <c r="D170" s="79" t="s">
        <v>301</v>
      </c>
      <c r="E170" s="79" t="s">
        <v>206</v>
      </c>
      <c r="F170" s="80">
        <f t="shared" ref="F170:H174" si="32">F171</f>
        <v>0</v>
      </c>
      <c r="G170" s="80">
        <f t="shared" si="32"/>
        <v>0</v>
      </c>
      <c r="H170" s="80">
        <f t="shared" si="32"/>
        <v>0</v>
      </c>
    </row>
    <row r="171" spans="1:8" ht="31.5" hidden="1" customHeight="1">
      <c r="A171" s="74" t="s">
        <v>223</v>
      </c>
      <c r="B171" s="75" t="s">
        <v>203</v>
      </c>
      <c r="C171" s="75" t="s">
        <v>266</v>
      </c>
      <c r="D171" s="75" t="s">
        <v>301</v>
      </c>
      <c r="E171" s="75" t="s">
        <v>224</v>
      </c>
      <c r="F171" s="76">
        <f t="shared" si="32"/>
        <v>0</v>
      </c>
      <c r="G171" s="76">
        <f t="shared" si="32"/>
        <v>0</v>
      </c>
      <c r="H171" s="76">
        <f t="shared" si="32"/>
        <v>0</v>
      </c>
    </row>
    <row r="172" spans="1:8" ht="47.25" hidden="1" customHeight="1">
      <c r="A172" s="74" t="s">
        <v>225</v>
      </c>
      <c r="B172" s="75" t="s">
        <v>203</v>
      </c>
      <c r="C172" s="75" t="s">
        <v>266</v>
      </c>
      <c r="D172" s="75" t="s">
        <v>301</v>
      </c>
      <c r="E172" s="75" t="s">
        <v>226</v>
      </c>
      <c r="F172" s="76"/>
      <c r="G172" s="76"/>
      <c r="H172" s="76"/>
    </row>
    <row r="173" spans="1:8" ht="51.75" customHeight="1">
      <c r="A173" s="78" t="s">
        <v>311</v>
      </c>
      <c r="B173" s="79" t="s">
        <v>203</v>
      </c>
      <c r="C173" s="79" t="s">
        <v>266</v>
      </c>
      <c r="D173" s="79" t="s">
        <v>312</v>
      </c>
      <c r="E173" s="79" t="s">
        <v>206</v>
      </c>
      <c r="F173" s="80">
        <f t="shared" si="32"/>
        <v>580</v>
      </c>
      <c r="G173" s="80">
        <f t="shared" si="32"/>
        <v>80</v>
      </c>
      <c r="H173" s="80">
        <f t="shared" si="32"/>
        <v>80</v>
      </c>
    </row>
    <row r="174" spans="1:8" ht="40.15" customHeight="1">
      <c r="A174" s="74" t="s">
        <v>223</v>
      </c>
      <c r="B174" s="75" t="s">
        <v>203</v>
      </c>
      <c r="C174" s="75" t="s">
        <v>266</v>
      </c>
      <c r="D174" s="75" t="s">
        <v>312</v>
      </c>
      <c r="E174" s="75" t="s">
        <v>224</v>
      </c>
      <c r="F174" s="76">
        <f t="shared" si="32"/>
        <v>580</v>
      </c>
      <c r="G174" s="76">
        <f t="shared" si="32"/>
        <v>80</v>
      </c>
      <c r="H174" s="76">
        <f t="shared" si="32"/>
        <v>80</v>
      </c>
    </row>
    <row r="175" spans="1:8" ht="49.15" customHeight="1">
      <c r="A175" s="74" t="s">
        <v>225</v>
      </c>
      <c r="B175" s="75" t="s">
        <v>203</v>
      </c>
      <c r="C175" s="75" t="s">
        <v>266</v>
      </c>
      <c r="D175" s="75" t="s">
        <v>312</v>
      </c>
      <c r="E175" s="75" t="s">
        <v>226</v>
      </c>
      <c r="F175" s="76">
        <f>'5'!D310</f>
        <v>580</v>
      </c>
      <c r="G175" s="76">
        <f>'5'!E310</f>
        <v>80</v>
      </c>
      <c r="H175" s="76">
        <f>'5'!F310</f>
        <v>80</v>
      </c>
    </row>
    <row r="176" spans="1:8" ht="49.15" customHeight="1">
      <c r="A176" s="78" t="s">
        <v>313</v>
      </c>
      <c r="B176" s="75" t="s">
        <v>203</v>
      </c>
      <c r="C176" s="75" t="s">
        <v>266</v>
      </c>
      <c r="D176" s="75" t="s">
        <v>314</v>
      </c>
      <c r="E176" s="79" t="s">
        <v>206</v>
      </c>
      <c r="F176" s="80">
        <f t="shared" ref="F176:H177" si="33">F177</f>
        <v>400</v>
      </c>
      <c r="G176" s="80">
        <f t="shared" si="33"/>
        <v>0</v>
      </c>
      <c r="H176" s="80">
        <f t="shared" si="33"/>
        <v>0</v>
      </c>
    </row>
    <row r="177" spans="1:15" ht="42" customHeight="1">
      <c r="A177" s="74" t="s">
        <v>223</v>
      </c>
      <c r="B177" s="75" t="s">
        <v>203</v>
      </c>
      <c r="C177" s="75" t="s">
        <v>266</v>
      </c>
      <c r="D177" s="75" t="s">
        <v>314</v>
      </c>
      <c r="E177" s="75" t="s">
        <v>224</v>
      </c>
      <c r="F177" s="76">
        <f t="shared" si="33"/>
        <v>400</v>
      </c>
      <c r="G177" s="76">
        <f t="shared" si="33"/>
        <v>0</v>
      </c>
      <c r="H177" s="76">
        <f t="shared" si="33"/>
        <v>0</v>
      </c>
    </row>
    <row r="178" spans="1:15" ht="49.15" customHeight="1">
      <c r="A178" s="74" t="s">
        <v>225</v>
      </c>
      <c r="B178" s="75" t="s">
        <v>203</v>
      </c>
      <c r="C178" s="75" t="s">
        <v>266</v>
      </c>
      <c r="D178" s="75" t="s">
        <v>314</v>
      </c>
      <c r="E178" s="75" t="s">
        <v>226</v>
      </c>
      <c r="F178" s="76">
        <f>'4'!G127</f>
        <v>400</v>
      </c>
      <c r="G178" s="76">
        <f>'4'!H127</f>
        <v>0</v>
      </c>
      <c r="H178" s="76">
        <f>'4'!I127</f>
        <v>0</v>
      </c>
      <c r="O178" s="77"/>
    </row>
    <row r="179" spans="1:15" s="77" customFormat="1" ht="50.25" hidden="1" customHeight="1">
      <c r="A179" s="78" t="s">
        <v>315</v>
      </c>
      <c r="B179" s="75" t="s">
        <v>203</v>
      </c>
      <c r="C179" s="75" t="s">
        <v>266</v>
      </c>
      <c r="D179" s="75" t="s">
        <v>312</v>
      </c>
      <c r="E179" s="79" t="s">
        <v>206</v>
      </c>
      <c r="F179" s="80">
        <f>F180+F183+F191+F194</f>
        <v>120</v>
      </c>
      <c r="G179" s="80">
        <f>G180+G183+G191+G194</f>
        <v>120</v>
      </c>
      <c r="H179" s="80">
        <f>H180+H183+H191+H194</f>
        <v>140</v>
      </c>
      <c r="O179" s="107"/>
    </row>
    <row r="180" spans="1:15" s="107" customFormat="1" ht="35.25" hidden="1" customHeight="1">
      <c r="A180" s="108" t="s">
        <v>316</v>
      </c>
      <c r="B180" s="75" t="s">
        <v>203</v>
      </c>
      <c r="C180" s="75" t="s">
        <v>266</v>
      </c>
      <c r="D180" s="75" t="s">
        <v>312</v>
      </c>
      <c r="E180" s="75" t="s">
        <v>206</v>
      </c>
      <c r="F180" s="76">
        <f t="shared" ref="F180:H195" si="34">F181</f>
        <v>0</v>
      </c>
      <c r="G180" s="76">
        <f t="shared" si="34"/>
        <v>0</v>
      </c>
      <c r="H180" s="76">
        <f t="shared" si="34"/>
        <v>0</v>
      </c>
      <c r="O180" s="50"/>
    </row>
    <row r="181" spans="1:15" ht="39" hidden="1" customHeight="1">
      <c r="A181" s="74" t="s">
        <v>223</v>
      </c>
      <c r="B181" s="75" t="s">
        <v>203</v>
      </c>
      <c r="C181" s="75" t="s">
        <v>266</v>
      </c>
      <c r="D181" s="75" t="s">
        <v>312</v>
      </c>
      <c r="E181" s="75" t="s">
        <v>224</v>
      </c>
      <c r="F181" s="76">
        <f t="shared" si="34"/>
        <v>0</v>
      </c>
      <c r="G181" s="76">
        <f t="shared" si="34"/>
        <v>0</v>
      </c>
      <c r="H181" s="76">
        <f t="shared" si="34"/>
        <v>0</v>
      </c>
    </row>
    <row r="182" spans="1:15" ht="47.25" hidden="1" customHeight="1">
      <c r="A182" s="74" t="s">
        <v>225</v>
      </c>
      <c r="B182" s="75" t="s">
        <v>203</v>
      </c>
      <c r="C182" s="75" t="s">
        <v>266</v>
      </c>
      <c r="D182" s="75" t="s">
        <v>312</v>
      </c>
      <c r="E182" s="75" t="s">
        <v>226</v>
      </c>
      <c r="F182" s="76"/>
      <c r="G182" s="76"/>
      <c r="H182" s="76"/>
    </row>
    <row r="183" spans="1:15" ht="56.25" hidden="1" customHeight="1">
      <c r="A183" s="108" t="s">
        <v>317</v>
      </c>
      <c r="B183" s="75" t="s">
        <v>203</v>
      </c>
      <c r="C183" s="75" t="s">
        <v>266</v>
      </c>
      <c r="D183" s="75" t="s">
        <v>312</v>
      </c>
      <c r="E183" s="75" t="s">
        <v>206</v>
      </c>
      <c r="F183" s="76">
        <f t="shared" si="34"/>
        <v>0</v>
      </c>
      <c r="G183" s="76">
        <f t="shared" si="34"/>
        <v>0</v>
      </c>
      <c r="H183" s="76">
        <f t="shared" si="34"/>
        <v>0</v>
      </c>
    </row>
    <row r="184" spans="1:15" ht="64.150000000000006" hidden="1" customHeight="1">
      <c r="A184" s="78" t="s">
        <v>318</v>
      </c>
      <c r="B184" s="75" t="s">
        <v>203</v>
      </c>
      <c r="C184" s="75" t="s">
        <v>266</v>
      </c>
      <c r="D184" s="75" t="s">
        <v>312</v>
      </c>
      <c r="E184" s="79" t="s">
        <v>206</v>
      </c>
      <c r="F184" s="80">
        <f>F185+F188</f>
        <v>0</v>
      </c>
      <c r="G184" s="80">
        <f>G185+G188</f>
        <v>0</v>
      </c>
      <c r="H184" s="80">
        <f>H185+H188</f>
        <v>0</v>
      </c>
    </row>
    <row r="185" spans="1:15" ht="90" hidden="1" customHeight="1">
      <c r="A185" s="74" t="s">
        <v>319</v>
      </c>
      <c r="B185" s="75" t="s">
        <v>203</v>
      </c>
      <c r="C185" s="75" t="s">
        <v>266</v>
      </c>
      <c r="D185" s="75" t="s">
        <v>312</v>
      </c>
      <c r="E185" s="75" t="s">
        <v>206</v>
      </c>
      <c r="F185" s="76">
        <f t="shared" si="34"/>
        <v>0</v>
      </c>
      <c r="G185" s="76">
        <f t="shared" si="34"/>
        <v>0</v>
      </c>
      <c r="H185" s="76">
        <f t="shared" si="34"/>
        <v>0</v>
      </c>
    </row>
    <row r="186" spans="1:15" ht="49.5" hidden="1" customHeight="1">
      <c r="A186" s="74" t="s">
        <v>320</v>
      </c>
      <c r="B186" s="75" t="s">
        <v>203</v>
      </c>
      <c r="C186" s="75" t="s">
        <v>266</v>
      </c>
      <c r="D186" s="75" t="s">
        <v>312</v>
      </c>
      <c r="E186" s="75" t="s">
        <v>321</v>
      </c>
      <c r="F186" s="76">
        <f t="shared" si="34"/>
        <v>0</v>
      </c>
      <c r="G186" s="76">
        <f t="shared" si="34"/>
        <v>0</v>
      </c>
      <c r="H186" s="76">
        <f t="shared" si="34"/>
        <v>0</v>
      </c>
    </row>
    <row r="187" spans="1:15" ht="16.899999999999999" hidden="1" customHeight="1">
      <c r="A187" s="74" t="s">
        <v>322</v>
      </c>
      <c r="B187" s="75" t="s">
        <v>203</v>
      </c>
      <c r="C187" s="75" t="s">
        <v>266</v>
      </c>
      <c r="D187" s="75" t="s">
        <v>312</v>
      </c>
      <c r="E187" s="75" t="s">
        <v>323</v>
      </c>
      <c r="F187" s="76"/>
      <c r="G187" s="76"/>
      <c r="H187" s="76"/>
    </row>
    <row r="188" spans="1:15" ht="96.6" hidden="1" customHeight="1">
      <c r="A188" s="74" t="s">
        <v>324</v>
      </c>
      <c r="B188" s="75" t="s">
        <v>203</v>
      </c>
      <c r="C188" s="75" t="s">
        <v>266</v>
      </c>
      <c r="D188" s="75" t="s">
        <v>312</v>
      </c>
      <c r="E188" s="75" t="s">
        <v>206</v>
      </c>
      <c r="F188" s="76">
        <f t="shared" si="34"/>
        <v>0</v>
      </c>
      <c r="G188" s="76">
        <f t="shared" si="34"/>
        <v>0</v>
      </c>
      <c r="H188" s="76">
        <f t="shared" si="34"/>
        <v>0</v>
      </c>
    </row>
    <row r="189" spans="1:15" ht="50.25" hidden="1" customHeight="1">
      <c r="A189" s="74" t="s">
        <v>320</v>
      </c>
      <c r="B189" s="75" t="s">
        <v>203</v>
      </c>
      <c r="C189" s="75" t="s">
        <v>266</v>
      </c>
      <c r="D189" s="75" t="s">
        <v>312</v>
      </c>
      <c r="E189" s="75" t="s">
        <v>321</v>
      </c>
      <c r="F189" s="76">
        <f t="shared" si="34"/>
        <v>0</v>
      </c>
      <c r="G189" s="76">
        <f t="shared" si="34"/>
        <v>0</v>
      </c>
      <c r="H189" s="76">
        <f t="shared" si="34"/>
        <v>0</v>
      </c>
    </row>
    <row r="190" spans="1:15" ht="18" hidden="1" customHeight="1">
      <c r="A190" s="74" t="s">
        <v>322</v>
      </c>
      <c r="B190" s="75" t="s">
        <v>203</v>
      </c>
      <c r="C190" s="75" t="s">
        <v>266</v>
      </c>
      <c r="D190" s="75" t="s">
        <v>312</v>
      </c>
      <c r="E190" s="75" t="s">
        <v>323</v>
      </c>
      <c r="F190" s="76"/>
      <c r="G190" s="76">
        <v>0</v>
      </c>
      <c r="H190" s="76">
        <v>0</v>
      </c>
    </row>
    <row r="191" spans="1:15" ht="92.65" hidden="1" customHeight="1">
      <c r="A191" s="78" t="s">
        <v>325</v>
      </c>
      <c r="B191" s="75" t="s">
        <v>203</v>
      </c>
      <c r="C191" s="75" t="s">
        <v>266</v>
      </c>
      <c r="D191" s="75" t="s">
        <v>312</v>
      </c>
      <c r="E191" s="79" t="s">
        <v>206</v>
      </c>
      <c r="F191" s="80">
        <f t="shared" si="34"/>
        <v>0</v>
      </c>
      <c r="G191" s="80">
        <f t="shared" si="34"/>
        <v>0</v>
      </c>
      <c r="H191" s="80">
        <f t="shared" si="34"/>
        <v>0</v>
      </c>
    </row>
    <row r="192" spans="1:15" ht="36.6" hidden="1" customHeight="1">
      <c r="A192" s="74" t="s">
        <v>223</v>
      </c>
      <c r="B192" s="75" t="s">
        <v>203</v>
      </c>
      <c r="C192" s="75" t="s">
        <v>266</v>
      </c>
      <c r="D192" s="75" t="s">
        <v>312</v>
      </c>
      <c r="E192" s="75" t="s">
        <v>224</v>
      </c>
      <c r="F192" s="76">
        <f t="shared" si="34"/>
        <v>0</v>
      </c>
      <c r="G192" s="76">
        <f t="shared" si="34"/>
        <v>0</v>
      </c>
      <c r="H192" s="76">
        <f t="shared" si="34"/>
        <v>0</v>
      </c>
    </row>
    <row r="193" spans="1:15" ht="50.65" hidden="1" customHeight="1">
      <c r="A193" s="74" t="s">
        <v>225</v>
      </c>
      <c r="B193" s="75" t="s">
        <v>203</v>
      </c>
      <c r="C193" s="75" t="s">
        <v>266</v>
      </c>
      <c r="D193" s="75" t="s">
        <v>312</v>
      </c>
      <c r="E193" s="75" t="s">
        <v>226</v>
      </c>
      <c r="F193" s="76"/>
      <c r="G193" s="76"/>
      <c r="H193" s="76"/>
    </row>
    <row r="194" spans="1:15" ht="36" customHeight="1">
      <c r="A194" s="108" t="s">
        <v>326</v>
      </c>
      <c r="B194" s="75" t="s">
        <v>203</v>
      </c>
      <c r="C194" s="75" t="s">
        <v>266</v>
      </c>
      <c r="D194" s="75" t="s">
        <v>327</v>
      </c>
      <c r="E194" s="75" t="s">
        <v>206</v>
      </c>
      <c r="F194" s="76">
        <f t="shared" si="34"/>
        <v>120</v>
      </c>
      <c r="G194" s="76">
        <f t="shared" si="34"/>
        <v>120</v>
      </c>
      <c r="H194" s="76">
        <f t="shared" si="34"/>
        <v>140</v>
      </c>
    </row>
    <row r="195" spans="1:15" ht="34.5" customHeight="1">
      <c r="A195" s="74" t="s">
        <v>223</v>
      </c>
      <c r="B195" s="75" t="s">
        <v>203</v>
      </c>
      <c r="C195" s="75" t="s">
        <v>266</v>
      </c>
      <c r="D195" s="75" t="s">
        <v>328</v>
      </c>
      <c r="E195" s="75" t="s">
        <v>224</v>
      </c>
      <c r="F195" s="76">
        <f t="shared" si="34"/>
        <v>120</v>
      </c>
      <c r="G195" s="76">
        <f t="shared" si="34"/>
        <v>120</v>
      </c>
      <c r="H195" s="76">
        <f t="shared" si="34"/>
        <v>140</v>
      </c>
    </row>
    <row r="196" spans="1:15" ht="48" customHeight="1">
      <c r="A196" s="74" t="s">
        <v>225</v>
      </c>
      <c r="B196" s="75" t="s">
        <v>203</v>
      </c>
      <c r="C196" s="75" t="s">
        <v>266</v>
      </c>
      <c r="D196" s="75" t="s">
        <v>328</v>
      </c>
      <c r="E196" s="75" t="s">
        <v>226</v>
      </c>
      <c r="F196" s="76">
        <f>'5'!D104</f>
        <v>120</v>
      </c>
      <c r="G196" s="76">
        <f>'5'!E104</f>
        <v>120</v>
      </c>
      <c r="H196" s="76">
        <f>'5'!F104</f>
        <v>140</v>
      </c>
      <c r="O196" s="77"/>
    </row>
    <row r="197" spans="1:15" s="77" customFormat="1" ht="67.5" customHeight="1">
      <c r="A197" s="78" t="s">
        <v>329</v>
      </c>
      <c r="B197" s="79" t="s">
        <v>203</v>
      </c>
      <c r="C197" s="79" t="s">
        <v>266</v>
      </c>
      <c r="D197" s="79" t="s">
        <v>330</v>
      </c>
      <c r="E197" s="79" t="s">
        <v>206</v>
      </c>
      <c r="F197" s="80">
        <f t="shared" ref="F197:H198" si="35">F198</f>
        <v>39</v>
      </c>
      <c r="G197" s="80">
        <f t="shared" si="35"/>
        <v>39</v>
      </c>
      <c r="H197" s="80">
        <f t="shared" si="35"/>
        <v>41</v>
      </c>
      <c r="O197" s="50"/>
    </row>
    <row r="198" spans="1:15" ht="35.25" customHeight="1">
      <c r="A198" s="74" t="s">
        <v>223</v>
      </c>
      <c r="B198" s="75" t="s">
        <v>203</v>
      </c>
      <c r="C198" s="75" t="s">
        <v>266</v>
      </c>
      <c r="D198" s="75" t="s">
        <v>331</v>
      </c>
      <c r="E198" s="75" t="s">
        <v>224</v>
      </c>
      <c r="F198" s="76">
        <f t="shared" si="35"/>
        <v>39</v>
      </c>
      <c r="G198" s="76">
        <f t="shared" si="35"/>
        <v>39</v>
      </c>
      <c r="H198" s="76">
        <f t="shared" si="35"/>
        <v>41</v>
      </c>
    </row>
    <row r="199" spans="1:15" ht="50.25" customHeight="1">
      <c r="A199" s="74" t="s">
        <v>225</v>
      </c>
      <c r="B199" s="75" t="s">
        <v>203</v>
      </c>
      <c r="C199" s="75" t="s">
        <v>266</v>
      </c>
      <c r="D199" s="75" t="s">
        <v>332</v>
      </c>
      <c r="E199" s="75" t="s">
        <v>226</v>
      </c>
      <c r="F199" s="76">
        <f>'5'!D125</f>
        <v>39</v>
      </c>
      <c r="G199" s="76">
        <f>'5'!E125</f>
        <v>39</v>
      </c>
      <c r="H199" s="76">
        <f>'5'!F125</f>
        <v>41</v>
      </c>
      <c r="O199" s="77"/>
    </row>
    <row r="200" spans="1:15" s="77" customFormat="1" ht="47.25" hidden="1" customHeight="1">
      <c r="A200" s="78" t="s">
        <v>333</v>
      </c>
      <c r="B200" s="79" t="s">
        <v>203</v>
      </c>
      <c r="C200" s="79" t="s">
        <v>266</v>
      </c>
      <c r="D200" s="79" t="s">
        <v>334</v>
      </c>
      <c r="E200" s="79" t="s">
        <v>206</v>
      </c>
      <c r="F200" s="80">
        <f t="shared" ref="F200:H204" si="36">F201</f>
        <v>0</v>
      </c>
      <c r="G200" s="80">
        <f t="shared" si="36"/>
        <v>0</v>
      </c>
      <c r="H200" s="80">
        <f t="shared" si="36"/>
        <v>0</v>
      </c>
      <c r="O200" s="50"/>
    </row>
    <row r="201" spans="1:15" ht="31.5" hidden="1" customHeight="1">
      <c r="A201" s="74" t="s">
        <v>223</v>
      </c>
      <c r="B201" s="75" t="s">
        <v>203</v>
      </c>
      <c r="C201" s="75" t="s">
        <v>266</v>
      </c>
      <c r="D201" s="75" t="s">
        <v>335</v>
      </c>
      <c r="E201" s="75" t="s">
        <v>224</v>
      </c>
      <c r="F201" s="76">
        <f t="shared" si="36"/>
        <v>0</v>
      </c>
      <c r="G201" s="76">
        <f t="shared" si="36"/>
        <v>0</v>
      </c>
      <c r="H201" s="76">
        <f t="shared" si="36"/>
        <v>0</v>
      </c>
    </row>
    <row r="202" spans="1:15" ht="47.25" hidden="1" customHeight="1">
      <c r="A202" s="74" t="s">
        <v>225</v>
      </c>
      <c r="B202" s="75" t="s">
        <v>203</v>
      </c>
      <c r="C202" s="75" t="s">
        <v>266</v>
      </c>
      <c r="D202" s="75" t="s">
        <v>335</v>
      </c>
      <c r="E202" s="75" t="s">
        <v>226</v>
      </c>
      <c r="F202" s="76"/>
      <c r="G202" s="76"/>
      <c r="H202" s="76"/>
    </row>
    <row r="203" spans="1:15" ht="66" customHeight="1">
      <c r="A203" s="78" t="s">
        <v>336</v>
      </c>
      <c r="B203" s="79" t="s">
        <v>203</v>
      </c>
      <c r="C203" s="79" t="s">
        <v>266</v>
      </c>
      <c r="D203" s="79" t="s">
        <v>337</v>
      </c>
      <c r="E203" s="79" t="s">
        <v>206</v>
      </c>
      <c r="F203" s="80">
        <f t="shared" si="36"/>
        <v>20</v>
      </c>
      <c r="G203" s="80">
        <f t="shared" si="36"/>
        <v>0</v>
      </c>
      <c r="H203" s="80">
        <f t="shared" si="36"/>
        <v>0</v>
      </c>
    </row>
    <row r="204" spans="1:15" ht="51.75" customHeight="1">
      <c r="A204" s="74" t="s">
        <v>338</v>
      </c>
      <c r="B204" s="75" t="s">
        <v>203</v>
      </c>
      <c r="C204" s="75" t="s">
        <v>266</v>
      </c>
      <c r="D204" s="75" t="s">
        <v>339</v>
      </c>
      <c r="E204" s="75" t="s">
        <v>224</v>
      </c>
      <c r="F204" s="76">
        <f t="shared" si="36"/>
        <v>20</v>
      </c>
      <c r="G204" s="76">
        <f t="shared" si="36"/>
        <v>0</v>
      </c>
      <c r="H204" s="76">
        <f t="shared" si="36"/>
        <v>0</v>
      </c>
    </row>
    <row r="205" spans="1:15" ht="36" customHeight="1">
      <c r="A205" s="74" t="s">
        <v>340</v>
      </c>
      <c r="B205" s="75" t="s">
        <v>203</v>
      </c>
      <c r="C205" s="75" t="s">
        <v>266</v>
      </c>
      <c r="D205" s="75" t="s">
        <v>341</v>
      </c>
      <c r="E205" s="75" t="s">
        <v>226</v>
      </c>
      <c r="F205" s="76">
        <f>'5'!D234</f>
        <v>20</v>
      </c>
      <c r="G205" s="76">
        <f>'5'!E234</f>
        <v>0</v>
      </c>
      <c r="H205" s="76">
        <f>'5'!F234</f>
        <v>0</v>
      </c>
      <c r="O205" s="99"/>
    </row>
    <row r="206" spans="1:15" s="99" customFormat="1" ht="15.75" hidden="1" customHeight="1">
      <c r="A206" s="109" t="s">
        <v>342</v>
      </c>
      <c r="B206" s="110" t="s">
        <v>208</v>
      </c>
      <c r="C206" s="110" t="s">
        <v>204</v>
      </c>
      <c r="D206" s="110" t="s">
        <v>205</v>
      </c>
      <c r="E206" s="110" t="s">
        <v>206</v>
      </c>
      <c r="F206" s="111">
        <f>F207</f>
        <v>0</v>
      </c>
      <c r="G206" s="111">
        <f>G207</f>
        <v>0</v>
      </c>
      <c r="H206" s="111">
        <f>H207</f>
        <v>0</v>
      </c>
      <c r="O206" s="50"/>
    </row>
    <row r="207" spans="1:15" ht="31.5" hidden="1" customHeight="1">
      <c r="A207" s="112" t="s">
        <v>343</v>
      </c>
      <c r="B207" s="84" t="s">
        <v>208</v>
      </c>
      <c r="C207" s="84" t="s">
        <v>204</v>
      </c>
      <c r="D207" s="84" t="s">
        <v>205</v>
      </c>
      <c r="E207" s="84" t="s">
        <v>206</v>
      </c>
      <c r="F207" s="85">
        <f t="shared" ref="F207:H209" si="37">F209</f>
        <v>0</v>
      </c>
      <c r="G207" s="85">
        <f t="shared" si="37"/>
        <v>0</v>
      </c>
      <c r="H207" s="85">
        <f t="shared" si="37"/>
        <v>0</v>
      </c>
    </row>
    <row r="208" spans="1:15" ht="78.75" hidden="1" customHeight="1">
      <c r="A208" s="113" t="s">
        <v>344</v>
      </c>
      <c r="B208" s="84" t="s">
        <v>208</v>
      </c>
      <c r="C208" s="84" t="s">
        <v>204</v>
      </c>
      <c r="D208" s="114" t="s">
        <v>345</v>
      </c>
      <c r="E208" s="114" t="s">
        <v>206</v>
      </c>
      <c r="F208" s="115">
        <f t="shared" si="37"/>
        <v>0</v>
      </c>
      <c r="G208" s="115">
        <f t="shared" si="37"/>
        <v>0</v>
      </c>
      <c r="H208" s="115">
        <f t="shared" si="37"/>
        <v>0</v>
      </c>
    </row>
    <row r="209" spans="1:15" ht="47.25" hidden="1" customHeight="1">
      <c r="A209" s="112" t="s">
        <v>346</v>
      </c>
      <c r="B209" s="84" t="s">
        <v>208</v>
      </c>
      <c r="C209" s="84" t="s">
        <v>204</v>
      </c>
      <c r="D209" s="84" t="s">
        <v>347</v>
      </c>
      <c r="E209" s="84" t="s">
        <v>206</v>
      </c>
      <c r="F209" s="85">
        <f t="shared" si="37"/>
        <v>0</v>
      </c>
      <c r="G209" s="85">
        <f t="shared" si="37"/>
        <v>0</v>
      </c>
      <c r="H209" s="85">
        <f t="shared" si="37"/>
        <v>0</v>
      </c>
    </row>
    <row r="210" spans="1:15" ht="15.75" hidden="1" customHeight="1">
      <c r="A210" s="112" t="s">
        <v>348</v>
      </c>
      <c r="B210" s="84" t="s">
        <v>208</v>
      </c>
      <c r="C210" s="84" t="s">
        <v>204</v>
      </c>
      <c r="D210" s="84" t="s">
        <v>347</v>
      </c>
      <c r="E210" s="84" t="s">
        <v>349</v>
      </c>
      <c r="F210" s="85">
        <f>F211</f>
        <v>0</v>
      </c>
      <c r="G210" s="85">
        <f>G211</f>
        <v>0</v>
      </c>
      <c r="H210" s="85">
        <f>H211</f>
        <v>0</v>
      </c>
    </row>
    <row r="211" spans="1:15" ht="15.75" hidden="1" customHeight="1">
      <c r="A211" s="112" t="s">
        <v>267</v>
      </c>
      <c r="B211" s="84" t="s">
        <v>208</v>
      </c>
      <c r="C211" s="84" t="s">
        <v>204</v>
      </c>
      <c r="D211" s="84" t="s">
        <v>347</v>
      </c>
      <c r="E211" s="84" t="s">
        <v>350</v>
      </c>
      <c r="F211" s="85"/>
      <c r="G211" s="85"/>
      <c r="H211" s="85"/>
      <c r="O211" s="99"/>
    </row>
    <row r="212" spans="1:15" s="99" customFormat="1" ht="47.25" hidden="1" customHeight="1">
      <c r="A212" s="100" t="s">
        <v>351</v>
      </c>
      <c r="B212" s="101" t="s">
        <v>220</v>
      </c>
      <c r="C212" s="101" t="s">
        <v>204</v>
      </c>
      <c r="D212" s="101" t="s">
        <v>205</v>
      </c>
      <c r="E212" s="101" t="s">
        <v>206</v>
      </c>
      <c r="F212" s="102">
        <f t="shared" ref="F212:H218" si="38">F213</f>
        <v>0</v>
      </c>
      <c r="G212" s="102">
        <f t="shared" si="38"/>
        <v>0</v>
      </c>
      <c r="H212" s="102">
        <f t="shared" si="38"/>
        <v>0</v>
      </c>
      <c r="O212" s="50"/>
    </row>
    <row r="213" spans="1:15" ht="63" hidden="1" customHeight="1">
      <c r="A213" s="74" t="s">
        <v>352</v>
      </c>
      <c r="B213" s="75" t="s">
        <v>220</v>
      </c>
      <c r="C213" s="75" t="s">
        <v>353</v>
      </c>
      <c r="D213" s="75" t="s">
        <v>354</v>
      </c>
      <c r="E213" s="75" t="s">
        <v>206</v>
      </c>
      <c r="F213" s="76">
        <f t="shared" si="38"/>
        <v>0</v>
      </c>
      <c r="G213" s="76">
        <f t="shared" si="38"/>
        <v>0</v>
      </c>
      <c r="H213" s="76">
        <f t="shared" si="38"/>
        <v>0</v>
      </c>
    </row>
    <row r="214" spans="1:15" ht="47.25" hidden="1" customHeight="1">
      <c r="A214" s="74" t="s">
        <v>355</v>
      </c>
      <c r="B214" s="75" t="s">
        <v>220</v>
      </c>
      <c r="C214" s="75" t="s">
        <v>353</v>
      </c>
      <c r="D214" s="75" t="s">
        <v>354</v>
      </c>
      <c r="E214" s="75" t="s">
        <v>206</v>
      </c>
      <c r="F214" s="76">
        <f t="shared" si="38"/>
        <v>0</v>
      </c>
      <c r="G214" s="76">
        <f t="shared" si="38"/>
        <v>0</v>
      </c>
      <c r="H214" s="76">
        <f t="shared" si="38"/>
        <v>0</v>
      </c>
    </row>
    <row r="215" spans="1:15" ht="31.5" hidden="1" customHeight="1">
      <c r="A215" s="74" t="s">
        <v>223</v>
      </c>
      <c r="B215" s="75" t="s">
        <v>220</v>
      </c>
      <c r="C215" s="75" t="s">
        <v>353</v>
      </c>
      <c r="D215" s="75" t="s">
        <v>354</v>
      </c>
      <c r="E215" s="75" t="s">
        <v>224</v>
      </c>
      <c r="F215" s="76">
        <f t="shared" si="38"/>
        <v>0</v>
      </c>
      <c r="G215" s="76">
        <f t="shared" si="38"/>
        <v>0</v>
      </c>
      <c r="H215" s="76">
        <f t="shared" si="38"/>
        <v>0</v>
      </c>
    </row>
    <row r="216" spans="1:15" ht="47.25" hidden="1" customHeight="1">
      <c r="A216" s="74" t="s">
        <v>225</v>
      </c>
      <c r="B216" s="75" t="s">
        <v>220</v>
      </c>
      <c r="C216" s="75" t="s">
        <v>353</v>
      </c>
      <c r="D216" s="75" t="s">
        <v>354</v>
      </c>
      <c r="E216" s="75" t="s">
        <v>226</v>
      </c>
      <c r="F216" s="76">
        <v>0</v>
      </c>
      <c r="G216" s="76">
        <v>0</v>
      </c>
      <c r="H216" s="76">
        <v>0</v>
      </c>
    </row>
    <row r="217" spans="1:15" ht="94.5" hidden="1" customHeight="1">
      <c r="A217" s="113" t="s">
        <v>356</v>
      </c>
      <c r="B217" s="114" t="s">
        <v>203</v>
      </c>
      <c r="C217" s="114" t="s">
        <v>266</v>
      </c>
      <c r="D217" s="114" t="s">
        <v>357</v>
      </c>
      <c r="E217" s="114" t="s">
        <v>206</v>
      </c>
      <c r="F217" s="115">
        <f t="shared" si="38"/>
        <v>0</v>
      </c>
      <c r="G217" s="115">
        <f t="shared" si="38"/>
        <v>0</v>
      </c>
      <c r="H217" s="115">
        <f t="shared" si="38"/>
        <v>0</v>
      </c>
    </row>
    <row r="218" spans="1:15" ht="94.5" hidden="1" customHeight="1">
      <c r="A218" s="112" t="s">
        <v>215</v>
      </c>
      <c r="B218" s="84" t="s">
        <v>203</v>
      </c>
      <c r="C218" s="84" t="s">
        <v>266</v>
      </c>
      <c r="D218" s="84" t="s">
        <v>357</v>
      </c>
      <c r="E218" s="84" t="s">
        <v>216</v>
      </c>
      <c r="F218" s="85">
        <f t="shared" si="38"/>
        <v>0</v>
      </c>
      <c r="G218" s="85">
        <f t="shared" si="38"/>
        <v>0</v>
      </c>
      <c r="H218" s="85">
        <f t="shared" si="38"/>
        <v>0</v>
      </c>
    </row>
    <row r="219" spans="1:15" ht="31.5" hidden="1" customHeight="1">
      <c r="A219" s="112" t="s">
        <v>217</v>
      </c>
      <c r="B219" s="84" t="s">
        <v>203</v>
      </c>
      <c r="C219" s="84" t="s">
        <v>266</v>
      </c>
      <c r="D219" s="84" t="s">
        <v>357</v>
      </c>
      <c r="E219" s="84" t="s">
        <v>218</v>
      </c>
      <c r="F219" s="85"/>
      <c r="G219" s="85"/>
      <c r="H219" s="85"/>
    </row>
    <row r="220" spans="1:15" ht="78.75" hidden="1" customHeight="1">
      <c r="A220" s="113" t="s">
        <v>358</v>
      </c>
      <c r="B220" s="84" t="s">
        <v>203</v>
      </c>
      <c r="C220" s="84" t="s">
        <v>266</v>
      </c>
      <c r="D220" s="84" t="s">
        <v>359</v>
      </c>
      <c r="E220" s="84" t="s">
        <v>206</v>
      </c>
      <c r="F220" s="85">
        <f>F221+F223</f>
        <v>0</v>
      </c>
      <c r="G220" s="85">
        <f>G221+G223</f>
        <v>0</v>
      </c>
      <c r="H220" s="85">
        <f>H221+H223</f>
        <v>0</v>
      </c>
    </row>
    <row r="221" spans="1:15" ht="94.5" hidden="1" customHeight="1">
      <c r="A221" s="112" t="s">
        <v>215</v>
      </c>
      <c r="B221" s="84" t="s">
        <v>203</v>
      </c>
      <c r="C221" s="84" t="s">
        <v>266</v>
      </c>
      <c r="D221" s="84" t="s">
        <v>359</v>
      </c>
      <c r="E221" s="84" t="s">
        <v>216</v>
      </c>
      <c r="F221" s="85">
        <f>F222</f>
        <v>0</v>
      </c>
      <c r="G221" s="85">
        <f>G222</f>
        <v>0</v>
      </c>
      <c r="H221" s="85">
        <f>H222</f>
        <v>0</v>
      </c>
    </row>
    <row r="222" spans="1:15" ht="31.5" hidden="1" customHeight="1">
      <c r="A222" s="112" t="s">
        <v>217</v>
      </c>
      <c r="B222" s="84" t="s">
        <v>203</v>
      </c>
      <c r="C222" s="84" t="s">
        <v>266</v>
      </c>
      <c r="D222" s="84" t="s">
        <v>359</v>
      </c>
      <c r="E222" s="84" t="s">
        <v>218</v>
      </c>
      <c r="F222" s="85"/>
      <c r="G222" s="85"/>
      <c r="H222" s="85"/>
    </row>
    <row r="223" spans="1:15" ht="31.5" hidden="1" customHeight="1">
      <c r="A223" s="112" t="s">
        <v>223</v>
      </c>
      <c r="B223" s="84" t="s">
        <v>203</v>
      </c>
      <c r="C223" s="84" t="s">
        <v>266</v>
      </c>
      <c r="D223" s="84" t="s">
        <v>359</v>
      </c>
      <c r="E223" s="84" t="s">
        <v>224</v>
      </c>
      <c r="F223" s="85">
        <f>F224</f>
        <v>0</v>
      </c>
      <c r="G223" s="85">
        <f>G224</f>
        <v>0</v>
      </c>
      <c r="H223" s="85">
        <f>H224</f>
        <v>0</v>
      </c>
    </row>
    <row r="224" spans="1:15" ht="47.25" hidden="1" customHeight="1">
      <c r="A224" s="112" t="s">
        <v>225</v>
      </c>
      <c r="B224" s="84" t="s">
        <v>203</v>
      </c>
      <c r="C224" s="84" t="s">
        <v>266</v>
      </c>
      <c r="D224" s="84" t="s">
        <v>359</v>
      </c>
      <c r="E224" s="84" t="s">
        <v>226</v>
      </c>
      <c r="F224" s="85"/>
      <c r="G224" s="85"/>
      <c r="H224" s="85"/>
    </row>
    <row r="225" spans="1:15" ht="110.25" hidden="1" customHeight="1">
      <c r="A225" s="113" t="s">
        <v>360</v>
      </c>
      <c r="B225" s="84" t="s">
        <v>203</v>
      </c>
      <c r="C225" s="84" t="s">
        <v>266</v>
      </c>
      <c r="D225" s="114" t="s">
        <v>361</v>
      </c>
      <c r="E225" s="114" t="s">
        <v>206</v>
      </c>
      <c r="F225" s="115">
        <f t="shared" ref="F225:H229" si="39">F226</f>
        <v>0</v>
      </c>
      <c r="G225" s="115">
        <f t="shared" si="39"/>
        <v>0</v>
      </c>
      <c r="H225" s="115">
        <f t="shared" si="39"/>
        <v>0</v>
      </c>
    </row>
    <row r="226" spans="1:15" ht="31.5" hidden="1" customHeight="1">
      <c r="A226" s="112" t="s">
        <v>223</v>
      </c>
      <c r="B226" s="84" t="s">
        <v>203</v>
      </c>
      <c r="C226" s="84" t="s">
        <v>266</v>
      </c>
      <c r="D226" s="84" t="s">
        <v>361</v>
      </c>
      <c r="E226" s="84" t="s">
        <v>224</v>
      </c>
      <c r="F226" s="85">
        <f t="shared" si="39"/>
        <v>0</v>
      </c>
      <c r="G226" s="85">
        <f t="shared" si="39"/>
        <v>0</v>
      </c>
      <c r="H226" s="85">
        <f t="shared" si="39"/>
        <v>0</v>
      </c>
    </row>
    <row r="227" spans="1:15" ht="47.25" hidden="1" customHeight="1">
      <c r="A227" s="112" t="s">
        <v>225</v>
      </c>
      <c r="B227" s="84" t="s">
        <v>203</v>
      </c>
      <c r="C227" s="84" t="s">
        <v>266</v>
      </c>
      <c r="D227" s="84" t="s">
        <v>361</v>
      </c>
      <c r="E227" s="84" t="s">
        <v>226</v>
      </c>
      <c r="F227" s="85"/>
      <c r="G227" s="85"/>
      <c r="H227" s="85"/>
    </row>
    <row r="228" spans="1:15" ht="63" customHeight="1">
      <c r="A228" s="78" t="s">
        <v>362</v>
      </c>
      <c r="B228" s="79" t="s">
        <v>203</v>
      </c>
      <c r="C228" s="79" t="s">
        <v>266</v>
      </c>
      <c r="D228" s="79" t="s">
        <v>363</v>
      </c>
      <c r="E228" s="79" t="s">
        <v>206</v>
      </c>
      <c r="F228" s="80">
        <f t="shared" si="39"/>
        <v>20</v>
      </c>
      <c r="G228" s="80">
        <f t="shared" si="39"/>
        <v>0</v>
      </c>
      <c r="H228" s="80">
        <f t="shared" si="39"/>
        <v>0</v>
      </c>
    </row>
    <row r="229" spans="1:15" ht="31.5" customHeight="1">
      <c r="A229" s="74" t="s">
        <v>223</v>
      </c>
      <c r="B229" s="75" t="s">
        <v>203</v>
      </c>
      <c r="C229" s="75" t="s">
        <v>266</v>
      </c>
      <c r="D229" s="75" t="s">
        <v>364</v>
      </c>
      <c r="E229" s="75" t="s">
        <v>224</v>
      </c>
      <c r="F229" s="76">
        <f t="shared" si="39"/>
        <v>20</v>
      </c>
      <c r="G229" s="76">
        <f t="shared" si="39"/>
        <v>0</v>
      </c>
      <c r="H229" s="76">
        <f t="shared" si="39"/>
        <v>0</v>
      </c>
    </row>
    <row r="230" spans="1:15" ht="47.25" customHeight="1">
      <c r="A230" s="74" t="s">
        <v>225</v>
      </c>
      <c r="B230" s="75" t="s">
        <v>203</v>
      </c>
      <c r="C230" s="75" t="s">
        <v>266</v>
      </c>
      <c r="D230" s="75" t="s">
        <v>364</v>
      </c>
      <c r="E230" s="75" t="s">
        <v>226</v>
      </c>
      <c r="F230" s="76">
        <f>'5'!D248</f>
        <v>20</v>
      </c>
      <c r="G230" s="76">
        <f>'5'!E248</f>
        <v>0</v>
      </c>
      <c r="H230" s="76">
        <f>'5'!F248</f>
        <v>0</v>
      </c>
      <c r="O230" s="116"/>
    </row>
    <row r="231" spans="1:15" s="116" customFormat="1" ht="48" customHeight="1">
      <c r="A231" s="117" t="s">
        <v>351</v>
      </c>
      <c r="B231" s="62" t="s">
        <v>220</v>
      </c>
      <c r="C231" s="62" t="s">
        <v>204</v>
      </c>
      <c r="D231" s="62" t="s">
        <v>205</v>
      </c>
      <c r="E231" s="62" t="s">
        <v>206</v>
      </c>
      <c r="F231" s="63">
        <f>F236+F243+F232</f>
        <v>8525.27</v>
      </c>
      <c r="G231" s="63">
        <f t="shared" ref="G231:H231" si="40">G236+G243+G232</f>
        <v>50</v>
      </c>
      <c r="H231" s="63">
        <f t="shared" si="40"/>
        <v>50</v>
      </c>
      <c r="I231" s="118"/>
      <c r="J231" s="118"/>
      <c r="K231" s="118"/>
      <c r="O231" s="50"/>
    </row>
    <row r="232" spans="1:15" s="116" customFormat="1" ht="22.5" customHeight="1">
      <c r="A232" s="119" t="s">
        <v>365</v>
      </c>
      <c r="B232" s="120" t="s">
        <v>220</v>
      </c>
      <c r="C232" s="120" t="s">
        <v>353</v>
      </c>
      <c r="D232" s="120" t="s">
        <v>354</v>
      </c>
      <c r="E232" s="120"/>
      <c r="F232" s="121">
        <f t="shared" ref="F232:F236" si="41">F233</f>
        <v>200</v>
      </c>
      <c r="G232" s="121">
        <f t="shared" ref="G232:H236" si="42">G233</f>
        <v>50</v>
      </c>
      <c r="H232" s="121">
        <f t="shared" si="42"/>
        <v>50</v>
      </c>
      <c r="I232" s="118"/>
      <c r="J232" s="118"/>
      <c r="K232" s="118"/>
      <c r="O232" s="50"/>
    </row>
    <row r="233" spans="1:15" s="116" customFormat="1" ht="36.75" customHeight="1">
      <c r="A233" s="74" t="s">
        <v>366</v>
      </c>
      <c r="B233" s="75" t="s">
        <v>220</v>
      </c>
      <c r="C233" s="75" t="s">
        <v>353</v>
      </c>
      <c r="D233" s="71" t="s">
        <v>354</v>
      </c>
      <c r="E233" s="75" t="s">
        <v>206</v>
      </c>
      <c r="F233" s="76">
        <f t="shared" si="41"/>
        <v>200</v>
      </c>
      <c r="G233" s="76">
        <f t="shared" si="42"/>
        <v>50</v>
      </c>
      <c r="H233" s="76">
        <f t="shared" si="42"/>
        <v>50</v>
      </c>
      <c r="I233" s="118"/>
      <c r="J233" s="118"/>
      <c r="K233" s="118"/>
      <c r="O233" s="50"/>
    </row>
    <row r="234" spans="1:15" s="116" customFormat="1" ht="34.5" customHeight="1">
      <c r="A234" s="74" t="s">
        <v>223</v>
      </c>
      <c r="B234" s="75" t="s">
        <v>220</v>
      </c>
      <c r="C234" s="75" t="s">
        <v>353</v>
      </c>
      <c r="D234" s="71" t="s">
        <v>354</v>
      </c>
      <c r="E234" s="75" t="s">
        <v>224</v>
      </c>
      <c r="F234" s="76">
        <f t="shared" si="41"/>
        <v>200</v>
      </c>
      <c r="G234" s="76">
        <f t="shared" si="42"/>
        <v>50</v>
      </c>
      <c r="H234" s="76">
        <f t="shared" si="42"/>
        <v>50</v>
      </c>
      <c r="I234" s="118"/>
      <c r="J234" s="118"/>
      <c r="K234" s="118"/>
      <c r="O234" s="50"/>
    </row>
    <row r="235" spans="1:15" s="116" customFormat="1" ht="51.75" customHeight="1">
      <c r="A235" s="74" t="s">
        <v>225</v>
      </c>
      <c r="B235" s="75" t="s">
        <v>220</v>
      </c>
      <c r="C235" s="75" t="s">
        <v>353</v>
      </c>
      <c r="D235" s="71" t="s">
        <v>354</v>
      </c>
      <c r="E235" s="75" t="s">
        <v>226</v>
      </c>
      <c r="F235" s="76">
        <v>200</v>
      </c>
      <c r="G235" s="76">
        <v>50</v>
      </c>
      <c r="H235" s="76">
        <v>50</v>
      </c>
      <c r="I235" s="118"/>
      <c r="J235" s="118"/>
      <c r="K235" s="118"/>
      <c r="O235" s="50"/>
    </row>
    <row r="236" spans="1:15" ht="65.25" customHeight="1">
      <c r="A236" s="119" t="s">
        <v>352</v>
      </c>
      <c r="B236" s="120" t="s">
        <v>220</v>
      </c>
      <c r="C236" s="120" t="s">
        <v>367</v>
      </c>
      <c r="D236" s="120" t="s">
        <v>368</v>
      </c>
      <c r="E236" s="120" t="s">
        <v>206</v>
      </c>
      <c r="F236" s="121">
        <f t="shared" si="41"/>
        <v>8314.35</v>
      </c>
      <c r="G236" s="121">
        <f t="shared" si="42"/>
        <v>0</v>
      </c>
      <c r="H236" s="121">
        <f>H237</f>
        <v>0</v>
      </c>
    </row>
    <row r="237" spans="1:15" ht="48" customHeight="1">
      <c r="A237" s="70" t="s">
        <v>369</v>
      </c>
      <c r="B237" s="71" t="s">
        <v>220</v>
      </c>
      <c r="C237" s="71" t="s">
        <v>367</v>
      </c>
      <c r="D237" s="71" t="s">
        <v>368</v>
      </c>
      <c r="E237" s="71" t="s">
        <v>206</v>
      </c>
      <c r="F237" s="72">
        <f>F239</f>
        <v>8314.35</v>
      </c>
      <c r="G237" s="72">
        <f>G239</f>
        <v>0</v>
      </c>
      <c r="H237" s="72">
        <f>H239</f>
        <v>0</v>
      </c>
    </row>
    <row r="238" spans="1:15" ht="33.75" customHeight="1">
      <c r="A238" s="74" t="s">
        <v>223</v>
      </c>
      <c r="B238" s="71" t="s">
        <v>220</v>
      </c>
      <c r="C238" s="71" t="s">
        <v>367</v>
      </c>
      <c r="D238" s="71" t="s">
        <v>368</v>
      </c>
      <c r="E238" s="71" t="s">
        <v>224</v>
      </c>
      <c r="F238" s="72">
        <f>F239</f>
        <v>8314.35</v>
      </c>
      <c r="G238" s="72">
        <f>G239</f>
        <v>0</v>
      </c>
      <c r="H238" s="72">
        <f>H239</f>
        <v>0</v>
      </c>
    </row>
    <row r="239" spans="1:15" ht="53.25" customHeight="1">
      <c r="A239" s="74" t="s">
        <v>370</v>
      </c>
      <c r="B239" s="75" t="s">
        <v>220</v>
      </c>
      <c r="C239" s="75" t="s">
        <v>367</v>
      </c>
      <c r="D239" s="75" t="s">
        <v>368</v>
      </c>
      <c r="E239" s="75" t="s">
        <v>371</v>
      </c>
      <c r="F239" s="76">
        <v>8314.35</v>
      </c>
      <c r="G239" s="76">
        <v>0</v>
      </c>
      <c r="H239" s="76">
        <v>0</v>
      </c>
    </row>
    <row r="240" spans="1:15" ht="126" hidden="1" customHeight="1">
      <c r="A240" s="109" t="s">
        <v>372</v>
      </c>
      <c r="B240" s="71" t="s">
        <v>220</v>
      </c>
      <c r="C240" s="71" t="s">
        <v>353</v>
      </c>
      <c r="D240" s="71" t="s">
        <v>354</v>
      </c>
      <c r="E240" s="110" t="s">
        <v>206</v>
      </c>
      <c r="F240" s="122">
        <f t="shared" ref="F240:H241" si="43">F241</f>
        <v>0</v>
      </c>
      <c r="G240" s="122">
        <f t="shared" si="43"/>
        <v>0</v>
      </c>
      <c r="H240" s="122">
        <f t="shared" si="43"/>
        <v>0</v>
      </c>
    </row>
    <row r="241" spans="1:15" ht="31.5" hidden="1" customHeight="1">
      <c r="A241" s="112" t="s">
        <v>223</v>
      </c>
      <c r="B241" s="71" t="s">
        <v>220</v>
      </c>
      <c r="C241" s="71" t="s">
        <v>353</v>
      </c>
      <c r="D241" s="71" t="s">
        <v>354</v>
      </c>
      <c r="E241" s="84" t="s">
        <v>224</v>
      </c>
      <c r="F241" s="123">
        <f t="shared" si="43"/>
        <v>0</v>
      </c>
      <c r="G241" s="123">
        <f t="shared" si="43"/>
        <v>0</v>
      </c>
      <c r="H241" s="123">
        <f t="shared" si="43"/>
        <v>0</v>
      </c>
    </row>
    <row r="242" spans="1:15" ht="47.25" hidden="1" customHeight="1">
      <c r="A242" s="112" t="s">
        <v>225</v>
      </c>
      <c r="B242" s="71" t="s">
        <v>220</v>
      </c>
      <c r="C242" s="71" t="s">
        <v>353</v>
      </c>
      <c r="D242" s="71" t="s">
        <v>354</v>
      </c>
      <c r="E242" s="84" t="s">
        <v>226</v>
      </c>
      <c r="F242" s="123">
        <f>'5'!D301</f>
        <v>0</v>
      </c>
      <c r="G242" s="123">
        <v>0</v>
      </c>
      <c r="H242" s="85">
        <v>0</v>
      </c>
      <c r="O242" s="116"/>
    </row>
    <row r="243" spans="1:15" ht="52.5" customHeight="1">
      <c r="A243" s="119" t="s">
        <v>373</v>
      </c>
      <c r="B243" s="120" t="s">
        <v>220</v>
      </c>
      <c r="C243" s="120" t="s">
        <v>374</v>
      </c>
      <c r="D243" s="120" t="s">
        <v>375</v>
      </c>
      <c r="E243" s="120" t="s">
        <v>206</v>
      </c>
      <c r="F243" s="124">
        <f t="shared" ref="F243:F245" si="44">F244</f>
        <v>10.92</v>
      </c>
      <c r="G243" s="124">
        <f t="shared" ref="G243:H245" si="45">G244</f>
        <v>0</v>
      </c>
      <c r="H243" s="124">
        <f t="shared" si="45"/>
        <v>0</v>
      </c>
      <c r="O243" s="116"/>
    </row>
    <row r="244" spans="1:15" ht="81" customHeight="1">
      <c r="A244" s="74" t="s">
        <v>376</v>
      </c>
      <c r="B244" s="71" t="s">
        <v>220</v>
      </c>
      <c r="C244" s="71" t="s">
        <v>374</v>
      </c>
      <c r="D244" s="71" t="s">
        <v>375</v>
      </c>
      <c r="E244" s="75" t="s">
        <v>206</v>
      </c>
      <c r="F244" s="125">
        <f t="shared" si="44"/>
        <v>10.92</v>
      </c>
      <c r="G244" s="125">
        <f t="shared" si="45"/>
        <v>0</v>
      </c>
      <c r="H244" s="125">
        <f t="shared" si="45"/>
        <v>0</v>
      </c>
      <c r="O244" s="116"/>
    </row>
    <row r="245" spans="1:15" ht="47.25" customHeight="1">
      <c r="A245" s="74" t="s">
        <v>223</v>
      </c>
      <c r="B245" s="71" t="s">
        <v>220</v>
      </c>
      <c r="C245" s="71" t="s">
        <v>374</v>
      </c>
      <c r="D245" s="71" t="s">
        <v>375</v>
      </c>
      <c r="E245" s="75" t="s">
        <v>224</v>
      </c>
      <c r="F245" s="125">
        <f t="shared" si="44"/>
        <v>10.92</v>
      </c>
      <c r="G245" s="125">
        <f t="shared" si="45"/>
        <v>0</v>
      </c>
      <c r="H245" s="125">
        <f t="shared" si="45"/>
        <v>0</v>
      </c>
      <c r="O245" s="116"/>
    </row>
    <row r="246" spans="1:15" ht="47.25" customHeight="1">
      <c r="A246" s="74" t="s">
        <v>225</v>
      </c>
      <c r="B246" s="71" t="s">
        <v>220</v>
      </c>
      <c r="C246" s="71" t="s">
        <v>374</v>
      </c>
      <c r="D246" s="71" t="s">
        <v>375</v>
      </c>
      <c r="E246" s="75" t="s">
        <v>226</v>
      </c>
      <c r="F246" s="125">
        <f>'5'!D305</f>
        <v>10.92</v>
      </c>
      <c r="G246" s="125">
        <f>'5'!E305</f>
        <v>0</v>
      </c>
      <c r="H246" s="125">
        <f>'5'!F305</f>
        <v>0</v>
      </c>
      <c r="O246" s="116"/>
    </row>
    <row r="247" spans="1:15" s="116" customFormat="1" ht="16.5" customHeight="1">
      <c r="A247" s="117" t="s">
        <v>377</v>
      </c>
      <c r="B247" s="62" t="s">
        <v>234</v>
      </c>
      <c r="C247" s="62" t="s">
        <v>204</v>
      </c>
      <c r="D247" s="62" t="s">
        <v>205</v>
      </c>
      <c r="E247" s="62" t="s">
        <v>206</v>
      </c>
      <c r="F247" s="63">
        <f>F248+F262+F283+F308+F318</f>
        <v>52231.350790000004</v>
      </c>
      <c r="G247" s="63">
        <f t="shared" ref="G247:H247" si="46">G248+G262+G283+G308</f>
        <v>26416.098269999999</v>
      </c>
      <c r="H247" s="63">
        <f t="shared" si="46"/>
        <v>34909.098270000002</v>
      </c>
      <c r="I247" s="118"/>
      <c r="J247" s="118"/>
      <c r="K247" s="118"/>
      <c r="O247" s="126"/>
    </row>
    <row r="248" spans="1:15" s="126" customFormat="1" ht="16.5" customHeight="1">
      <c r="A248" s="66" t="s">
        <v>378</v>
      </c>
      <c r="B248" s="67" t="s">
        <v>234</v>
      </c>
      <c r="C248" s="67" t="s">
        <v>236</v>
      </c>
      <c r="D248" s="67" t="s">
        <v>205</v>
      </c>
      <c r="E248" s="67" t="s">
        <v>206</v>
      </c>
      <c r="F248" s="68">
        <f>F249+F256+F261</f>
        <v>7489.5474400000012</v>
      </c>
      <c r="G248" s="68">
        <f t="shared" ref="G248:H248" si="47">G249+G256+G261</f>
        <v>1485.3911900000001</v>
      </c>
      <c r="H248" s="68">
        <f t="shared" si="47"/>
        <v>1485.3911900000001</v>
      </c>
      <c r="O248" s="50"/>
    </row>
    <row r="249" spans="1:15" ht="113.25" customHeight="1">
      <c r="A249" s="78" t="s">
        <v>379</v>
      </c>
      <c r="B249" s="79" t="s">
        <v>234</v>
      </c>
      <c r="C249" s="79" t="s">
        <v>236</v>
      </c>
      <c r="D249" s="79" t="s">
        <v>380</v>
      </c>
      <c r="E249" s="79" t="s">
        <v>206</v>
      </c>
      <c r="F249" s="80">
        <f>F250</f>
        <v>1485.3911900000001</v>
      </c>
      <c r="G249" s="80">
        <f t="shared" ref="F249:H250" si="48">G250</f>
        <v>1485.3911900000001</v>
      </c>
      <c r="H249" s="80">
        <f t="shared" si="48"/>
        <v>1485.3911900000001</v>
      </c>
    </row>
    <row r="250" spans="1:15" ht="35.25" customHeight="1">
      <c r="A250" s="74" t="s">
        <v>223</v>
      </c>
      <c r="B250" s="75" t="s">
        <v>234</v>
      </c>
      <c r="C250" s="75" t="s">
        <v>236</v>
      </c>
      <c r="D250" s="75" t="s">
        <v>380</v>
      </c>
      <c r="E250" s="75" t="s">
        <v>224</v>
      </c>
      <c r="F250" s="76">
        <f t="shared" si="48"/>
        <v>1485.3911900000001</v>
      </c>
      <c r="G250" s="76">
        <f t="shared" si="48"/>
        <v>1485.3911900000001</v>
      </c>
      <c r="H250" s="76">
        <f t="shared" si="48"/>
        <v>1485.3911900000001</v>
      </c>
    </row>
    <row r="251" spans="1:15" ht="48" customHeight="1">
      <c r="A251" s="74" t="s">
        <v>225</v>
      </c>
      <c r="B251" s="75" t="s">
        <v>234</v>
      </c>
      <c r="C251" s="75" t="s">
        <v>236</v>
      </c>
      <c r="D251" s="75" t="s">
        <v>380</v>
      </c>
      <c r="E251" s="75" t="s">
        <v>226</v>
      </c>
      <c r="F251" s="76">
        <f>'5'!D321</f>
        <v>1485.3911900000001</v>
      </c>
      <c r="G251" s="76">
        <f>'5'!E321</f>
        <v>1485.3911900000001</v>
      </c>
      <c r="H251" s="76">
        <f>'5'!F321</f>
        <v>1485.3911900000001</v>
      </c>
    </row>
    <row r="252" spans="1:15" ht="78.75" hidden="1" customHeight="1">
      <c r="A252" s="78" t="s">
        <v>381</v>
      </c>
      <c r="B252" s="79" t="s">
        <v>234</v>
      </c>
      <c r="C252" s="79" t="s">
        <v>236</v>
      </c>
      <c r="D252" s="79" t="s">
        <v>382</v>
      </c>
      <c r="E252" s="79" t="s">
        <v>206</v>
      </c>
      <c r="F252" s="80">
        <f t="shared" ref="F252:H257" si="49">F253</f>
        <v>0</v>
      </c>
      <c r="G252" s="80">
        <f t="shared" si="49"/>
        <v>0</v>
      </c>
      <c r="H252" s="80">
        <f t="shared" si="49"/>
        <v>0</v>
      </c>
    </row>
    <row r="253" spans="1:15" ht="31.5" hidden="1" customHeight="1">
      <c r="A253" s="74" t="s">
        <v>223</v>
      </c>
      <c r="B253" s="75" t="s">
        <v>234</v>
      </c>
      <c r="C253" s="75" t="s">
        <v>236</v>
      </c>
      <c r="D253" s="75" t="s">
        <v>382</v>
      </c>
      <c r="E253" s="75" t="s">
        <v>224</v>
      </c>
      <c r="F253" s="76">
        <f t="shared" si="49"/>
        <v>0</v>
      </c>
      <c r="G253" s="76">
        <f t="shared" si="49"/>
        <v>0</v>
      </c>
      <c r="H253" s="76">
        <f t="shared" si="49"/>
        <v>0</v>
      </c>
    </row>
    <row r="254" spans="1:15" ht="47.25" hidden="1" customHeight="1">
      <c r="A254" s="74" t="s">
        <v>225</v>
      </c>
      <c r="B254" s="75" t="s">
        <v>234</v>
      </c>
      <c r="C254" s="75" t="s">
        <v>236</v>
      </c>
      <c r="D254" s="75" t="s">
        <v>382</v>
      </c>
      <c r="E254" s="75" t="s">
        <v>226</v>
      </c>
      <c r="F254" s="76"/>
      <c r="G254" s="76"/>
      <c r="H254" s="76"/>
    </row>
    <row r="255" spans="1:15" ht="97.5" customHeight="1">
      <c r="A255" s="104" t="s">
        <v>383</v>
      </c>
      <c r="B255" s="105" t="s">
        <v>234</v>
      </c>
      <c r="C255" s="105" t="s">
        <v>236</v>
      </c>
      <c r="D255" s="105" t="s">
        <v>384</v>
      </c>
      <c r="E255" s="105" t="s">
        <v>206</v>
      </c>
      <c r="F255" s="106">
        <f t="shared" si="49"/>
        <v>6004.1562500000009</v>
      </c>
      <c r="G255" s="106">
        <f t="shared" ref="G255:H257" si="50">G256</f>
        <v>0</v>
      </c>
      <c r="H255" s="106">
        <f t="shared" si="50"/>
        <v>0</v>
      </c>
    </row>
    <row r="256" spans="1:15" ht="66" customHeight="1">
      <c r="A256" s="78" t="s">
        <v>129</v>
      </c>
      <c r="B256" s="75" t="s">
        <v>234</v>
      </c>
      <c r="C256" s="75" t="s">
        <v>236</v>
      </c>
      <c r="D256" s="75" t="s">
        <v>385</v>
      </c>
      <c r="E256" s="79" t="s">
        <v>206</v>
      </c>
      <c r="F256" s="76">
        <f t="shared" si="49"/>
        <v>6004.1562500000009</v>
      </c>
      <c r="G256" s="76">
        <f t="shared" si="50"/>
        <v>0</v>
      </c>
      <c r="H256" s="76">
        <f>H257</f>
        <v>0</v>
      </c>
    </row>
    <row r="257" spans="1:15" ht="34.5" customHeight="1">
      <c r="A257" s="74" t="s">
        <v>223</v>
      </c>
      <c r="B257" s="75" t="s">
        <v>234</v>
      </c>
      <c r="C257" s="75" t="s">
        <v>236</v>
      </c>
      <c r="D257" s="75" t="s">
        <v>385</v>
      </c>
      <c r="E257" s="79" t="s">
        <v>224</v>
      </c>
      <c r="F257" s="76">
        <f t="shared" si="49"/>
        <v>6004.1562500000009</v>
      </c>
      <c r="G257" s="76">
        <f t="shared" si="50"/>
        <v>0</v>
      </c>
      <c r="H257" s="76">
        <f t="shared" si="50"/>
        <v>0</v>
      </c>
    </row>
    <row r="258" spans="1:15" ht="56.25" customHeight="1">
      <c r="A258" s="74" t="s">
        <v>225</v>
      </c>
      <c r="B258" s="75" t="s">
        <v>234</v>
      </c>
      <c r="C258" s="75" t="s">
        <v>236</v>
      </c>
      <c r="D258" s="75" t="s">
        <v>385</v>
      </c>
      <c r="E258" s="79" t="s">
        <v>226</v>
      </c>
      <c r="F258" s="76">
        <f>'5'!D264</f>
        <v>6004.1562500000009</v>
      </c>
      <c r="G258" s="76">
        <f>'5'!E264</f>
        <v>0</v>
      </c>
      <c r="H258" s="76">
        <f>'5'!F264</f>
        <v>0</v>
      </c>
    </row>
    <row r="259" spans="1:15" ht="36.75" hidden="1" customHeight="1">
      <c r="A259" s="74" t="s">
        <v>386</v>
      </c>
      <c r="B259" s="75" t="s">
        <v>234</v>
      </c>
      <c r="C259" s="75" t="s">
        <v>236</v>
      </c>
      <c r="D259" s="75" t="s">
        <v>387</v>
      </c>
      <c r="E259" s="79" t="s">
        <v>206</v>
      </c>
      <c r="F259" s="76">
        <f>F260</f>
        <v>0</v>
      </c>
      <c r="G259" s="76">
        <f>G260</f>
        <v>0</v>
      </c>
      <c r="H259" s="76">
        <f t="shared" ref="H259:H260" si="51">H260</f>
        <v>0</v>
      </c>
    </row>
    <row r="260" spans="1:15" ht="36.75" hidden="1" customHeight="1">
      <c r="A260" s="74" t="s">
        <v>223</v>
      </c>
      <c r="B260" s="75" t="s">
        <v>234</v>
      </c>
      <c r="C260" s="75" t="s">
        <v>236</v>
      </c>
      <c r="D260" s="75" t="s">
        <v>387</v>
      </c>
      <c r="E260" s="79" t="s">
        <v>224</v>
      </c>
      <c r="F260" s="76">
        <v>0</v>
      </c>
      <c r="G260" s="76">
        <v>0</v>
      </c>
      <c r="H260" s="76">
        <f t="shared" si="51"/>
        <v>0</v>
      </c>
    </row>
    <row r="261" spans="1:15" ht="56.25" hidden="1" customHeight="1">
      <c r="A261" s="74" t="s">
        <v>225</v>
      </c>
      <c r="B261" s="75" t="s">
        <v>234</v>
      </c>
      <c r="C261" s="75" t="s">
        <v>236</v>
      </c>
      <c r="D261" s="75" t="s">
        <v>387</v>
      </c>
      <c r="E261" s="79" t="s">
        <v>226</v>
      </c>
      <c r="F261" s="76">
        <f>F260</f>
        <v>0</v>
      </c>
      <c r="G261" s="76">
        <f>G260</f>
        <v>0</v>
      </c>
      <c r="H261" s="76">
        <f>'5'!F328</f>
        <v>0</v>
      </c>
      <c r="O261" s="77"/>
    </row>
    <row r="262" spans="1:15" s="77" customFormat="1" ht="17.25" customHeight="1">
      <c r="A262" s="96" t="s">
        <v>388</v>
      </c>
      <c r="B262" s="67" t="s">
        <v>234</v>
      </c>
      <c r="C262" s="67" t="s">
        <v>389</v>
      </c>
      <c r="D262" s="67" t="s">
        <v>205</v>
      </c>
      <c r="E262" s="67" t="s">
        <v>206</v>
      </c>
      <c r="F262" s="68">
        <f>F268+F271+F274</f>
        <v>10508.46831</v>
      </c>
      <c r="G262" s="68">
        <f t="shared" ref="G262:H262" si="52">G268+G271+G274</f>
        <v>3.3870800000000001</v>
      </c>
      <c r="H262" s="68">
        <f t="shared" si="52"/>
        <v>3.3870800000000001</v>
      </c>
    </row>
    <row r="263" spans="1:15" s="77" customFormat="1" ht="118.5" customHeight="1">
      <c r="A263" s="78" t="s">
        <v>390</v>
      </c>
      <c r="B263" s="79" t="s">
        <v>234</v>
      </c>
      <c r="C263" s="79" t="s">
        <v>389</v>
      </c>
      <c r="D263" s="79" t="s">
        <v>391</v>
      </c>
      <c r="E263" s="79" t="s">
        <v>206</v>
      </c>
      <c r="F263" s="80">
        <f>F264</f>
        <v>10508.46831</v>
      </c>
      <c r="G263" s="80">
        <f t="shared" ref="G263:H263" si="53">G264</f>
        <v>3.3870800000000001</v>
      </c>
      <c r="H263" s="80">
        <f t="shared" si="53"/>
        <v>3.3870800000000001</v>
      </c>
      <c r="O263" s="50"/>
    </row>
    <row r="264" spans="1:15" ht="18.75" customHeight="1">
      <c r="A264" s="74" t="s">
        <v>392</v>
      </c>
      <c r="B264" s="75" t="s">
        <v>234</v>
      </c>
      <c r="C264" s="75" t="s">
        <v>389</v>
      </c>
      <c r="D264" s="75" t="s">
        <v>391</v>
      </c>
      <c r="E264" s="75" t="s">
        <v>206</v>
      </c>
      <c r="F264" s="76">
        <f>F265+F268+F271+F274</f>
        <v>10508.46831</v>
      </c>
      <c r="G264" s="76">
        <f t="shared" ref="G264:H264" si="54">G265+G268+G271+G274</f>
        <v>3.3870800000000001</v>
      </c>
      <c r="H264" s="76">
        <f t="shared" si="54"/>
        <v>3.3870800000000001</v>
      </c>
    </row>
    <row r="265" spans="1:15" ht="68.25" hidden="1" customHeight="1">
      <c r="A265" s="74" t="s">
        <v>393</v>
      </c>
      <c r="B265" s="75" t="s">
        <v>234</v>
      </c>
      <c r="C265" s="75" t="s">
        <v>389</v>
      </c>
      <c r="D265" s="75" t="s">
        <v>394</v>
      </c>
      <c r="E265" s="75" t="s">
        <v>206</v>
      </c>
      <c r="F265" s="76">
        <f t="shared" ref="F265:H269" si="55">F266</f>
        <v>0</v>
      </c>
      <c r="G265" s="76">
        <f t="shared" si="55"/>
        <v>0</v>
      </c>
      <c r="H265" s="76">
        <f t="shared" si="55"/>
        <v>0</v>
      </c>
    </row>
    <row r="266" spans="1:15" ht="19.149999999999999" hidden="1" customHeight="1">
      <c r="A266" s="74" t="s">
        <v>229</v>
      </c>
      <c r="B266" s="75" t="s">
        <v>234</v>
      </c>
      <c r="C266" s="75" t="s">
        <v>389</v>
      </c>
      <c r="D266" s="75" t="s">
        <v>394</v>
      </c>
      <c r="E266" s="75" t="s">
        <v>230</v>
      </c>
      <c r="F266" s="76">
        <f t="shared" si="55"/>
        <v>0</v>
      </c>
      <c r="G266" s="76">
        <f t="shared" si="55"/>
        <v>0</v>
      </c>
      <c r="H266" s="76">
        <f t="shared" si="55"/>
        <v>0</v>
      </c>
    </row>
    <row r="267" spans="1:15" ht="49.9" hidden="1" customHeight="1">
      <c r="A267" s="74" t="s">
        <v>395</v>
      </c>
      <c r="B267" s="75" t="s">
        <v>234</v>
      </c>
      <c r="C267" s="75" t="s">
        <v>389</v>
      </c>
      <c r="D267" s="75" t="s">
        <v>394</v>
      </c>
      <c r="E267" s="75" t="s">
        <v>396</v>
      </c>
      <c r="F267" s="76"/>
      <c r="G267" s="76"/>
      <c r="H267" s="76"/>
    </row>
    <row r="268" spans="1:15" ht="85.5" customHeight="1">
      <c r="A268" s="74" t="s">
        <v>123</v>
      </c>
      <c r="B268" s="75" t="s">
        <v>234</v>
      </c>
      <c r="C268" s="75" t="s">
        <v>389</v>
      </c>
      <c r="D268" s="75" t="s">
        <v>397</v>
      </c>
      <c r="E268" s="75" t="s">
        <v>206</v>
      </c>
      <c r="F268" s="76">
        <f t="shared" si="55"/>
        <v>8404.0649799999992</v>
      </c>
      <c r="G268" s="76">
        <f t="shared" ref="G268:H269" si="56">G269</f>
        <v>0</v>
      </c>
      <c r="H268" s="76">
        <f t="shared" si="56"/>
        <v>0</v>
      </c>
    </row>
    <row r="269" spans="1:15" ht="34.5" customHeight="1">
      <c r="A269" s="74" t="s">
        <v>223</v>
      </c>
      <c r="B269" s="75" t="s">
        <v>234</v>
      </c>
      <c r="C269" s="75" t="s">
        <v>389</v>
      </c>
      <c r="D269" s="75" t="s">
        <v>397</v>
      </c>
      <c r="E269" s="75" t="s">
        <v>224</v>
      </c>
      <c r="F269" s="76">
        <f t="shared" si="55"/>
        <v>8404.0649799999992</v>
      </c>
      <c r="G269" s="76">
        <f t="shared" si="56"/>
        <v>0</v>
      </c>
      <c r="H269" s="76">
        <f t="shared" si="56"/>
        <v>0</v>
      </c>
    </row>
    <row r="270" spans="1:15" ht="50.25" customHeight="1">
      <c r="A270" s="74" t="s">
        <v>225</v>
      </c>
      <c r="B270" s="75" t="s">
        <v>234</v>
      </c>
      <c r="C270" s="75" t="s">
        <v>389</v>
      </c>
      <c r="D270" s="75" t="s">
        <v>397</v>
      </c>
      <c r="E270" s="75" t="s">
        <v>226</v>
      </c>
      <c r="F270" s="76">
        <f>'5'!D253</f>
        <v>8404.0649799999992</v>
      </c>
      <c r="G270" s="76">
        <f>'5'!E253</f>
        <v>0</v>
      </c>
      <c r="H270" s="76">
        <f>'5'!F253</f>
        <v>0</v>
      </c>
    </row>
    <row r="271" spans="1:15" ht="78" customHeight="1">
      <c r="A271" s="74" t="s">
        <v>398</v>
      </c>
      <c r="B271" s="75" t="s">
        <v>234</v>
      </c>
      <c r="C271" s="75" t="s">
        <v>389</v>
      </c>
      <c r="D271" s="75" t="s">
        <v>399</v>
      </c>
      <c r="E271" s="75" t="s">
        <v>206</v>
      </c>
      <c r="F271" s="76">
        <f t="shared" ref="F271:H272" si="57">F272</f>
        <v>2101.0162500000001</v>
      </c>
      <c r="G271" s="76">
        <f t="shared" si="57"/>
        <v>0</v>
      </c>
      <c r="H271" s="76">
        <f t="shared" si="57"/>
        <v>0</v>
      </c>
    </row>
    <row r="272" spans="1:15" ht="31.15" customHeight="1">
      <c r="A272" s="74" t="s">
        <v>223</v>
      </c>
      <c r="B272" s="75" t="s">
        <v>234</v>
      </c>
      <c r="C272" s="75" t="s">
        <v>389</v>
      </c>
      <c r="D272" s="75" t="s">
        <v>399</v>
      </c>
      <c r="E272" s="75" t="s">
        <v>224</v>
      </c>
      <c r="F272" s="76">
        <f t="shared" si="57"/>
        <v>2101.0162500000001</v>
      </c>
      <c r="G272" s="76">
        <f t="shared" si="57"/>
        <v>0</v>
      </c>
      <c r="H272" s="76">
        <f t="shared" si="57"/>
        <v>0</v>
      </c>
    </row>
    <row r="273" spans="1:15" ht="50.45" customHeight="1">
      <c r="A273" s="74" t="s">
        <v>225</v>
      </c>
      <c r="B273" s="75" t="s">
        <v>234</v>
      </c>
      <c r="C273" s="75" t="s">
        <v>389</v>
      </c>
      <c r="D273" s="75" t="s">
        <v>399</v>
      </c>
      <c r="E273" s="75" t="s">
        <v>226</v>
      </c>
      <c r="F273" s="76">
        <f>'5'!D254</f>
        <v>2101.0162500000001</v>
      </c>
      <c r="G273" s="76">
        <f>'5'!E254</f>
        <v>0</v>
      </c>
      <c r="H273" s="76">
        <f>'5'!F254</f>
        <v>0</v>
      </c>
    </row>
    <row r="274" spans="1:15" ht="146.25" customHeight="1">
      <c r="A274" s="78" t="s">
        <v>160</v>
      </c>
      <c r="B274" s="79" t="s">
        <v>234</v>
      </c>
      <c r="C274" s="79" t="s">
        <v>389</v>
      </c>
      <c r="D274" s="79" t="s">
        <v>205</v>
      </c>
      <c r="E274" s="79" t="s">
        <v>206</v>
      </c>
      <c r="F274" s="80">
        <f t="shared" ref="F274:G275" si="58">F275</f>
        <v>3.3870800000000001</v>
      </c>
      <c r="G274" s="80">
        <f t="shared" si="58"/>
        <v>3.3870800000000001</v>
      </c>
      <c r="H274" s="80">
        <f>H279</f>
        <v>3.3870800000000001</v>
      </c>
    </row>
    <row r="275" spans="1:15" ht="36.75" customHeight="1">
      <c r="A275" s="74" t="s">
        <v>223</v>
      </c>
      <c r="B275" s="75" t="s">
        <v>234</v>
      </c>
      <c r="C275" s="75" t="s">
        <v>389</v>
      </c>
      <c r="D275" s="75" t="s">
        <v>400</v>
      </c>
      <c r="E275" s="75" t="s">
        <v>224</v>
      </c>
      <c r="F275" s="76">
        <f t="shared" si="58"/>
        <v>3.3870800000000001</v>
      </c>
      <c r="G275" s="76">
        <f>G276</f>
        <v>3.3870800000000001</v>
      </c>
      <c r="H275" s="76">
        <f>H276</f>
        <v>0</v>
      </c>
    </row>
    <row r="276" spans="1:15" ht="52.5" customHeight="1">
      <c r="A276" s="74" t="s">
        <v>225</v>
      </c>
      <c r="B276" s="75" t="s">
        <v>234</v>
      </c>
      <c r="C276" s="75" t="s">
        <v>389</v>
      </c>
      <c r="D276" s="75" t="s">
        <v>400</v>
      </c>
      <c r="E276" s="75" t="s">
        <v>226</v>
      </c>
      <c r="F276" s="76">
        <f>'5'!D255</f>
        <v>3.3870800000000001</v>
      </c>
      <c r="G276" s="76">
        <f>'5'!E255</f>
        <v>3.3870800000000001</v>
      </c>
      <c r="H276" s="76">
        <f>'5'!F255</f>
        <v>0</v>
      </c>
    </row>
    <row r="277" spans="1:15" ht="21" hidden="1" customHeight="1">
      <c r="A277" s="78" t="s">
        <v>401</v>
      </c>
      <c r="B277" s="79" t="s">
        <v>234</v>
      </c>
      <c r="C277" s="79" t="s">
        <v>389</v>
      </c>
      <c r="D277" s="79" t="s">
        <v>212</v>
      </c>
      <c r="E277" s="79" t="s">
        <v>206</v>
      </c>
      <c r="F277" s="80">
        <f t="shared" ref="F277:H278" si="59">F278</f>
        <v>0</v>
      </c>
      <c r="G277" s="80">
        <f t="shared" si="59"/>
        <v>0</v>
      </c>
      <c r="H277" s="80">
        <f t="shared" si="59"/>
        <v>3.3870800000000001</v>
      </c>
    </row>
    <row r="278" spans="1:15" ht="15.75" hidden="1" customHeight="1">
      <c r="A278" s="74" t="s">
        <v>223</v>
      </c>
      <c r="B278" s="75" t="s">
        <v>234</v>
      </c>
      <c r="C278" s="75" t="s">
        <v>389</v>
      </c>
      <c r="D278" s="75" t="s">
        <v>402</v>
      </c>
      <c r="E278" s="75" t="s">
        <v>224</v>
      </c>
      <c r="F278" s="76">
        <f t="shared" si="59"/>
        <v>0</v>
      </c>
      <c r="G278" s="76">
        <f>G279</f>
        <v>0</v>
      </c>
      <c r="H278" s="76">
        <v>3.3870800000000001</v>
      </c>
    </row>
    <row r="279" spans="1:15" ht="31.5" hidden="1" customHeight="1">
      <c r="A279" s="74" t="s">
        <v>225</v>
      </c>
      <c r="B279" s="75" t="s">
        <v>234</v>
      </c>
      <c r="C279" s="75" t="s">
        <v>389</v>
      </c>
      <c r="D279" s="75" t="s">
        <v>402</v>
      </c>
      <c r="E279" s="75" t="s">
        <v>226</v>
      </c>
      <c r="F279" s="76">
        <f>'5'!D258</f>
        <v>0</v>
      </c>
      <c r="G279" s="76">
        <f>'5'!E258</f>
        <v>0</v>
      </c>
      <c r="H279" s="76">
        <v>3.3870800000000001</v>
      </c>
    </row>
    <row r="280" spans="1:15" ht="15.75" hidden="1" customHeight="1">
      <c r="A280" s="74" t="s">
        <v>229</v>
      </c>
      <c r="B280" s="75" t="s">
        <v>234</v>
      </c>
      <c r="C280" s="75" t="s">
        <v>389</v>
      </c>
      <c r="D280" s="75" t="s">
        <v>403</v>
      </c>
      <c r="E280" s="75" t="s">
        <v>230</v>
      </c>
      <c r="F280" s="76">
        <f>F281</f>
        <v>0</v>
      </c>
      <c r="G280" s="76">
        <f t="shared" ref="G280:H280" si="60">G281</f>
        <v>0</v>
      </c>
      <c r="H280" s="76">
        <f t="shared" si="60"/>
        <v>0</v>
      </c>
    </row>
    <row r="281" spans="1:15" ht="47.25" hidden="1" customHeight="1">
      <c r="A281" s="74" t="s">
        <v>395</v>
      </c>
      <c r="B281" s="75" t="s">
        <v>234</v>
      </c>
      <c r="C281" s="75" t="s">
        <v>389</v>
      </c>
      <c r="D281" s="75" t="s">
        <v>403</v>
      </c>
      <c r="E281" s="75" t="s">
        <v>396</v>
      </c>
      <c r="F281" s="76">
        <f>'5'!D280</f>
        <v>0</v>
      </c>
      <c r="G281" s="76">
        <f>'5'!E280</f>
        <v>0</v>
      </c>
      <c r="H281" s="76">
        <f>'5'!F280</f>
        <v>0</v>
      </c>
    </row>
    <row r="282" spans="1:15" ht="15.75" hidden="1" customHeight="1">
      <c r="A282" s="70"/>
      <c r="B282" s="71"/>
      <c r="C282" s="71"/>
      <c r="D282" s="71"/>
      <c r="E282" s="71"/>
      <c r="F282" s="72"/>
      <c r="G282" s="72"/>
      <c r="H282" s="72"/>
      <c r="O282" s="77"/>
    </row>
    <row r="283" spans="1:15" s="77" customFormat="1" ht="17.25" customHeight="1">
      <c r="A283" s="66" t="s">
        <v>404</v>
      </c>
      <c r="B283" s="67" t="s">
        <v>234</v>
      </c>
      <c r="C283" s="67" t="s">
        <v>353</v>
      </c>
      <c r="D283" s="67" t="s">
        <v>205</v>
      </c>
      <c r="E283" s="67" t="s">
        <v>206</v>
      </c>
      <c r="F283" s="68">
        <f>F287+F291+F303+F300</f>
        <v>32395.0177</v>
      </c>
      <c r="G283" s="68">
        <f t="shared" ref="G283:H283" si="61">G287+G291+G303+G300</f>
        <v>24727.32</v>
      </c>
      <c r="H283" s="68">
        <f t="shared" si="61"/>
        <v>33220.32</v>
      </c>
    </row>
    <row r="284" spans="1:15" s="77" customFormat="1" ht="86.25" customHeight="1">
      <c r="A284" s="78" t="s">
        <v>405</v>
      </c>
      <c r="B284" s="79" t="s">
        <v>234</v>
      </c>
      <c r="C284" s="79" t="s">
        <v>353</v>
      </c>
      <c r="D284" s="79" t="s">
        <v>406</v>
      </c>
      <c r="E284" s="79" t="s">
        <v>206</v>
      </c>
      <c r="F284" s="80">
        <f>F285+F290+F294</f>
        <v>21250.397700000001</v>
      </c>
      <c r="G284" s="80">
        <f t="shared" ref="G284:H284" si="62">G285+G290+G294</f>
        <v>24647</v>
      </c>
      <c r="H284" s="80">
        <f t="shared" si="62"/>
        <v>33140</v>
      </c>
      <c r="O284" s="50"/>
    </row>
    <row r="285" spans="1:15" ht="33.75" customHeight="1">
      <c r="A285" s="74" t="s">
        <v>407</v>
      </c>
      <c r="B285" s="75" t="s">
        <v>234</v>
      </c>
      <c r="C285" s="75" t="s">
        <v>353</v>
      </c>
      <c r="D285" s="75" t="s">
        <v>408</v>
      </c>
      <c r="E285" s="75" t="s">
        <v>206</v>
      </c>
      <c r="F285" s="76">
        <f>F286+F288</f>
        <v>4733.8756999999987</v>
      </c>
      <c r="G285" s="76">
        <f t="shared" ref="F285:H286" si="63">G286</f>
        <v>7358.9079999999994</v>
      </c>
      <c r="H285" s="76">
        <f t="shared" si="63"/>
        <v>9894.6810000000005</v>
      </c>
    </row>
    <row r="286" spans="1:15" ht="35.25" customHeight="1">
      <c r="A286" s="74" t="s">
        <v>223</v>
      </c>
      <c r="B286" s="75" t="s">
        <v>234</v>
      </c>
      <c r="C286" s="75" t="s">
        <v>353</v>
      </c>
      <c r="D286" s="75" t="s">
        <v>408</v>
      </c>
      <c r="E286" s="75" t="s">
        <v>224</v>
      </c>
      <c r="F286" s="76">
        <f t="shared" si="63"/>
        <v>4733.8756999999987</v>
      </c>
      <c r="G286" s="76">
        <f t="shared" si="63"/>
        <v>7358.9079999999994</v>
      </c>
      <c r="H286" s="76">
        <f t="shared" si="63"/>
        <v>9894.6810000000005</v>
      </c>
    </row>
    <row r="287" spans="1:15" ht="47.25" customHeight="1">
      <c r="A287" s="74" t="s">
        <v>225</v>
      </c>
      <c r="B287" s="75" t="s">
        <v>234</v>
      </c>
      <c r="C287" s="75" t="s">
        <v>353</v>
      </c>
      <c r="D287" s="75" t="s">
        <v>408</v>
      </c>
      <c r="E287" s="75" t="s">
        <v>226</v>
      </c>
      <c r="F287" s="76">
        <f>'5'!D211</f>
        <v>4733.8756999999987</v>
      </c>
      <c r="G287" s="76">
        <f>'5'!E211</f>
        <v>7358.9079999999994</v>
      </c>
      <c r="H287" s="76">
        <f>'5'!F211</f>
        <v>9894.6810000000005</v>
      </c>
    </row>
    <row r="288" spans="1:15" ht="47.25" hidden="1" customHeight="1">
      <c r="A288" s="74" t="s">
        <v>320</v>
      </c>
      <c r="B288" s="75" t="s">
        <v>234</v>
      </c>
      <c r="C288" s="75" t="s">
        <v>353</v>
      </c>
      <c r="D288" s="75" t="s">
        <v>408</v>
      </c>
      <c r="E288" s="75" t="s">
        <v>321</v>
      </c>
      <c r="F288" s="76">
        <f>F289</f>
        <v>0</v>
      </c>
      <c r="G288" s="76">
        <f>G289</f>
        <v>0</v>
      </c>
      <c r="H288" s="76">
        <f>H289</f>
        <v>0</v>
      </c>
    </row>
    <row r="289" spans="1:8" ht="15.75" hidden="1" customHeight="1">
      <c r="A289" s="74" t="s">
        <v>322</v>
      </c>
      <c r="B289" s="75" t="s">
        <v>234</v>
      </c>
      <c r="C289" s="75" t="s">
        <v>353</v>
      </c>
      <c r="D289" s="75" t="s">
        <v>408</v>
      </c>
      <c r="E289" s="75" t="s">
        <v>323</v>
      </c>
      <c r="F289" s="76"/>
      <c r="G289" s="76"/>
      <c r="H289" s="76"/>
    </row>
    <row r="290" spans="1:8" ht="22.5" customHeight="1">
      <c r="A290" s="74" t="s">
        <v>348</v>
      </c>
      <c r="B290" s="75" t="s">
        <v>234</v>
      </c>
      <c r="C290" s="75" t="s">
        <v>353</v>
      </c>
      <c r="D290" s="75" t="s">
        <v>409</v>
      </c>
      <c r="E290" s="75" t="s">
        <v>349</v>
      </c>
      <c r="F290" s="76">
        <f>F291</f>
        <v>16516.522000000001</v>
      </c>
      <c r="G290" s="76">
        <f>G291</f>
        <v>17288.092000000001</v>
      </c>
      <c r="H290" s="76">
        <f>H291</f>
        <v>23245.319</v>
      </c>
    </row>
    <row r="291" spans="1:8" ht="20.45" customHeight="1">
      <c r="A291" s="74" t="s">
        <v>410</v>
      </c>
      <c r="B291" s="75" t="s">
        <v>234</v>
      </c>
      <c r="C291" s="75" t="s">
        <v>353</v>
      </c>
      <c r="D291" s="75" t="s">
        <v>409</v>
      </c>
      <c r="E291" s="75" t="s">
        <v>411</v>
      </c>
      <c r="F291" s="76">
        <f>'5'!D212</f>
        <v>16516.522000000001</v>
      </c>
      <c r="G291" s="76">
        <f>'5'!E212</f>
        <v>17288.092000000001</v>
      </c>
      <c r="H291" s="76">
        <f>'5'!F212</f>
        <v>23245.319</v>
      </c>
    </row>
    <row r="292" spans="1:8" ht="94.5" hidden="1" customHeight="1">
      <c r="A292" s="74" t="s">
        <v>412</v>
      </c>
      <c r="B292" s="75" t="s">
        <v>234</v>
      </c>
      <c r="C292" s="75" t="s">
        <v>353</v>
      </c>
      <c r="D292" s="75" t="s">
        <v>413</v>
      </c>
      <c r="E292" s="75" t="s">
        <v>411</v>
      </c>
      <c r="F292" s="76"/>
      <c r="G292" s="76"/>
      <c r="H292" s="76"/>
    </row>
    <row r="293" spans="1:8" ht="110.25" hidden="1" customHeight="1">
      <c r="A293" s="74" t="s">
        <v>414</v>
      </c>
      <c r="B293" s="75" t="s">
        <v>234</v>
      </c>
      <c r="C293" s="75" t="s">
        <v>353</v>
      </c>
      <c r="D293" s="75" t="s">
        <v>415</v>
      </c>
      <c r="E293" s="75" t="s">
        <v>411</v>
      </c>
      <c r="F293" s="76"/>
      <c r="G293" s="76"/>
      <c r="H293" s="76"/>
    </row>
    <row r="294" spans="1:8" ht="47.25" hidden="1" customHeight="1">
      <c r="A294" s="78" t="s">
        <v>416</v>
      </c>
      <c r="B294" s="75" t="s">
        <v>234</v>
      </c>
      <c r="C294" s="75" t="s">
        <v>353</v>
      </c>
      <c r="D294" s="75" t="s">
        <v>417</v>
      </c>
      <c r="E294" s="79" t="s">
        <v>206</v>
      </c>
      <c r="F294" s="80">
        <f>F296+F298</f>
        <v>0</v>
      </c>
      <c r="G294" s="80">
        <f>G296+G298</f>
        <v>0</v>
      </c>
      <c r="H294" s="80">
        <f>H296+H298</f>
        <v>0</v>
      </c>
    </row>
    <row r="295" spans="1:8" ht="31.5" hidden="1" customHeight="1">
      <c r="A295" s="74" t="s">
        <v>223</v>
      </c>
      <c r="B295" s="75" t="s">
        <v>234</v>
      </c>
      <c r="C295" s="75" t="s">
        <v>353</v>
      </c>
      <c r="D295" s="75" t="s">
        <v>418</v>
      </c>
      <c r="E295" s="75" t="s">
        <v>224</v>
      </c>
      <c r="F295" s="76">
        <f>F296</f>
        <v>0</v>
      </c>
      <c r="G295" s="76">
        <f>G296</f>
        <v>0</v>
      </c>
      <c r="H295" s="76">
        <f>H296</f>
        <v>0</v>
      </c>
    </row>
    <row r="296" spans="1:8" ht="47.25" hidden="1" customHeight="1">
      <c r="A296" s="74" t="s">
        <v>225</v>
      </c>
      <c r="B296" s="75" t="s">
        <v>234</v>
      </c>
      <c r="C296" s="75" t="s">
        <v>353</v>
      </c>
      <c r="D296" s="75" t="s">
        <v>419</v>
      </c>
      <c r="E296" s="75" t="s">
        <v>226</v>
      </c>
      <c r="F296" s="76">
        <f>'5'!D215</f>
        <v>0</v>
      </c>
      <c r="G296" s="76">
        <f>'5'!E215</f>
        <v>0</v>
      </c>
      <c r="H296" s="76">
        <f>'5'!F215</f>
        <v>0</v>
      </c>
    </row>
    <row r="297" spans="1:8" ht="31.5" hidden="1" customHeight="1">
      <c r="A297" s="74" t="s">
        <v>223</v>
      </c>
      <c r="B297" s="75" t="s">
        <v>234</v>
      </c>
      <c r="C297" s="75" t="s">
        <v>353</v>
      </c>
      <c r="D297" s="75" t="s">
        <v>420</v>
      </c>
      <c r="E297" s="75" t="s">
        <v>224</v>
      </c>
      <c r="F297" s="76">
        <f>F298</f>
        <v>0</v>
      </c>
      <c r="G297" s="76">
        <f>G298</f>
        <v>0</v>
      </c>
      <c r="H297" s="76">
        <f>H298</f>
        <v>0</v>
      </c>
    </row>
    <row r="298" spans="1:8" ht="47.25" hidden="1" customHeight="1">
      <c r="A298" s="74" t="s">
        <v>225</v>
      </c>
      <c r="B298" s="75" t="s">
        <v>234</v>
      </c>
      <c r="C298" s="75" t="s">
        <v>353</v>
      </c>
      <c r="D298" s="75" t="s">
        <v>421</v>
      </c>
      <c r="E298" s="75" t="s">
        <v>226</v>
      </c>
      <c r="F298" s="76">
        <f>'5'!D216</f>
        <v>0</v>
      </c>
      <c r="G298" s="76">
        <f>'5'!E216</f>
        <v>0</v>
      </c>
      <c r="H298" s="76">
        <f>'5'!F216</f>
        <v>0</v>
      </c>
    </row>
    <row r="299" spans="1:8" ht="23.25" customHeight="1">
      <c r="A299" s="70" t="s">
        <v>422</v>
      </c>
      <c r="B299" s="75" t="s">
        <v>234</v>
      </c>
      <c r="C299" s="75" t="s">
        <v>353</v>
      </c>
      <c r="D299" s="75" t="s">
        <v>418</v>
      </c>
      <c r="E299" s="75" t="s">
        <v>224</v>
      </c>
      <c r="F299" s="76">
        <f>F300</f>
        <v>11000</v>
      </c>
      <c r="G299" s="76">
        <f t="shared" ref="G299:H299" si="64">G300</f>
        <v>0</v>
      </c>
      <c r="H299" s="76">
        <f t="shared" si="64"/>
        <v>0</v>
      </c>
    </row>
    <row r="300" spans="1:8" ht="31.5">
      <c r="A300" s="74" t="s">
        <v>223</v>
      </c>
      <c r="B300" s="75" t="s">
        <v>234</v>
      </c>
      <c r="C300" s="75" t="s">
        <v>353</v>
      </c>
      <c r="D300" s="75" t="s">
        <v>418</v>
      </c>
      <c r="E300" s="75" t="s">
        <v>226</v>
      </c>
      <c r="F300" s="76">
        <f>'5'!D217</f>
        <v>11000</v>
      </c>
      <c r="G300" s="76">
        <f>'5'!E217</f>
        <v>0</v>
      </c>
      <c r="H300" s="76">
        <f>'5'!F217</f>
        <v>0</v>
      </c>
    </row>
    <row r="301" spans="1:8" ht="34.5" customHeight="1">
      <c r="A301" s="78" t="s">
        <v>209</v>
      </c>
      <c r="B301" s="79" t="s">
        <v>234</v>
      </c>
      <c r="C301" s="79" t="s">
        <v>353</v>
      </c>
      <c r="D301" s="79" t="s">
        <v>210</v>
      </c>
      <c r="E301" s="79" t="s">
        <v>206</v>
      </c>
      <c r="F301" s="80">
        <f t="shared" ref="F301:F302" si="65">F302</f>
        <v>144.62</v>
      </c>
      <c r="G301" s="80">
        <f t="shared" ref="G301:H302" si="66">G302</f>
        <v>80.319999999999993</v>
      </c>
      <c r="H301" s="80">
        <f t="shared" si="66"/>
        <v>80.319999999999993</v>
      </c>
    </row>
    <row r="302" spans="1:8" ht="48.75" customHeight="1">
      <c r="A302" s="74" t="s">
        <v>211</v>
      </c>
      <c r="B302" s="75" t="s">
        <v>234</v>
      </c>
      <c r="C302" s="75" t="s">
        <v>353</v>
      </c>
      <c r="D302" s="75" t="s">
        <v>212</v>
      </c>
      <c r="E302" s="75" t="s">
        <v>206</v>
      </c>
      <c r="F302" s="76">
        <f t="shared" si="65"/>
        <v>144.62</v>
      </c>
      <c r="G302" s="76">
        <f t="shared" si="66"/>
        <v>80.319999999999993</v>
      </c>
      <c r="H302" s="76">
        <f t="shared" si="66"/>
        <v>80.319999999999993</v>
      </c>
    </row>
    <row r="303" spans="1:8" ht="20.25" customHeight="1">
      <c r="A303" s="74" t="s">
        <v>423</v>
      </c>
      <c r="B303" s="75" t="s">
        <v>234</v>
      </c>
      <c r="C303" s="75" t="s">
        <v>353</v>
      </c>
      <c r="D303" s="98" t="s">
        <v>424</v>
      </c>
      <c r="E303" s="75" t="s">
        <v>206</v>
      </c>
      <c r="F303" s="76">
        <f>F304+F306</f>
        <v>144.62</v>
      </c>
      <c r="G303" s="76">
        <f t="shared" ref="G303:H303" si="67">G304+G306</f>
        <v>80.319999999999993</v>
      </c>
      <c r="H303" s="76">
        <f t="shared" si="67"/>
        <v>80.319999999999993</v>
      </c>
    </row>
    <row r="304" spans="1:8" ht="34.15" customHeight="1">
      <c r="A304" s="74" t="s">
        <v>223</v>
      </c>
      <c r="B304" s="75" t="s">
        <v>234</v>
      </c>
      <c r="C304" s="75" t="s">
        <v>353</v>
      </c>
      <c r="D304" s="98" t="s">
        <v>424</v>
      </c>
      <c r="E304" s="75" t="s">
        <v>224</v>
      </c>
      <c r="F304" s="76">
        <f>F305</f>
        <v>64.3</v>
      </c>
      <c r="G304" s="76">
        <f>G305</f>
        <v>0</v>
      </c>
      <c r="H304" s="76">
        <f>H305</f>
        <v>0</v>
      </c>
    </row>
    <row r="305" spans="1:15" ht="51" customHeight="1">
      <c r="A305" s="74" t="s">
        <v>225</v>
      </c>
      <c r="B305" s="75" t="s">
        <v>234</v>
      </c>
      <c r="C305" s="75" t="s">
        <v>353</v>
      </c>
      <c r="D305" s="98" t="s">
        <v>424</v>
      </c>
      <c r="E305" s="75" t="s">
        <v>226</v>
      </c>
      <c r="F305" s="76">
        <v>64.3</v>
      </c>
      <c r="G305" s="76">
        <v>0</v>
      </c>
      <c r="H305" s="76">
        <v>0</v>
      </c>
    </row>
    <row r="306" spans="1:15" ht="22.5" customHeight="1">
      <c r="A306" s="74" t="s">
        <v>229</v>
      </c>
      <c r="B306" s="75" t="s">
        <v>234</v>
      </c>
      <c r="C306" s="75" t="s">
        <v>353</v>
      </c>
      <c r="D306" s="98" t="s">
        <v>424</v>
      </c>
      <c r="E306" s="75" t="s">
        <v>230</v>
      </c>
      <c r="F306" s="76">
        <f>F307</f>
        <v>80.319999999999993</v>
      </c>
      <c r="G306" s="76">
        <f>G307</f>
        <v>80.319999999999993</v>
      </c>
      <c r="H306" s="76">
        <f>H307</f>
        <v>80.319999999999993</v>
      </c>
    </row>
    <row r="307" spans="1:15" ht="19.5" customHeight="1">
      <c r="A307" s="74" t="s">
        <v>231</v>
      </c>
      <c r="B307" s="75" t="s">
        <v>234</v>
      </c>
      <c r="C307" s="75" t="s">
        <v>353</v>
      </c>
      <c r="D307" s="98" t="s">
        <v>424</v>
      </c>
      <c r="E307" s="75" t="s">
        <v>232</v>
      </c>
      <c r="F307" s="36">
        <v>80.319999999999993</v>
      </c>
      <c r="G307" s="36">
        <f>'5'!E306</f>
        <v>80.319999999999993</v>
      </c>
      <c r="H307" s="36">
        <f>'5'!F306</f>
        <v>80.319999999999993</v>
      </c>
      <c r="O307" s="65"/>
    </row>
    <row r="308" spans="1:15" s="65" customFormat="1" ht="31.5">
      <c r="A308" s="66" t="s">
        <v>425</v>
      </c>
      <c r="B308" s="67" t="s">
        <v>234</v>
      </c>
      <c r="C308" s="67" t="s">
        <v>426</v>
      </c>
      <c r="D308" s="67" t="s">
        <v>205</v>
      </c>
      <c r="E308" s="67" t="s">
        <v>206</v>
      </c>
      <c r="F308" s="68">
        <f>F312+F317</f>
        <v>200</v>
      </c>
      <c r="G308" s="68">
        <f t="shared" ref="G308:H308" si="68">G312+G317</f>
        <v>200</v>
      </c>
      <c r="H308" s="68">
        <f t="shared" si="68"/>
        <v>200</v>
      </c>
      <c r="O308" s="50"/>
    </row>
    <row r="309" spans="1:15" ht="66" customHeight="1">
      <c r="A309" s="78" t="s">
        <v>427</v>
      </c>
      <c r="B309" s="79" t="s">
        <v>234</v>
      </c>
      <c r="C309" s="79" t="s">
        <v>426</v>
      </c>
      <c r="D309" s="79" t="s">
        <v>428</v>
      </c>
      <c r="E309" s="79" t="s">
        <v>206</v>
      </c>
      <c r="F309" s="80">
        <f>F310</f>
        <v>200</v>
      </c>
      <c r="G309" s="80">
        <f t="shared" ref="G309:H311" si="69">G310</f>
        <v>200</v>
      </c>
      <c r="H309" s="80">
        <f t="shared" si="69"/>
        <v>200</v>
      </c>
    </row>
    <row r="310" spans="1:15" ht="33.6" customHeight="1">
      <c r="A310" s="74" t="s">
        <v>429</v>
      </c>
      <c r="B310" s="75" t="s">
        <v>234</v>
      </c>
      <c r="C310" s="75" t="s">
        <v>426</v>
      </c>
      <c r="D310" s="75" t="s">
        <v>430</v>
      </c>
      <c r="E310" s="75" t="s">
        <v>206</v>
      </c>
      <c r="F310" s="76">
        <f>F311+F316</f>
        <v>200</v>
      </c>
      <c r="G310" s="76">
        <f>G311+G316</f>
        <v>200</v>
      </c>
      <c r="H310" s="76">
        <f>H311+H316</f>
        <v>200</v>
      </c>
    </row>
    <row r="311" spans="1:15" ht="18.75" customHeight="1">
      <c r="A311" s="74" t="s">
        <v>229</v>
      </c>
      <c r="B311" s="75" t="s">
        <v>234</v>
      </c>
      <c r="C311" s="75" t="s">
        <v>426</v>
      </c>
      <c r="D311" s="75" t="s">
        <v>430</v>
      </c>
      <c r="E311" s="75" t="s">
        <v>230</v>
      </c>
      <c r="F311" s="76">
        <f>F312</f>
        <v>197</v>
      </c>
      <c r="G311" s="76">
        <f t="shared" si="69"/>
        <v>197</v>
      </c>
      <c r="H311" s="76">
        <f t="shared" si="69"/>
        <v>197</v>
      </c>
    </row>
    <row r="312" spans="1:15" ht="69" customHeight="1">
      <c r="A312" s="74" t="s">
        <v>431</v>
      </c>
      <c r="B312" s="75" t="s">
        <v>234</v>
      </c>
      <c r="C312" s="75" t="s">
        <v>426</v>
      </c>
      <c r="D312" s="75" t="s">
        <v>430</v>
      </c>
      <c r="E312" s="75" t="s">
        <v>396</v>
      </c>
      <c r="F312" s="76">
        <f>'5'!D207</f>
        <v>197</v>
      </c>
      <c r="G312" s="76">
        <f>'5'!E207</f>
        <v>197</v>
      </c>
      <c r="H312" s="76">
        <f>'5'!F207</f>
        <v>197</v>
      </c>
    </row>
    <row r="313" spans="1:15" ht="15.75" hidden="1" customHeight="1">
      <c r="A313" s="78"/>
      <c r="B313" s="75" t="s">
        <v>234</v>
      </c>
      <c r="C313" s="75" t="s">
        <v>426</v>
      </c>
      <c r="D313" s="75" t="s">
        <v>430</v>
      </c>
      <c r="E313" s="79"/>
      <c r="F313" s="80"/>
      <c r="G313" s="80"/>
      <c r="H313" s="80"/>
    </row>
    <row r="314" spans="1:15" ht="15.75" hidden="1" customHeight="1">
      <c r="A314" s="74"/>
      <c r="B314" s="75" t="s">
        <v>234</v>
      </c>
      <c r="C314" s="75" t="s">
        <v>426</v>
      </c>
      <c r="D314" s="75" t="s">
        <v>430</v>
      </c>
      <c r="E314" s="75"/>
      <c r="F314" s="76"/>
      <c r="G314" s="76"/>
      <c r="H314" s="76"/>
    </row>
    <row r="315" spans="1:15" ht="15.75" hidden="1" customHeight="1">
      <c r="A315" s="74"/>
      <c r="B315" s="75" t="s">
        <v>234</v>
      </c>
      <c r="C315" s="75" t="s">
        <v>426</v>
      </c>
      <c r="D315" s="75" t="s">
        <v>430</v>
      </c>
      <c r="E315" s="75"/>
      <c r="F315" s="76"/>
      <c r="G315" s="76"/>
      <c r="H315" s="76"/>
    </row>
    <row r="316" spans="1:15" ht="33.6" customHeight="1">
      <c r="A316" s="74" t="s">
        <v>223</v>
      </c>
      <c r="B316" s="75" t="s">
        <v>234</v>
      </c>
      <c r="C316" s="75" t="s">
        <v>426</v>
      </c>
      <c r="D316" s="75" t="s">
        <v>430</v>
      </c>
      <c r="E316" s="75" t="s">
        <v>224</v>
      </c>
      <c r="F316" s="76">
        <f>F317</f>
        <v>3</v>
      </c>
      <c r="G316" s="76">
        <f>G317</f>
        <v>3</v>
      </c>
      <c r="H316" s="76">
        <f>H317</f>
        <v>3</v>
      </c>
    </row>
    <row r="317" spans="1:15" ht="55.5" customHeight="1">
      <c r="A317" s="74" t="s">
        <v>225</v>
      </c>
      <c r="B317" s="75" t="s">
        <v>234</v>
      </c>
      <c r="C317" s="75" t="s">
        <v>426</v>
      </c>
      <c r="D317" s="75" t="s">
        <v>430</v>
      </c>
      <c r="E317" s="75" t="s">
        <v>226</v>
      </c>
      <c r="F317" s="76">
        <f>'5'!D208</f>
        <v>3</v>
      </c>
      <c r="G317" s="76">
        <f>'5'!E208</f>
        <v>3</v>
      </c>
      <c r="H317" s="76">
        <f>'5'!F208</f>
        <v>3</v>
      </c>
    </row>
    <row r="318" spans="1:15" ht="51" customHeight="1">
      <c r="A318" s="78" t="s">
        <v>432</v>
      </c>
      <c r="B318" s="79" t="s">
        <v>234</v>
      </c>
      <c r="C318" s="79" t="s">
        <v>426</v>
      </c>
      <c r="D318" s="79" t="s">
        <v>433</v>
      </c>
      <c r="E318" s="79" t="s">
        <v>206</v>
      </c>
      <c r="F318" s="80">
        <f>F333+F336</f>
        <v>1638.3173400000001</v>
      </c>
      <c r="G318" s="80">
        <f t="shared" ref="G318:H318" si="70">G333+G336</f>
        <v>0</v>
      </c>
      <c r="H318" s="80">
        <f t="shared" si="70"/>
        <v>0</v>
      </c>
      <c r="O318" s="77"/>
    </row>
    <row r="319" spans="1:15" s="77" customFormat="1" ht="47.25" hidden="1" customHeight="1">
      <c r="A319" s="78" t="s">
        <v>434</v>
      </c>
      <c r="B319" s="79" t="s">
        <v>234</v>
      </c>
      <c r="C319" s="79" t="s">
        <v>426</v>
      </c>
      <c r="D319" s="79" t="s">
        <v>435</v>
      </c>
      <c r="E319" s="79" t="s">
        <v>206</v>
      </c>
      <c r="F319" s="80"/>
      <c r="G319" s="80"/>
      <c r="H319" s="80"/>
      <c r="O319" s="50"/>
    </row>
    <row r="320" spans="1:15" ht="78.75" hidden="1" customHeight="1">
      <c r="A320" s="74" t="s">
        <v>436</v>
      </c>
      <c r="B320" s="75" t="s">
        <v>234</v>
      </c>
      <c r="C320" s="75" t="s">
        <v>426</v>
      </c>
      <c r="D320" s="75" t="s">
        <v>437</v>
      </c>
      <c r="E320" s="75" t="s">
        <v>206</v>
      </c>
      <c r="F320" s="76"/>
      <c r="G320" s="76"/>
      <c r="H320" s="76"/>
    </row>
    <row r="321" spans="1:15" ht="31.5" hidden="1" customHeight="1">
      <c r="A321" s="74" t="s">
        <v>223</v>
      </c>
      <c r="B321" s="75" t="s">
        <v>234</v>
      </c>
      <c r="C321" s="75" t="s">
        <v>426</v>
      </c>
      <c r="D321" s="75" t="s">
        <v>437</v>
      </c>
      <c r="E321" s="75" t="s">
        <v>224</v>
      </c>
      <c r="F321" s="76"/>
      <c r="G321" s="76"/>
      <c r="H321" s="76"/>
    </row>
    <row r="322" spans="1:15" ht="47.25" hidden="1" customHeight="1">
      <c r="A322" s="74" t="s">
        <v>225</v>
      </c>
      <c r="B322" s="75" t="s">
        <v>234</v>
      </c>
      <c r="C322" s="75" t="s">
        <v>426</v>
      </c>
      <c r="D322" s="75" t="s">
        <v>437</v>
      </c>
      <c r="E322" s="75" t="s">
        <v>226</v>
      </c>
      <c r="F322" s="76"/>
      <c r="G322" s="76"/>
      <c r="H322" s="76"/>
    </row>
    <row r="323" spans="1:15" ht="110.25" hidden="1" customHeight="1">
      <c r="A323" s="74" t="s">
        <v>438</v>
      </c>
      <c r="B323" s="75" t="s">
        <v>234</v>
      </c>
      <c r="C323" s="75" t="s">
        <v>426</v>
      </c>
      <c r="D323" s="75" t="s">
        <v>439</v>
      </c>
      <c r="E323" s="75" t="s">
        <v>206</v>
      </c>
      <c r="F323" s="76"/>
      <c r="G323" s="76"/>
      <c r="H323" s="76"/>
    </row>
    <row r="324" spans="1:15" ht="31.5" hidden="1" customHeight="1">
      <c r="A324" s="74" t="s">
        <v>223</v>
      </c>
      <c r="B324" s="75" t="s">
        <v>234</v>
      </c>
      <c r="C324" s="75" t="s">
        <v>426</v>
      </c>
      <c r="D324" s="75" t="s">
        <v>439</v>
      </c>
      <c r="E324" s="75" t="s">
        <v>224</v>
      </c>
      <c r="F324" s="76"/>
      <c r="G324" s="76"/>
      <c r="H324" s="76"/>
    </row>
    <row r="325" spans="1:15" ht="47.25" hidden="1" customHeight="1">
      <c r="A325" s="74" t="s">
        <v>225</v>
      </c>
      <c r="B325" s="75" t="s">
        <v>234</v>
      </c>
      <c r="C325" s="75" t="s">
        <v>426</v>
      </c>
      <c r="D325" s="75" t="s">
        <v>439</v>
      </c>
      <c r="E325" s="75" t="s">
        <v>226</v>
      </c>
      <c r="F325" s="76"/>
      <c r="G325" s="76"/>
      <c r="H325" s="76"/>
      <c r="O325" s="77"/>
    </row>
    <row r="326" spans="1:15" s="77" customFormat="1" ht="78.75" hidden="1" customHeight="1">
      <c r="A326" s="78" t="s">
        <v>440</v>
      </c>
      <c r="B326" s="79" t="s">
        <v>234</v>
      </c>
      <c r="C326" s="79" t="s">
        <v>426</v>
      </c>
      <c r="D326" s="79" t="s">
        <v>441</v>
      </c>
      <c r="E326" s="79" t="s">
        <v>206</v>
      </c>
      <c r="F326" s="80"/>
      <c r="G326" s="80"/>
      <c r="H326" s="80"/>
      <c r="O326" s="50"/>
    </row>
    <row r="327" spans="1:15" ht="141.75" hidden="1" customHeight="1">
      <c r="A327" s="78" t="s">
        <v>442</v>
      </c>
      <c r="B327" s="75" t="s">
        <v>234</v>
      </c>
      <c r="C327" s="75" t="s">
        <v>426</v>
      </c>
      <c r="D327" s="75" t="s">
        <v>443</v>
      </c>
      <c r="E327" s="75" t="s">
        <v>206</v>
      </c>
      <c r="F327" s="76"/>
      <c r="G327" s="76"/>
      <c r="H327" s="76"/>
    </row>
    <row r="328" spans="1:15" ht="31.5" hidden="1" customHeight="1">
      <c r="A328" s="74" t="s">
        <v>223</v>
      </c>
      <c r="B328" s="75" t="s">
        <v>234</v>
      </c>
      <c r="C328" s="75" t="s">
        <v>426</v>
      </c>
      <c r="D328" s="75" t="s">
        <v>443</v>
      </c>
      <c r="E328" s="75" t="s">
        <v>224</v>
      </c>
      <c r="F328" s="76"/>
      <c r="G328" s="76"/>
      <c r="H328" s="76"/>
    </row>
    <row r="329" spans="1:15" ht="47.25" hidden="1" customHeight="1">
      <c r="A329" s="74" t="s">
        <v>225</v>
      </c>
      <c r="B329" s="75" t="s">
        <v>234</v>
      </c>
      <c r="C329" s="75" t="s">
        <v>426</v>
      </c>
      <c r="D329" s="75" t="s">
        <v>443</v>
      </c>
      <c r="E329" s="75" t="s">
        <v>226</v>
      </c>
      <c r="F329" s="76"/>
      <c r="G329" s="76"/>
      <c r="H329" s="76"/>
    </row>
    <row r="330" spans="1:15" ht="141.75" hidden="1" customHeight="1">
      <c r="A330" s="78" t="s">
        <v>444</v>
      </c>
      <c r="B330" s="75" t="s">
        <v>234</v>
      </c>
      <c r="C330" s="75" t="s">
        <v>426</v>
      </c>
      <c r="D330" s="75" t="s">
        <v>443</v>
      </c>
      <c r="E330" s="75" t="s">
        <v>206</v>
      </c>
      <c r="F330" s="76"/>
      <c r="G330" s="76"/>
      <c r="H330" s="76"/>
    </row>
    <row r="331" spans="1:15" ht="31.5" hidden="1" customHeight="1">
      <c r="A331" s="74" t="s">
        <v>223</v>
      </c>
      <c r="B331" s="75" t="s">
        <v>234</v>
      </c>
      <c r="C331" s="75" t="s">
        <v>426</v>
      </c>
      <c r="D331" s="75" t="s">
        <v>443</v>
      </c>
      <c r="E331" s="75" t="s">
        <v>224</v>
      </c>
      <c r="F331" s="76"/>
      <c r="G331" s="76"/>
      <c r="H331" s="76"/>
    </row>
    <row r="332" spans="1:15" ht="47.25" hidden="1" customHeight="1">
      <c r="A332" s="74" t="s">
        <v>225</v>
      </c>
      <c r="B332" s="75" t="s">
        <v>234</v>
      </c>
      <c r="C332" s="75" t="s">
        <v>426</v>
      </c>
      <c r="D332" s="75" t="s">
        <v>443</v>
      </c>
      <c r="E332" s="75" t="s">
        <v>226</v>
      </c>
      <c r="F332" s="76"/>
      <c r="G332" s="76"/>
      <c r="H332" s="76"/>
      <c r="O332" s="77"/>
    </row>
    <row r="333" spans="1:15" s="77" customFormat="1" ht="68.25" customHeight="1">
      <c r="A333" s="78" t="s">
        <v>445</v>
      </c>
      <c r="B333" s="79" t="s">
        <v>234</v>
      </c>
      <c r="C333" s="79" t="s">
        <v>426</v>
      </c>
      <c r="D333" s="79" t="s">
        <v>446</v>
      </c>
      <c r="E333" s="79" t="s">
        <v>206</v>
      </c>
      <c r="F333" s="80">
        <f t="shared" ref="F333:F334" si="71">F334</f>
        <v>1470.9373399999999</v>
      </c>
      <c r="G333" s="80">
        <f t="shared" ref="G333:H334" si="72">G334</f>
        <v>0</v>
      </c>
      <c r="H333" s="80">
        <f t="shared" si="72"/>
        <v>0</v>
      </c>
      <c r="O333" s="50"/>
    </row>
    <row r="334" spans="1:15" ht="32.25" customHeight="1">
      <c r="A334" s="74" t="s">
        <v>223</v>
      </c>
      <c r="B334" s="75" t="s">
        <v>234</v>
      </c>
      <c r="C334" s="75" t="s">
        <v>426</v>
      </c>
      <c r="D334" s="75" t="s">
        <v>446</v>
      </c>
      <c r="E334" s="75" t="s">
        <v>224</v>
      </c>
      <c r="F334" s="76">
        <f t="shared" si="71"/>
        <v>1470.9373399999999</v>
      </c>
      <c r="G334" s="76">
        <f t="shared" si="72"/>
        <v>0</v>
      </c>
      <c r="H334" s="76">
        <f t="shared" si="72"/>
        <v>0</v>
      </c>
    </row>
    <row r="335" spans="1:15" ht="48.6" customHeight="1">
      <c r="A335" s="74" t="s">
        <v>225</v>
      </c>
      <c r="B335" s="75" t="s">
        <v>234</v>
      </c>
      <c r="C335" s="75" t="s">
        <v>426</v>
      </c>
      <c r="D335" s="75" t="s">
        <v>446</v>
      </c>
      <c r="E335" s="75" t="s">
        <v>226</v>
      </c>
      <c r="F335" s="76">
        <f>'5'!D261</f>
        <v>1470.9373399999999</v>
      </c>
      <c r="G335" s="76">
        <f>'5'!E261</f>
        <v>0</v>
      </c>
      <c r="H335" s="76">
        <f>'5'!F261</f>
        <v>0</v>
      </c>
      <c r="O335" s="116"/>
    </row>
    <row r="336" spans="1:15" ht="99" customHeight="1">
      <c r="A336" s="78" t="s">
        <v>447</v>
      </c>
      <c r="B336" s="75" t="s">
        <v>234</v>
      </c>
      <c r="C336" s="75" t="s">
        <v>426</v>
      </c>
      <c r="D336" s="79" t="s">
        <v>448</v>
      </c>
      <c r="E336" s="79" t="s">
        <v>206</v>
      </c>
      <c r="F336" s="80">
        <f t="shared" ref="F336:F337" si="73">F337</f>
        <v>167.38</v>
      </c>
      <c r="G336" s="80">
        <f t="shared" ref="G336:H337" si="74">G337</f>
        <v>0</v>
      </c>
      <c r="H336" s="80">
        <f t="shared" si="74"/>
        <v>0</v>
      </c>
      <c r="O336" s="116"/>
    </row>
    <row r="337" spans="1:15" ht="38.25" customHeight="1">
      <c r="A337" s="74" t="s">
        <v>223</v>
      </c>
      <c r="B337" s="75" t="s">
        <v>234</v>
      </c>
      <c r="C337" s="75" t="s">
        <v>426</v>
      </c>
      <c r="D337" s="75" t="s">
        <v>448</v>
      </c>
      <c r="E337" s="75" t="s">
        <v>224</v>
      </c>
      <c r="F337" s="76">
        <f t="shared" si="73"/>
        <v>167.38</v>
      </c>
      <c r="G337" s="76">
        <f t="shared" si="74"/>
        <v>0</v>
      </c>
      <c r="H337" s="76">
        <f t="shared" si="74"/>
        <v>0</v>
      </c>
      <c r="O337" s="116"/>
    </row>
    <row r="338" spans="1:15" ht="48.6" customHeight="1">
      <c r="A338" s="74" t="s">
        <v>225</v>
      </c>
      <c r="B338" s="75" t="s">
        <v>234</v>
      </c>
      <c r="C338" s="75" t="s">
        <v>426</v>
      </c>
      <c r="D338" s="75" t="s">
        <v>448</v>
      </c>
      <c r="E338" s="75" t="s">
        <v>226</v>
      </c>
      <c r="F338" s="76">
        <f>'5'!D262</f>
        <v>167.38</v>
      </c>
      <c r="G338" s="76">
        <f>'5'!E262</f>
        <v>0</v>
      </c>
      <c r="H338" s="76">
        <f>'5'!F262</f>
        <v>0</v>
      </c>
      <c r="O338" s="116"/>
    </row>
    <row r="339" spans="1:15" s="116" customFormat="1" ht="32.25" customHeight="1">
      <c r="A339" s="117" t="s">
        <v>449</v>
      </c>
      <c r="B339" s="62" t="s">
        <v>236</v>
      </c>
      <c r="C339" s="62" t="s">
        <v>204</v>
      </c>
      <c r="D339" s="62" t="s">
        <v>205</v>
      </c>
      <c r="E339" s="62" t="s">
        <v>206</v>
      </c>
      <c r="F339" s="63">
        <f>F340+F372+F393</f>
        <v>8846.1227500000005</v>
      </c>
      <c r="G339" s="63">
        <f>G340+G372+G393</f>
        <v>227.51564999999999</v>
      </c>
      <c r="H339" s="63">
        <f>H340+H372+H393</f>
        <v>207.61626999999999</v>
      </c>
      <c r="I339" s="118"/>
      <c r="J339" s="118"/>
      <c r="K339" s="118"/>
      <c r="O339" s="126"/>
    </row>
    <row r="340" spans="1:15" s="126" customFormat="1" ht="16.5" customHeight="1">
      <c r="A340" s="66" t="s">
        <v>450</v>
      </c>
      <c r="B340" s="67" t="s">
        <v>236</v>
      </c>
      <c r="C340" s="67" t="s">
        <v>208</v>
      </c>
      <c r="D340" s="67" t="s">
        <v>205</v>
      </c>
      <c r="E340" s="67" t="s">
        <v>206</v>
      </c>
      <c r="F340" s="68">
        <f>F345+F357+F358+F366+F370</f>
        <v>2896.52585</v>
      </c>
      <c r="G340" s="68">
        <f t="shared" ref="G340:H340" si="75">G345+G357+G358+G366+G370</f>
        <v>125</v>
      </c>
      <c r="H340" s="68">
        <f t="shared" si="75"/>
        <v>105</v>
      </c>
      <c r="O340" s="50"/>
    </row>
    <row r="341" spans="1:15" ht="17.25" customHeight="1">
      <c r="A341" s="70" t="s">
        <v>451</v>
      </c>
      <c r="B341" s="71" t="s">
        <v>236</v>
      </c>
      <c r="C341" s="71" t="s">
        <v>208</v>
      </c>
      <c r="D341" s="71" t="s">
        <v>452</v>
      </c>
      <c r="E341" s="71" t="s">
        <v>206</v>
      </c>
      <c r="F341" s="72">
        <f>F342+F345</f>
        <v>1285</v>
      </c>
      <c r="G341" s="72">
        <f>G342+G345</f>
        <v>85</v>
      </c>
      <c r="H341" s="72">
        <f>H342+H345</f>
        <v>85</v>
      </c>
    </row>
    <row r="342" spans="1:15" ht="31.5" hidden="1" customHeight="1">
      <c r="A342" s="70" t="s">
        <v>453</v>
      </c>
      <c r="B342" s="71" t="s">
        <v>236</v>
      </c>
      <c r="C342" s="71" t="s">
        <v>208</v>
      </c>
      <c r="D342" s="71" t="s">
        <v>452</v>
      </c>
      <c r="E342" s="71" t="s">
        <v>206</v>
      </c>
      <c r="F342" s="72">
        <f t="shared" ref="F342:H346" si="76">F343</f>
        <v>0</v>
      </c>
      <c r="G342" s="72">
        <f t="shared" si="76"/>
        <v>0</v>
      </c>
      <c r="H342" s="72">
        <f t="shared" si="76"/>
        <v>0</v>
      </c>
    </row>
    <row r="343" spans="1:15" ht="31.5" hidden="1" customHeight="1">
      <c r="A343" s="70" t="s">
        <v>223</v>
      </c>
      <c r="B343" s="71" t="s">
        <v>236</v>
      </c>
      <c r="C343" s="71" t="s">
        <v>208</v>
      </c>
      <c r="D343" s="71" t="s">
        <v>452</v>
      </c>
      <c r="E343" s="71" t="s">
        <v>224</v>
      </c>
      <c r="F343" s="72">
        <f t="shared" si="76"/>
        <v>0</v>
      </c>
      <c r="G343" s="72">
        <f t="shared" si="76"/>
        <v>0</v>
      </c>
      <c r="H343" s="72">
        <f t="shared" si="76"/>
        <v>0</v>
      </c>
    </row>
    <row r="344" spans="1:15" ht="47.25" hidden="1" customHeight="1">
      <c r="A344" s="70" t="s">
        <v>225</v>
      </c>
      <c r="B344" s="71" t="s">
        <v>236</v>
      </c>
      <c r="C344" s="71" t="s">
        <v>208</v>
      </c>
      <c r="D344" s="71" t="s">
        <v>452</v>
      </c>
      <c r="E344" s="71" t="s">
        <v>226</v>
      </c>
      <c r="F344" s="72">
        <v>0</v>
      </c>
      <c r="G344" s="72">
        <v>0</v>
      </c>
      <c r="H344" s="72">
        <v>0</v>
      </c>
    </row>
    <row r="345" spans="1:15" ht="33" customHeight="1">
      <c r="A345" s="74" t="s">
        <v>454</v>
      </c>
      <c r="B345" s="75" t="s">
        <v>236</v>
      </c>
      <c r="C345" s="75" t="s">
        <v>208</v>
      </c>
      <c r="D345" s="75" t="s">
        <v>455</v>
      </c>
      <c r="E345" s="75" t="s">
        <v>206</v>
      </c>
      <c r="F345" s="76">
        <f t="shared" si="76"/>
        <v>1285</v>
      </c>
      <c r="G345" s="76">
        <f t="shared" si="76"/>
        <v>85</v>
      </c>
      <c r="H345" s="76">
        <f t="shared" si="76"/>
        <v>85</v>
      </c>
    </row>
    <row r="346" spans="1:15" ht="31.5" customHeight="1">
      <c r="A346" s="74" t="s">
        <v>223</v>
      </c>
      <c r="B346" s="75" t="s">
        <v>236</v>
      </c>
      <c r="C346" s="75" t="s">
        <v>208</v>
      </c>
      <c r="D346" s="75" t="s">
        <v>455</v>
      </c>
      <c r="E346" s="75" t="s">
        <v>224</v>
      </c>
      <c r="F346" s="76">
        <f t="shared" si="76"/>
        <v>1285</v>
      </c>
      <c r="G346" s="76">
        <f t="shared" si="76"/>
        <v>85</v>
      </c>
      <c r="H346" s="76">
        <f t="shared" si="76"/>
        <v>85</v>
      </c>
    </row>
    <row r="347" spans="1:15" ht="50.25" customHeight="1">
      <c r="A347" s="74" t="s">
        <v>225</v>
      </c>
      <c r="B347" s="75" t="s">
        <v>236</v>
      </c>
      <c r="C347" s="75" t="s">
        <v>208</v>
      </c>
      <c r="D347" s="75" t="s">
        <v>455</v>
      </c>
      <c r="E347" s="75" t="s">
        <v>226</v>
      </c>
      <c r="F347" s="76">
        <f>'5'!D290</f>
        <v>1285</v>
      </c>
      <c r="G347" s="76">
        <f>'5'!E290</f>
        <v>85</v>
      </c>
      <c r="H347" s="76">
        <f>'5'!F290</f>
        <v>85</v>
      </c>
      <c r="O347" s="77"/>
    </row>
    <row r="348" spans="1:15" s="77" customFormat="1" ht="15.75" hidden="1" customHeight="1">
      <c r="A348" s="78" t="s">
        <v>456</v>
      </c>
      <c r="B348" s="75" t="s">
        <v>236</v>
      </c>
      <c r="C348" s="75" t="s">
        <v>208</v>
      </c>
      <c r="D348" s="75" t="s">
        <v>457</v>
      </c>
      <c r="E348" s="75" t="s">
        <v>206</v>
      </c>
      <c r="F348" s="80">
        <f t="shared" ref="F348:H349" si="77">F349</f>
        <v>0</v>
      </c>
      <c r="G348" s="80">
        <f t="shared" si="77"/>
        <v>0</v>
      </c>
      <c r="H348" s="80">
        <f t="shared" si="77"/>
        <v>0</v>
      </c>
      <c r="O348" s="50"/>
    </row>
    <row r="349" spans="1:15" ht="31.5" hidden="1" customHeight="1">
      <c r="A349" s="74" t="s">
        <v>223</v>
      </c>
      <c r="B349" s="75" t="s">
        <v>236</v>
      </c>
      <c r="C349" s="75" t="s">
        <v>208</v>
      </c>
      <c r="D349" s="75" t="s">
        <v>457</v>
      </c>
      <c r="E349" s="75" t="s">
        <v>224</v>
      </c>
      <c r="F349" s="76">
        <f t="shared" si="77"/>
        <v>0</v>
      </c>
      <c r="G349" s="76">
        <f t="shared" si="77"/>
        <v>0</v>
      </c>
      <c r="H349" s="76">
        <f t="shared" si="77"/>
        <v>0</v>
      </c>
    </row>
    <row r="350" spans="1:15" ht="47.25" hidden="1" customHeight="1">
      <c r="A350" s="74" t="s">
        <v>225</v>
      </c>
      <c r="B350" s="75" t="s">
        <v>236</v>
      </c>
      <c r="C350" s="75" t="s">
        <v>208</v>
      </c>
      <c r="D350" s="75" t="s">
        <v>457</v>
      </c>
      <c r="E350" s="75" t="s">
        <v>226</v>
      </c>
      <c r="F350" s="76">
        <f>266-266</f>
        <v>0</v>
      </c>
      <c r="G350" s="76">
        <v>0</v>
      </c>
      <c r="H350" s="76">
        <v>0</v>
      </c>
    </row>
    <row r="351" spans="1:15" ht="47.25" hidden="1" customHeight="1">
      <c r="A351" s="78" t="s">
        <v>307</v>
      </c>
      <c r="B351" s="79" t="s">
        <v>236</v>
      </c>
      <c r="C351" s="79" t="s">
        <v>208</v>
      </c>
      <c r="D351" s="79" t="s">
        <v>308</v>
      </c>
      <c r="E351" s="79" t="s">
        <v>206</v>
      </c>
      <c r="F351" s="80">
        <f t="shared" ref="F351:H355" si="78">F352</f>
        <v>0</v>
      </c>
      <c r="G351" s="80">
        <f t="shared" si="78"/>
        <v>0</v>
      </c>
      <c r="H351" s="80">
        <f t="shared" si="78"/>
        <v>0</v>
      </c>
    </row>
    <row r="352" spans="1:15" ht="31.5" hidden="1" customHeight="1">
      <c r="A352" s="74" t="s">
        <v>223</v>
      </c>
      <c r="B352" s="75" t="s">
        <v>236</v>
      </c>
      <c r="C352" s="75" t="s">
        <v>208</v>
      </c>
      <c r="D352" s="75" t="s">
        <v>308</v>
      </c>
      <c r="E352" s="75" t="s">
        <v>224</v>
      </c>
      <c r="F352" s="76">
        <f t="shared" si="78"/>
        <v>0</v>
      </c>
      <c r="G352" s="76">
        <f t="shared" si="78"/>
        <v>0</v>
      </c>
      <c r="H352" s="76">
        <f t="shared" si="78"/>
        <v>0</v>
      </c>
    </row>
    <row r="353" spans="1:15" ht="47.25" hidden="1" customHeight="1">
      <c r="A353" s="74" t="s">
        <v>225</v>
      </c>
      <c r="B353" s="75" t="s">
        <v>236</v>
      </c>
      <c r="C353" s="75" t="s">
        <v>208</v>
      </c>
      <c r="D353" s="75" t="s">
        <v>308</v>
      </c>
      <c r="E353" s="75" t="s">
        <v>226</v>
      </c>
      <c r="F353" s="76"/>
      <c r="G353" s="76"/>
      <c r="H353" s="76"/>
    </row>
    <row r="354" spans="1:15" ht="81.75" customHeight="1">
      <c r="A354" s="78" t="s">
        <v>458</v>
      </c>
      <c r="B354" s="79" t="s">
        <v>236</v>
      </c>
      <c r="C354" s="79" t="s">
        <v>208</v>
      </c>
      <c r="D354" s="79" t="s">
        <v>459</v>
      </c>
      <c r="E354" s="79" t="s">
        <v>206</v>
      </c>
      <c r="F354" s="80">
        <f t="shared" si="78"/>
        <v>1471.52585</v>
      </c>
      <c r="G354" s="80">
        <f t="shared" si="78"/>
        <v>0</v>
      </c>
      <c r="H354" s="80">
        <f t="shared" si="78"/>
        <v>0</v>
      </c>
    </row>
    <row r="355" spans="1:15" ht="63" customHeight="1">
      <c r="A355" s="74" t="s">
        <v>460</v>
      </c>
      <c r="B355" s="75" t="s">
        <v>236</v>
      </c>
      <c r="C355" s="75" t="s">
        <v>208</v>
      </c>
      <c r="D355" s="75" t="s">
        <v>459</v>
      </c>
      <c r="E355" s="75" t="s">
        <v>206</v>
      </c>
      <c r="F355" s="76">
        <f t="shared" si="78"/>
        <v>1471.52585</v>
      </c>
      <c r="G355" s="76">
        <f t="shared" si="78"/>
        <v>0</v>
      </c>
      <c r="H355" s="76">
        <f t="shared" si="78"/>
        <v>0</v>
      </c>
    </row>
    <row r="356" spans="1:15" ht="24" customHeight="1">
      <c r="A356" s="74" t="s">
        <v>229</v>
      </c>
      <c r="B356" s="75" t="s">
        <v>236</v>
      </c>
      <c r="C356" s="75" t="s">
        <v>208</v>
      </c>
      <c r="D356" s="75" t="s">
        <v>459</v>
      </c>
      <c r="E356" s="75" t="s">
        <v>230</v>
      </c>
      <c r="F356" s="76">
        <f>F358+F357</f>
        <v>1471.52585</v>
      </c>
      <c r="G356" s="76">
        <f>G358+G357</f>
        <v>0</v>
      </c>
      <c r="H356" s="76">
        <f>H358+H357</f>
        <v>0</v>
      </c>
    </row>
    <row r="357" spans="1:15" ht="69" customHeight="1">
      <c r="A357" s="74" t="s">
        <v>461</v>
      </c>
      <c r="B357" s="75" t="s">
        <v>236</v>
      </c>
      <c r="C357" s="75" t="s">
        <v>208</v>
      </c>
      <c r="D357" s="75" t="s">
        <v>462</v>
      </c>
      <c r="E357" s="75" t="s">
        <v>396</v>
      </c>
      <c r="F357" s="76">
        <f>'5'!D236</f>
        <v>1456.81059</v>
      </c>
      <c r="G357" s="76">
        <f>'5'!E236</f>
        <v>0</v>
      </c>
      <c r="H357" s="76">
        <f>'5'!F236</f>
        <v>0</v>
      </c>
    </row>
    <row r="358" spans="1:15" ht="69.75" customHeight="1">
      <c r="A358" s="74" t="s">
        <v>463</v>
      </c>
      <c r="B358" s="75" t="s">
        <v>236</v>
      </c>
      <c r="C358" s="75" t="s">
        <v>208</v>
      </c>
      <c r="D358" s="75" t="s">
        <v>464</v>
      </c>
      <c r="E358" s="75" t="s">
        <v>396</v>
      </c>
      <c r="F358" s="76">
        <f>'5'!D237</f>
        <v>14.715260000000001</v>
      </c>
      <c r="G358" s="76">
        <f>'5'!E237</f>
        <v>0</v>
      </c>
      <c r="H358" s="76">
        <f>'5'!F237</f>
        <v>0</v>
      </c>
    </row>
    <row r="359" spans="1:15" ht="78.75" hidden="1" customHeight="1">
      <c r="A359" s="78" t="s">
        <v>458</v>
      </c>
      <c r="B359" s="79" t="s">
        <v>236</v>
      </c>
      <c r="C359" s="79" t="s">
        <v>208</v>
      </c>
      <c r="D359" s="79" t="s">
        <v>459</v>
      </c>
      <c r="E359" s="79" t="s">
        <v>206</v>
      </c>
      <c r="F359" s="80">
        <f t="shared" ref="F359:F360" si="79">F360</f>
        <v>0</v>
      </c>
      <c r="G359" s="80">
        <f>G361</f>
        <v>0</v>
      </c>
      <c r="H359" s="80">
        <f t="shared" ref="H359:H360" si="80">H360</f>
        <v>0</v>
      </c>
    </row>
    <row r="360" spans="1:15" ht="63" hidden="1" customHeight="1">
      <c r="A360" s="74" t="s">
        <v>460</v>
      </c>
      <c r="B360" s="75" t="s">
        <v>236</v>
      </c>
      <c r="C360" s="75" t="s">
        <v>208</v>
      </c>
      <c r="D360" s="75" t="s">
        <v>459</v>
      </c>
      <c r="E360" s="75" t="s">
        <v>206</v>
      </c>
      <c r="F360" s="76">
        <f t="shared" si="79"/>
        <v>0</v>
      </c>
      <c r="G360" s="76">
        <f>G361</f>
        <v>0</v>
      </c>
      <c r="H360" s="76">
        <f t="shared" si="80"/>
        <v>0</v>
      </c>
    </row>
    <row r="361" spans="1:15" ht="15.75" hidden="1" customHeight="1">
      <c r="A361" s="74" t="s">
        <v>229</v>
      </c>
      <c r="B361" s="75" t="s">
        <v>236</v>
      </c>
      <c r="C361" s="75" t="s">
        <v>208</v>
      </c>
      <c r="D361" s="75" t="s">
        <v>459</v>
      </c>
      <c r="E361" s="75" t="s">
        <v>230</v>
      </c>
      <c r="F361" s="76">
        <f>F362+F363</f>
        <v>0</v>
      </c>
      <c r="G361" s="76">
        <f t="shared" ref="G361:H361" si="81">G362+G363</f>
        <v>0</v>
      </c>
      <c r="H361" s="76">
        <f t="shared" si="81"/>
        <v>0</v>
      </c>
    </row>
    <row r="362" spans="1:15" ht="63" hidden="1" customHeight="1">
      <c r="A362" s="74" t="s">
        <v>461</v>
      </c>
      <c r="B362" s="75" t="s">
        <v>236</v>
      </c>
      <c r="C362" s="75" t="s">
        <v>208</v>
      </c>
      <c r="D362" s="75" t="s">
        <v>462</v>
      </c>
      <c r="E362" s="75" t="s">
        <v>396</v>
      </c>
      <c r="F362" s="76">
        <v>0</v>
      </c>
      <c r="G362" s="76">
        <v>0</v>
      </c>
      <c r="H362" s="76">
        <v>0</v>
      </c>
    </row>
    <row r="363" spans="1:15" ht="63" hidden="1" customHeight="1">
      <c r="A363" s="74" t="s">
        <v>463</v>
      </c>
      <c r="B363" s="75" t="s">
        <v>236</v>
      </c>
      <c r="C363" s="75" t="s">
        <v>208</v>
      </c>
      <c r="D363" s="75" t="s">
        <v>464</v>
      </c>
      <c r="E363" s="75" t="s">
        <v>396</v>
      </c>
      <c r="F363" s="76">
        <v>0</v>
      </c>
      <c r="G363" s="76">
        <v>0</v>
      </c>
      <c r="H363" s="76">
        <v>0</v>
      </c>
    </row>
    <row r="364" spans="1:15" ht="33" customHeight="1">
      <c r="A364" s="78" t="s">
        <v>209</v>
      </c>
      <c r="B364" s="79" t="s">
        <v>236</v>
      </c>
      <c r="C364" s="79" t="s">
        <v>208</v>
      </c>
      <c r="D364" s="79" t="s">
        <v>210</v>
      </c>
      <c r="E364" s="79" t="s">
        <v>206</v>
      </c>
      <c r="F364" s="80">
        <f t="shared" ref="F364:H367" si="82">F365</f>
        <v>120</v>
      </c>
      <c r="G364" s="80">
        <f t="shared" si="82"/>
        <v>20</v>
      </c>
      <c r="H364" s="80">
        <f t="shared" si="82"/>
        <v>20</v>
      </c>
    </row>
    <row r="365" spans="1:15" ht="54" customHeight="1">
      <c r="A365" s="74" t="s">
        <v>211</v>
      </c>
      <c r="B365" s="75" t="s">
        <v>236</v>
      </c>
      <c r="C365" s="75" t="s">
        <v>208</v>
      </c>
      <c r="D365" s="75" t="s">
        <v>212</v>
      </c>
      <c r="E365" s="75" t="s">
        <v>206</v>
      </c>
      <c r="F365" s="76">
        <f t="shared" si="82"/>
        <v>120</v>
      </c>
      <c r="G365" s="76">
        <f t="shared" si="82"/>
        <v>20</v>
      </c>
      <c r="H365" s="76">
        <f t="shared" si="82"/>
        <v>20</v>
      </c>
    </row>
    <row r="366" spans="1:15" ht="113.25" customHeight="1">
      <c r="A366" s="104" t="s">
        <v>465</v>
      </c>
      <c r="B366" s="105" t="s">
        <v>236</v>
      </c>
      <c r="C366" s="105" t="s">
        <v>208</v>
      </c>
      <c r="D366" s="105" t="s">
        <v>466</v>
      </c>
      <c r="E366" s="105" t="s">
        <v>206</v>
      </c>
      <c r="F366" s="106">
        <f t="shared" si="82"/>
        <v>120</v>
      </c>
      <c r="G366" s="106">
        <f t="shared" si="82"/>
        <v>20</v>
      </c>
      <c r="H366" s="106">
        <f t="shared" si="82"/>
        <v>20</v>
      </c>
    </row>
    <row r="367" spans="1:15" ht="36" customHeight="1">
      <c r="A367" s="74" t="s">
        <v>223</v>
      </c>
      <c r="B367" s="75" t="s">
        <v>236</v>
      </c>
      <c r="C367" s="75" t="s">
        <v>208</v>
      </c>
      <c r="D367" s="75" t="s">
        <v>466</v>
      </c>
      <c r="E367" s="75" t="s">
        <v>224</v>
      </c>
      <c r="F367" s="76">
        <f t="shared" si="82"/>
        <v>120</v>
      </c>
      <c r="G367" s="76">
        <f t="shared" si="82"/>
        <v>20</v>
      </c>
      <c r="H367" s="76">
        <f t="shared" si="82"/>
        <v>20</v>
      </c>
    </row>
    <row r="368" spans="1:15" ht="52.5" customHeight="1">
      <c r="A368" s="74" t="s">
        <v>225</v>
      </c>
      <c r="B368" s="75" t="s">
        <v>236</v>
      </c>
      <c r="C368" s="75" t="s">
        <v>208</v>
      </c>
      <c r="D368" s="75" t="s">
        <v>466</v>
      </c>
      <c r="E368" s="75" t="s">
        <v>226</v>
      </c>
      <c r="F368" s="76">
        <f>'5'!D307</f>
        <v>120</v>
      </c>
      <c r="G368" s="76">
        <f>'5'!E307</f>
        <v>20</v>
      </c>
      <c r="H368" s="76">
        <f>'5'!F307</f>
        <v>20</v>
      </c>
      <c r="O368" s="77"/>
    </row>
    <row r="369" spans="1:15" s="77" customFormat="1" ht="81" customHeight="1">
      <c r="A369" s="78" t="s">
        <v>467</v>
      </c>
      <c r="B369" s="79" t="s">
        <v>236</v>
      </c>
      <c r="C369" s="79" t="s">
        <v>208</v>
      </c>
      <c r="D369" s="79" t="s">
        <v>468</v>
      </c>
      <c r="E369" s="79" t="s">
        <v>206</v>
      </c>
      <c r="F369" s="80">
        <f t="shared" ref="F369:H370" si="83">F370</f>
        <v>20</v>
      </c>
      <c r="G369" s="80">
        <f t="shared" si="83"/>
        <v>20</v>
      </c>
      <c r="H369" s="80">
        <f t="shared" si="83"/>
        <v>0</v>
      </c>
      <c r="O369" s="50"/>
    </row>
    <row r="370" spans="1:15" ht="36.75" customHeight="1">
      <c r="A370" s="74" t="s">
        <v>223</v>
      </c>
      <c r="B370" s="75" t="s">
        <v>236</v>
      </c>
      <c r="C370" s="75" t="s">
        <v>208</v>
      </c>
      <c r="D370" s="75" t="s">
        <v>469</v>
      </c>
      <c r="E370" s="75" t="s">
        <v>224</v>
      </c>
      <c r="F370" s="76">
        <f t="shared" si="83"/>
        <v>20</v>
      </c>
      <c r="G370" s="76">
        <f t="shared" si="83"/>
        <v>20</v>
      </c>
      <c r="H370" s="76">
        <f t="shared" si="83"/>
        <v>0</v>
      </c>
    </row>
    <row r="371" spans="1:15" ht="52.5" customHeight="1">
      <c r="A371" s="74" t="s">
        <v>225</v>
      </c>
      <c r="B371" s="75" t="s">
        <v>236</v>
      </c>
      <c r="C371" s="75" t="s">
        <v>208</v>
      </c>
      <c r="D371" s="75" t="s">
        <v>469</v>
      </c>
      <c r="E371" s="75" t="s">
        <v>226</v>
      </c>
      <c r="F371" s="76">
        <f>'5'!D220</f>
        <v>20</v>
      </c>
      <c r="G371" s="76">
        <f>'5'!E220</f>
        <v>20</v>
      </c>
      <c r="H371" s="76">
        <f>'5'!F220</f>
        <v>0</v>
      </c>
      <c r="O371" s="77"/>
    </row>
    <row r="372" spans="1:15" s="77" customFormat="1" ht="21" customHeight="1">
      <c r="A372" s="66" t="s">
        <v>470</v>
      </c>
      <c r="B372" s="67" t="s">
        <v>236</v>
      </c>
      <c r="C372" s="67" t="s">
        <v>220</v>
      </c>
      <c r="D372" s="67" t="s">
        <v>205</v>
      </c>
      <c r="E372" s="67" t="s">
        <v>206</v>
      </c>
      <c r="F372" s="68">
        <f>F374+F376+F379+F384</f>
        <v>5947.1779999999999</v>
      </c>
      <c r="G372" s="68">
        <f t="shared" ref="G372:H372" si="84">G374+G379+G384</f>
        <v>100</v>
      </c>
      <c r="H372" s="68">
        <f t="shared" si="84"/>
        <v>100</v>
      </c>
      <c r="O372" s="50"/>
    </row>
    <row r="373" spans="1:15" ht="17.25" customHeight="1">
      <c r="A373" s="78" t="s">
        <v>471</v>
      </c>
      <c r="B373" s="79" t="s">
        <v>236</v>
      </c>
      <c r="C373" s="79" t="s">
        <v>220</v>
      </c>
      <c r="D373" s="79" t="s">
        <v>472</v>
      </c>
      <c r="E373" s="79" t="s">
        <v>206</v>
      </c>
      <c r="F373" s="80">
        <f t="shared" ref="F373:H374" si="85">F374</f>
        <v>90</v>
      </c>
      <c r="G373" s="80">
        <f t="shared" si="85"/>
        <v>50</v>
      </c>
      <c r="H373" s="80">
        <f t="shared" si="85"/>
        <v>50</v>
      </c>
    </row>
    <row r="374" spans="1:15" ht="34.5" customHeight="1">
      <c r="A374" s="74" t="s">
        <v>223</v>
      </c>
      <c r="B374" s="75" t="s">
        <v>236</v>
      </c>
      <c r="C374" s="75" t="s">
        <v>220</v>
      </c>
      <c r="D374" s="75" t="s">
        <v>472</v>
      </c>
      <c r="E374" s="75" t="s">
        <v>224</v>
      </c>
      <c r="F374" s="76">
        <f t="shared" si="85"/>
        <v>90</v>
      </c>
      <c r="G374" s="76">
        <f t="shared" si="85"/>
        <v>50</v>
      </c>
      <c r="H374" s="76">
        <f t="shared" si="85"/>
        <v>50</v>
      </c>
    </row>
    <row r="375" spans="1:15" ht="49.5" customHeight="1">
      <c r="A375" s="74" t="s">
        <v>225</v>
      </c>
      <c r="B375" s="75" t="s">
        <v>236</v>
      </c>
      <c r="C375" s="75" t="s">
        <v>220</v>
      </c>
      <c r="D375" s="75" t="s">
        <v>472</v>
      </c>
      <c r="E375" s="75" t="s">
        <v>226</v>
      </c>
      <c r="F375" s="76">
        <f>'5'!D283</f>
        <v>90</v>
      </c>
      <c r="G375" s="76">
        <f>'5'!E283</f>
        <v>50</v>
      </c>
      <c r="H375" s="76">
        <f>'5'!F283</f>
        <v>50</v>
      </c>
    </row>
    <row r="376" spans="1:15" ht="102.75" customHeight="1">
      <c r="A376" s="70" t="s">
        <v>473</v>
      </c>
      <c r="B376" s="75" t="s">
        <v>236</v>
      </c>
      <c r="C376" s="75" t="s">
        <v>220</v>
      </c>
      <c r="D376" s="75" t="s">
        <v>474</v>
      </c>
      <c r="E376" s="75" t="s">
        <v>206</v>
      </c>
      <c r="F376" s="76">
        <f t="shared" ref="F376:F377" si="86">F377</f>
        <v>897.17800000000011</v>
      </c>
      <c r="G376" s="76">
        <f t="shared" ref="G376:H377" si="87">G377</f>
        <v>0</v>
      </c>
      <c r="H376" s="76">
        <f t="shared" si="87"/>
        <v>0</v>
      </c>
    </row>
    <row r="377" spans="1:15" ht="35.25" customHeight="1">
      <c r="A377" s="74" t="s">
        <v>223</v>
      </c>
      <c r="B377" s="75" t="s">
        <v>236</v>
      </c>
      <c r="C377" s="75" t="s">
        <v>220</v>
      </c>
      <c r="D377" s="75" t="s">
        <v>474</v>
      </c>
      <c r="E377" s="75" t="s">
        <v>224</v>
      </c>
      <c r="F377" s="76">
        <f t="shared" si="86"/>
        <v>897.17800000000011</v>
      </c>
      <c r="G377" s="76">
        <f t="shared" si="87"/>
        <v>0</v>
      </c>
      <c r="H377" s="76">
        <f t="shared" si="87"/>
        <v>0</v>
      </c>
    </row>
    <row r="378" spans="1:15" ht="49.5" customHeight="1">
      <c r="A378" s="74" t="s">
        <v>225</v>
      </c>
      <c r="B378" s="75" t="s">
        <v>236</v>
      </c>
      <c r="C378" s="75" t="s">
        <v>220</v>
      </c>
      <c r="D378" s="75" t="s">
        <v>474</v>
      </c>
      <c r="E378" s="75" t="s">
        <v>226</v>
      </c>
      <c r="F378" s="76">
        <f>'4'!G323</f>
        <v>897.17800000000011</v>
      </c>
      <c r="G378" s="76">
        <f>'4'!H323</f>
        <v>0</v>
      </c>
      <c r="H378" s="76">
        <f>'4'!I323</f>
        <v>0</v>
      </c>
    </row>
    <row r="379" spans="1:15" ht="17.25" customHeight="1">
      <c r="A379" s="74" t="s">
        <v>456</v>
      </c>
      <c r="B379" s="75" t="s">
        <v>236</v>
      </c>
      <c r="C379" s="75" t="s">
        <v>220</v>
      </c>
      <c r="D379" s="75" t="s">
        <v>457</v>
      </c>
      <c r="E379" s="75" t="s">
        <v>206</v>
      </c>
      <c r="F379" s="76">
        <f>F380+F382</f>
        <v>350</v>
      </c>
      <c r="G379" s="76">
        <f>G380+G382</f>
        <v>50</v>
      </c>
      <c r="H379" s="76">
        <f>H380+H382</f>
        <v>50</v>
      </c>
    </row>
    <row r="380" spans="1:15" ht="37.5" customHeight="1">
      <c r="A380" s="74" t="s">
        <v>223</v>
      </c>
      <c r="B380" s="75" t="s">
        <v>236</v>
      </c>
      <c r="C380" s="75" t="s">
        <v>220</v>
      </c>
      <c r="D380" s="75" t="s">
        <v>457</v>
      </c>
      <c r="E380" s="75" t="s">
        <v>224</v>
      </c>
      <c r="F380" s="76">
        <f>F381</f>
        <v>350</v>
      </c>
      <c r="G380" s="76">
        <f>G381</f>
        <v>50</v>
      </c>
      <c r="H380" s="76">
        <f>H381</f>
        <v>50</v>
      </c>
    </row>
    <row r="381" spans="1:15" ht="48" customHeight="1">
      <c r="A381" s="74" t="s">
        <v>225</v>
      </c>
      <c r="B381" s="75" t="s">
        <v>236</v>
      </c>
      <c r="C381" s="75" t="s">
        <v>220</v>
      </c>
      <c r="D381" s="75" t="s">
        <v>457</v>
      </c>
      <c r="E381" s="75" t="s">
        <v>226</v>
      </c>
      <c r="F381" s="36">
        <f>'5'!D287</f>
        <v>350</v>
      </c>
      <c r="G381" s="36">
        <f>'5'!E287</f>
        <v>50</v>
      </c>
      <c r="H381" s="36">
        <f>'5'!F287</f>
        <v>50</v>
      </c>
    </row>
    <row r="382" spans="1:15" ht="47.25" hidden="1" customHeight="1">
      <c r="A382" s="70" t="s">
        <v>320</v>
      </c>
      <c r="B382" s="75" t="s">
        <v>236</v>
      </c>
      <c r="C382" s="75" t="s">
        <v>220</v>
      </c>
      <c r="D382" s="75" t="s">
        <v>457</v>
      </c>
      <c r="E382" s="71" t="s">
        <v>321</v>
      </c>
      <c r="F382" s="72">
        <f>F383</f>
        <v>0</v>
      </c>
      <c r="G382" s="72">
        <f>G383</f>
        <v>0</v>
      </c>
      <c r="H382" s="72">
        <f>H383</f>
        <v>0</v>
      </c>
    </row>
    <row r="383" spans="1:15" ht="15.75" hidden="1" customHeight="1">
      <c r="A383" s="70" t="s">
        <v>322</v>
      </c>
      <c r="B383" s="75" t="s">
        <v>236</v>
      </c>
      <c r="C383" s="75" t="s">
        <v>220</v>
      </c>
      <c r="D383" s="75" t="s">
        <v>457</v>
      </c>
      <c r="E383" s="71" t="s">
        <v>323</v>
      </c>
      <c r="F383" s="72"/>
      <c r="G383" s="72"/>
      <c r="H383" s="72"/>
    </row>
    <row r="384" spans="1:15" ht="66" customHeight="1">
      <c r="A384" s="70" t="s">
        <v>475</v>
      </c>
      <c r="B384" s="75" t="s">
        <v>236</v>
      </c>
      <c r="C384" s="75" t="s">
        <v>220</v>
      </c>
      <c r="D384" s="75" t="s">
        <v>476</v>
      </c>
      <c r="E384" s="71" t="s">
        <v>206</v>
      </c>
      <c r="F384" s="72">
        <f t="shared" ref="F384:F385" si="88">F385</f>
        <v>4610</v>
      </c>
      <c r="G384" s="72">
        <f t="shared" ref="G384:H385" si="89">G385</f>
        <v>0</v>
      </c>
      <c r="H384" s="72">
        <f t="shared" si="89"/>
        <v>0</v>
      </c>
    </row>
    <row r="385" spans="1:15" ht="36.75" customHeight="1">
      <c r="A385" s="74" t="s">
        <v>223</v>
      </c>
      <c r="B385" s="75" t="s">
        <v>236</v>
      </c>
      <c r="C385" s="75" t="s">
        <v>220</v>
      </c>
      <c r="D385" s="75" t="s">
        <v>476</v>
      </c>
      <c r="E385" s="71" t="s">
        <v>224</v>
      </c>
      <c r="F385" s="72">
        <f t="shared" si="88"/>
        <v>4610</v>
      </c>
      <c r="G385" s="72">
        <f t="shared" si="89"/>
        <v>0</v>
      </c>
      <c r="H385" s="72">
        <f t="shared" si="89"/>
        <v>0</v>
      </c>
    </row>
    <row r="386" spans="1:15" ht="51.75" customHeight="1">
      <c r="A386" s="74" t="s">
        <v>225</v>
      </c>
      <c r="B386" s="75" t="s">
        <v>236</v>
      </c>
      <c r="C386" s="75" t="s">
        <v>220</v>
      </c>
      <c r="D386" s="75" t="s">
        <v>476</v>
      </c>
      <c r="E386" s="71" t="s">
        <v>226</v>
      </c>
      <c r="F386" s="72">
        <f>'5'!D311</f>
        <v>4610</v>
      </c>
      <c r="G386" s="72">
        <f>'5'!E311</f>
        <v>0</v>
      </c>
      <c r="H386" s="72">
        <f>'5'!F311</f>
        <v>0</v>
      </c>
    </row>
    <row r="387" spans="1:15" ht="110.25" hidden="1" customHeight="1">
      <c r="A387" s="78" t="s">
        <v>477</v>
      </c>
      <c r="B387" s="79" t="s">
        <v>236</v>
      </c>
      <c r="C387" s="79" t="s">
        <v>220</v>
      </c>
      <c r="D387" s="79" t="s">
        <v>478</v>
      </c>
      <c r="E387" s="79" t="s">
        <v>206</v>
      </c>
      <c r="F387" s="80">
        <f t="shared" ref="F387:F388" si="90">F388</f>
        <v>0</v>
      </c>
      <c r="G387" s="80">
        <f t="shared" ref="G387:H388" si="91">G388</f>
        <v>0</v>
      </c>
      <c r="H387" s="80">
        <f t="shared" si="91"/>
        <v>0</v>
      </c>
    </row>
    <row r="388" spans="1:15" ht="31.5" hidden="1" customHeight="1">
      <c r="A388" s="70" t="s">
        <v>223</v>
      </c>
      <c r="B388" s="71" t="s">
        <v>236</v>
      </c>
      <c r="C388" s="71" t="s">
        <v>220</v>
      </c>
      <c r="D388" s="71" t="s">
        <v>478</v>
      </c>
      <c r="E388" s="71" t="s">
        <v>224</v>
      </c>
      <c r="F388" s="76">
        <f t="shared" si="90"/>
        <v>0</v>
      </c>
      <c r="G388" s="72">
        <f t="shared" si="91"/>
        <v>0</v>
      </c>
      <c r="H388" s="72">
        <f t="shared" si="91"/>
        <v>0</v>
      </c>
    </row>
    <row r="389" spans="1:15" ht="47.25" hidden="1" customHeight="1">
      <c r="A389" s="70" t="s">
        <v>225</v>
      </c>
      <c r="B389" s="71" t="s">
        <v>236</v>
      </c>
      <c r="C389" s="71" t="s">
        <v>220</v>
      </c>
      <c r="D389" s="71" t="s">
        <v>478</v>
      </c>
      <c r="E389" s="71" t="s">
        <v>226</v>
      </c>
      <c r="F389" s="76">
        <f>'5'!D284</f>
        <v>0</v>
      </c>
      <c r="G389" s="72">
        <f>'5'!E284</f>
        <v>0</v>
      </c>
      <c r="H389" s="72">
        <f>'5'!F284</f>
        <v>0</v>
      </c>
    </row>
    <row r="390" spans="1:15" ht="110.25" hidden="1" customHeight="1">
      <c r="A390" s="78" t="s">
        <v>479</v>
      </c>
      <c r="B390" s="127" t="s">
        <v>236</v>
      </c>
      <c r="C390" s="127" t="s">
        <v>220</v>
      </c>
      <c r="D390" s="128" t="s">
        <v>480</v>
      </c>
      <c r="E390" s="79" t="s">
        <v>206</v>
      </c>
      <c r="F390" s="80">
        <f t="shared" ref="F390:F391" si="92">F391</f>
        <v>0</v>
      </c>
      <c r="G390" s="129">
        <f t="shared" ref="G390:H391" si="93">G391</f>
        <v>0</v>
      </c>
      <c r="H390" s="129">
        <f t="shared" si="93"/>
        <v>0</v>
      </c>
    </row>
    <row r="391" spans="1:15" ht="31.5" hidden="1" customHeight="1">
      <c r="A391" s="70" t="s">
        <v>223</v>
      </c>
      <c r="B391" s="71" t="s">
        <v>236</v>
      </c>
      <c r="C391" s="71" t="s">
        <v>220</v>
      </c>
      <c r="D391" s="130" t="s">
        <v>480</v>
      </c>
      <c r="E391" s="71" t="s">
        <v>224</v>
      </c>
      <c r="F391" s="76">
        <f t="shared" si="92"/>
        <v>0</v>
      </c>
      <c r="G391" s="72">
        <f t="shared" si="93"/>
        <v>0</v>
      </c>
      <c r="H391" s="72">
        <f t="shared" si="93"/>
        <v>0</v>
      </c>
    </row>
    <row r="392" spans="1:15" ht="47.25" hidden="1" customHeight="1">
      <c r="A392" s="70" t="s">
        <v>225</v>
      </c>
      <c r="B392" s="71" t="s">
        <v>236</v>
      </c>
      <c r="C392" s="71" t="s">
        <v>220</v>
      </c>
      <c r="D392" s="130" t="s">
        <v>480</v>
      </c>
      <c r="E392" s="71" t="s">
        <v>226</v>
      </c>
      <c r="F392" s="76">
        <f>'5'!D285</f>
        <v>0</v>
      </c>
      <c r="G392" s="72">
        <f>'5'!E285</f>
        <v>0</v>
      </c>
      <c r="H392" s="72">
        <f>'5'!F285</f>
        <v>0</v>
      </c>
    </row>
    <row r="393" spans="1:15" ht="34.5" customHeight="1">
      <c r="A393" s="66" t="s">
        <v>481</v>
      </c>
      <c r="B393" s="67" t="s">
        <v>236</v>
      </c>
      <c r="C393" s="67" t="s">
        <v>236</v>
      </c>
      <c r="D393" s="67" t="s">
        <v>205</v>
      </c>
      <c r="E393" s="67" t="s">
        <v>206</v>
      </c>
      <c r="F393" s="68">
        <f>F401</f>
        <v>2.4188999999999998</v>
      </c>
      <c r="G393" s="68">
        <f t="shared" ref="G393:H393" si="94">G401</f>
        <v>2.5156499999999999</v>
      </c>
      <c r="H393" s="68">
        <f t="shared" si="94"/>
        <v>2.6162699999999997</v>
      </c>
    </row>
    <row r="394" spans="1:15" ht="33.75" customHeight="1">
      <c r="A394" s="74" t="s">
        <v>209</v>
      </c>
      <c r="B394" s="75" t="s">
        <v>236</v>
      </c>
      <c r="C394" s="75" t="s">
        <v>236</v>
      </c>
      <c r="D394" s="75" t="s">
        <v>212</v>
      </c>
      <c r="E394" s="75" t="s">
        <v>206</v>
      </c>
      <c r="F394" s="76">
        <f>F401</f>
        <v>2.4188999999999998</v>
      </c>
      <c r="G394" s="76">
        <f>G401</f>
        <v>2.5156499999999999</v>
      </c>
      <c r="H394" s="76">
        <f>H401</f>
        <v>2.6162699999999997</v>
      </c>
      <c r="O394" s="77"/>
    </row>
    <row r="395" spans="1:15" s="77" customFormat="1" ht="47.25" hidden="1" customHeight="1">
      <c r="A395" s="78" t="s">
        <v>211</v>
      </c>
      <c r="B395" s="79" t="s">
        <v>236</v>
      </c>
      <c r="C395" s="79" t="s">
        <v>236</v>
      </c>
      <c r="D395" s="79" t="s">
        <v>228</v>
      </c>
      <c r="E395" s="79" t="s">
        <v>206</v>
      </c>
      <c r="F395" s="80">
        <f>F396</f>
        <v>0</v>
      </c>
      <c r="G395" s="80">
        <f>G396</f>
        <v>0</v>
      </c>
      <c r="H395" s="80">
        <f>H396</f>
        <v>0</v>
      </c>
      <c r="O395" s="50"/>
    </row>
    <row r="396" spans="1:15" ht="47.25" hidden="1" customHeight="1">
      <c r="A396" s="74" t="s">
        <v>482</v>
      </c>
      <c r="B396" s="75" t="s">
        <v>236</v>
      </c>
      <c r="C396" s="75" t="s">
        <v>236</v>
      </c>
      <c r="D396" s="75" t="s">
        <v>228</v>
      </c>
      <c r="E396" s="75" t="s">
        <v>206</v>
      </c>
      <c r="F396" s="76">
        <f>F397+F399</f>
        <v>0</v>
      </c>
      <c r="G396" s="76">
        <f>G397+G399</f>
        <v>0</v>
      </c>
      <c r="H396" s="76">
        <f>H397+H399</f>
        <v>0</v>
      </c>
    </row>
    <row r="397" spans="1:15" ht="94.5" hidden="1" customHeight="1">
      <c r="A397" s="74" t="s">
        <v>215</v>
      </c>
      <c r="B397" s="75" t="s">
        <v>236</v>
      </c>
      <c r="C397" s="75" t="s">
        <v>236</v>
      </c>
      <c r="D397" s="75" t="s">
        <v>228</v>
      </c>
      <c r="E397" s="75" t="s">
        <v>216</v>
      </c>
      <c r="F397" s="76">
        <f>F398</f>
        <v>0</v>
      </c>
      <c r="G397" s="76">
        <f>G398</f>
        <v>0</v>
      </c>
      <c r="H397" s="76">
        <f>H398</f>
        <v>0</v>
      </c>
    </row>
    <row r="398" spans="1:15" ht="31.5" hidden="1" customHeight="1">
      <c r="A398" s="74" t="s">
        <v>217</v>
      </c>
      <c r="B398" s="75" t="s">
        <v>236</v>
      </c>
      <c r="C398" s="75" t="s">
        <v>236</v>
      </c>
      <c r="D398" s="75" t="s">
        <v>228</v>
      </c>
      <c r="E398" s="75" t="s">
        <v>218</v>
      </c>
      <c r="F398" s="76">
        <v>0</v>
      </c>
      <c r="G398" s="76">
        <v>0</v>
      </c>
      <c r="H398" s="76">
        <v>0</v>
      </c>
    </row>
    <row r="399" spans="1:15" ht="31.5" hidden="1" customHeight="1">
      <c r="A399" s="74" t="s">
        <v>223</v>
      </c>
      <c r="B399" s="75" t="s">
        <v>236</v>
      </c>
      <c r="C399" s="75" t="s">
        <v>236</v>
      </c>
      <c r="D399" s="75" t="s">
        <v>228</v>
      </c>
      <c r="E399" s="75" t="s">
        <v>224</v>
      </c>
      <c r="F399" s="76">
        <f>F400</f>
        <v>0</v>
      </c>
      <c r="G399" s="76">
        <f>G400</f>
        <v>0</v>
      </c>
      <c r="H399" s="76">
        <f>H400</f>
        <v>0</v>
      </c>
    </row>
    <row r="400" spans="1:15" ht="47.25" hidden="1" customHeight="1">
      <c r="A400" s="74" t="s">
        <v>225</v>
      </c>
      <c r="B400" s="75" t="s">
        <v>236</v>
      </c>
      <c r="C400" s="75" t="s">
        <v>236</v>
      </c>
      <c r="D400" s="75" t="s">
        <v>228</v>
      </c>
      <c r="E400" s="75" t="s">
        <v>226</v>
      </c>
      <c r="F400" s="76">
        <v>0</v>
      </c>
      <c r="G400" s="76">
        <v>0</v>
      </c>
      <c r="H400" s="76">
        <v>0</v>
      </c>
      <c r="O400" s="77"/>
    </row>
    <row r="401" spans="1:15" s="77" customFormat="1" ht="84" customHeight="1">
      <c r="A401" s="78" t="s">
        <v>483</v>
      </c>
      <c r="B401" s="79" t="s">
        <v>236</v>
      </c>
      <c r="C401" s="79" t="s">
        <v>236</v>
      </c>
      <c r="D401" s="79" t="s">
        <v>484</v>
      </c>
      <c r="E401" s="79" t="s">
        <v>206</v>
      </c>
      <c r="F401" s="80">
        <f>F402+F404</f>
        <v>2.4188999999999998</v>
      </c>
      <c r="G401" s="80">
        <f>G402+G404</f>
        <v>2.5156499999999999</v>
      </c>
      <c r="H401" s="80">
        <f>H402+H404</f>
        <v>2.6162699999999997</v>
      </c>
      <c r="O401" s="50"/>
    </row>
    <row r="402" spans="1:15" ht="95.25" customHeight="1">
      <c r="A402" s="74" t="s">
        <v>485</v>
      </c>
      <c r="B402" s="75" t="s">
        <v>236</v>
      </c>
      <c r="C402" s="75" t="s">
        <v>236</v>
      </c>
      <c r="D402" s="75" t="s">
        <v>484</v>
      </c>
      <c r="E402" s="75" t="s">
        <v>216</v>
      </c>
      <c r="F402" s="76">
        <f>F403</f>
        <v>2.4188999999999998</v>
      </c>
      <c r="G402" s="76">
        <f>G403</f>
        <v>2.5156499999999999</v>
      </c>
      <c r="H402" s="76">
        <f>H403</f>
        <v>2.6162699999999997</v>
      </c>
    </row>
    <row r="403" spans="1:15" ht="34.5" customHeight="1">
      <c r="A403" s="70" t="s">
        <v>217</v>
      </c>
      <c r="B403" s="71" t="s">
        <v>236</v>
      </c>
      <c r="C403" s="71" t="s">
        <v>236</v>
      </c>
      <c r="D403" s="71" t="s">
        <v>484</v>
      </c>
      <c r="E403" s="71" t="s">
        <v>218</v>
      </c>
      <c r="F403" s="76">
        <f>'5'!D326</f>
        <v>2.4188999999999998</v>
      </c>
      <c r="G403" s="76">
        <f>'5'!E326</f>
        <v>2.5156499999999999</v>
      </c>
      <c r="H403" s="76">
        <f>'5'!F326</f>
        <v>2.6162699999999997</v>
      </c>
    </row>
    <row r="404" spans="1:15" ht="31.5" hidden="1" customHeight="1">
      <c r="A404" s="70" t="s">
        <v>223</v>
      </c>
      <c r="B404" s="71" t="s">
        <v>236</v>
      </c>
      <c r="C404" s="71" t="s">
        <v>236</v>
      </c>
      <c r="D404" s="71" t="s">
        <v>484</v>
      </c>
      <c r="E404" s="71" t="s">
        <v>224</v>
      </c>
      <c r="F404" s="72">
        <f>F405</f>
        <v>0</v>
      </c>
      <c r="G404" s="72">
        <f>G405</f>
        <v>0</v>
      </c>
      <c r="H404" s="72">
        <f>H405</f>
        <v>0</v>
      </c>
    </row>
    <row r="405" spans="1:15" ht="47.25" hidden="1" customHeight="1">
      <c r="A405" s="70" t="s">
        <v>225</v>
      </c>
      <c r="B405" s="71" t="s">
        <v>236</v>
      </c>
      <c r="C405" s="71" t="s">
        <v>236</v>
      </c>
      <c r="D405" s="71" t="s">
        <v>484</v>
      </c>
      <c r="E405" s="71" t="s">
        <v>226</v>
      </c>
      <c r="F405" s="72"/>
      <c r="G405" s="72"/>
      <c r="H405" s="72"/>
    </row>
    <row r="406" spans="1:15" ht="25.15" customHeight="1">
      <c r="A406" s="117" t="s">
        <v>486</v>
      </c>
      <c r="B406" s="62" t="s">
        <v>239</v>
      </c>
      <c r="C406" s="62" t="s">
        <v>204</v>
      </c>
      <c r="D406" s="62" t="s">
        <v>205</v>
      </c>
      <c r="E406" s="62" t="s">
        <v>206</v>
      </c>
      <c r="F406" s="63">
        <f>F407</f>
        <v>830</v>
      </c>
      <c r="G406" s="63">
        <f t="shared" ref="G406:H406" si="95">G407</f>
        <v>830</v>
      </c>
      <c r="H406" s="63">
        <f t="shared" si="95"/>
        <v>830</v>
      </c>
      <c r="I406" s="73"/>
      <c r="J406" s="73"/>
      <c r="K406" s="73"/>
    </row>
    <row r="407" spans="1:15" ht="35.25" customHeight="1">
      <c r="A407" s="66" t="s">
        <v>487</v>
      </c>
      <c r="B407" s="67" t="s">
        <v>239</v>
      </c>
      <c r="C407" s="67" t="s">
        <v>236</v>
      </c>
      <c r="D407" s="67" t="s">
        <v>205</v>
      </c>
      <c r="E407" s="67" t="s">
        <v>206</v>
      </c>
      <c r="F407" s="68">
        <f>F410</f>
        <v>830</v>
      </c>
      <c r="G407" s="68">
        <f t="shared" ref="G407:H407" si="96">G410</f>
        <v>830</v>
      </c>
      <c r="H407" s="68">
        <f t="shared" si="96"/>
        <v>830</v>
      </c>
    </row>
    <row r="408" spans="1:15" ht="36.6" customHeight="1">
      <c r="A408" s="74" t="s">
        <v>209</v>
      </c>
      <c r="B408" s="75" t="s">
        <v>239</v>
      </c>
      <c r="C408" s="75" t="s">
        <v>236</v>
      </c>
      <c r="D408" s="75" t="s">
        <v>210</v>
      </c>
      <c r="E408" s="75" t="s">
        <v>206</v>
      </c>
      <c r="F408" s="76">
        <f t="shared" ref="F408:H411" si="97">F409</f>
        <v>830</v>
      </c>
      <c r="G408" s="76">
        <f t="shared" si="97"/>
        <v>830</v>
      </c>
      <c r="H408" s="76">
        <f t="shared" si="97"/>
        <v>830</v>
      </c>
    </row>
    <row r="409" spans="1:15" ht="50.45" customHeight="1">
      <c r="A409" s="74" t="s">
        <v>211</v>
      </c>
      <c r="B409" s="75" t="s">
        <v>239</v>
      </c>
      <c r="C409" s="75" t="s">
        <v>236</v>
      </c>
      <c r="D409" s="75" t="s">
        <v>212</v>
      </c>
      <c r="E409" s="75" t="s">
        <v>206</v>
      </c>
      <c r="F409" s="76">
        <f>F412+F415</f>
        <v>830</v>
      </c>
      <c r="G409" s="76">
        <f t="shared" si="97"/>
        <v>830</v>
      </c>
      <c r="H409" s="76">
        <f t="shared" si="97"/>
        <v>830</v>
      </c>
    </row>
    <row r="410" spans="1:15" ht="35.450000000000003" customHeight="1">
      <c r="A410" s="74" t="s">
        <v>488</v>
      </c>
      <c r="B410" s="75" t="s">
        <v>239</v>
      </c>
      <c r="C410" s="75" t="s">
        <v>236</v>
      </c>
      <c r="D410" s="75" t="s">
        <v>489</v>
      </c>
      <c r="E410" s="75" t="s">
        <v>206</v>
      </c>
      <c r="F410" s="76">
        <f t="shared" si="97"/>
        <v>830</v>
      </c>
      <c r="G410" s="76">
        <f t="shared" si="97"/>
        <v>830</v>
      </c>
      <c r="H410" s="76">
        <f t="shared" si="97"/>
        <v>830</v>
      </c>
    </row>
    <row r="411" spans="1:15" ht="33" customHeight="1">
      <c r="A411" s="74" t="s">
        <v>223</v>
      </c>
      <c r="B411" s="75" t="s">
        <v>239</v>
      </c>
      <c r="C411" s="75" t="s">
        <v>236</v>
      </c>
      <c r="D411" s="75" t="s">
        <v>489</v>
      </c>
      <c r="E411" s="75" t="s">
        <v>224</v>
      </c>
      <c r="F411" s="76">
        <f t="shared" si="97"/>
        <v>830</v>
      </c>
      <c r="G411" s="76">
        <f t="shared" si="97"/>
        <v>830</v>
      </c>
      <c r="H411" s="76">
        <f t="shared" si="97"/>
        <v>830</v>
      </c>
    </row>
    <row r="412" spans="1:15" ht="48.6" customHeight="1">
      <c r="A412" s="74" t="s">
        <v>225</v>
      </c>
      <c r="B412" s="75" t="s">
        <v>239</v>
      </c>
      <c r="C412" s="75" t="s">
        <v>236</v>
      </c>
      <c r="D412" s="75" t="s">
        <v>489</v>
      </c>
      <c r="E412" s="75" t="s">
        <v>226</v>
      </c>
      <c r="F412" s="76">
        <f>'5'!D313</f>
        <v>830</v>
      </c>
      <c r="G412" s="76">
        <f>'5'!E313</f>
        <v>830</v>
      </c>
      <c r="H412" s="76">
        <f>'5'!F313</f>
        <v>830</v>
      </c>
    </row>
    <row r="413" spans="1:15" ht="32.25" hidden="1" customHeight="1">
      <c r="A413" s="83" t="s">
        <v>488</v>
      </c>
      <c r="B413" s="84" t="s">
        <v>239</v>
      </c>
      <c r="C413" s="84" t="s">
        <v>236</v>
      </c>
      <c r="D413" s="84" t="s">
        <v>490</v>
      </c>
      <c r="E413" s="84" t="s">
        <v>206</v>
      </c>
      <c r="F413" s="85">
        <f t="shared" ref="F413:F414" si="98">F414</f>
        <v>0</v>
      </c>
      <c r="G413" s="85">
        <v>0</v>
      </c>
      <c r="H413" s="85">
        <v>0</v>
      </c>
    </row>
    <row r="414" spans="1:15" ht="18.75" hidden="1" customHeight="1">
      <c r="A414" s="83" t="s">
        <v>348</v>
      </c>
      <c r="B414" s="84" t="s">
        <v>239</v>
      </c>
      <c r="C414" s="84" t="s">
        <v>236</v>
      </c>
      <c r="D414" s="84" t="s">
        <v>490</v>
      </c>
      <c r="E414" s="84" t="s">
        <v>349</v>
      </c>
      <c r="F414" s="85">
        <f t="shared" si="98"/>
        <v>0</v>
      </c>
      <c r="G414" s="85">
        <v>0</v>
      </c>
      <c r="H414" s="85">
        <v>0</v>
      </c>
    </row>
    <row r="415" spans="1:15" ht="18.75" hidden="1" customHeight="1">
      <c r="A415" s="83" t="s">
        <v>410</v>
      </c>
      <c r="B415" s="84" t="s">
        <v>239</v>
      </c>
      <c r="C415" s="84" t="s">
        <v>236</v>
      </c>
      <c r="D415" s="84" t="s">
        <v>490</v>
      </c>
      <c r="E415" s="84" t="s">
        <v>411</v>
      </c>
      <c r="F415" s="85">
        <v>0</v>
      </c>
      <c r="G415" s="85">
        <v>0</v>
      </c>
      <c r="H415" s="85">
        <v>0</v>
      </c>
      <c r="O415" s="99"/>
    </row>
    <row r="416" spans="1:15" s="99" customFormat="1" ht="20.25" customHeight="1">
      <c r="A416" s="117" t="s">
        <v>491</v>
      </c>
      <c r="B416" s="62" t="s">
        <v>257</v>
      </c>
      <c r="C416" s="62" t="s">
        <v>204</v>
      </c>
      <c r="D416" s="62" t="s">
        <v>205</v>
      </c>
      <c r="E416" s="62" t="s">
        <v>206</v>
      </c>
      <c r="F416" s="63">
        <f>F417+F446+F531+F583+F618</f>
        <v>801163.44301515154</v>
      </c>
      <c r="G416" s="63">
        <f>G417+G446+G531+G583+G618</f>
        <v>707644.12391010101</v>
      </c>
      <c r="H416" s="63">
        <f>H417+H446+H531+H583+H618</f>
        <v>747060.76157166681</v>
      </c>
      <c r="I416" s="131"/>
      <c r="J416" s="131"/>
      <c r="K416" s="131"/>
      <c r="O416" s="50"/>
    </row>
    <row r="417" spans="1:15" ht="18.75" customHeight="1">
      <c r="A417" s="66" t="s">
        <v>492</v>
      </c>
      <c r="B417" s="67" t="s">
        <v>257</v>
      </c>
      <c r="C417" s="67" t="s">
        <v>203</v>
      </c>
      <c r="D417" s="67" t="s">
        <v>205</v>
      </c>
      <c r="E417" s="67" t="s">
        <v>206</v>
      </c>
      <c r="F417" s="68">
        <f>F420+F422+F425+F433+F437</f>
        <v>111277.01920000001</v>
      </c>
      <c r="G417" s="68">
        <f t="shared" ref="G417:H417" si="99">G420+G422+G425+G433+G437</f>
        <v>100376.014</v>
      </c>
      <c r="H417" s="68">
        <f t="shared" si="99"/>
        <v>107158.054</v>
      </c>
      <c r="I417" s="73"/>
      <c r="J417" s="73"/>
      <c r="K417" s="73"/>
      <c r="O417" s="77"/>
    </row>
    <row r="418" spans="1:15" s="77" customFormat="1" ht="49.5" customHeight="1">
      <c r="A418" s="132" t="s">
        <v>315</v>
      </c>
      <c r="B418" s="127" t="s">
        <v>257</v>
      </c>
      <c r="C418" s="127" t="s">
        <v>203</v>
      </c>
      <c r="D418" s="127" t="s">
        <v>493</v>
      </c>
      <c r="E418" s="127" t="s">
        <v>206</v>
      </c>
      <c r="F418" s="129">
        <f>F419</f>
        <v>55535.353199999998</v>
      </c>
      <c r="G418" s="129">
        <f t="shared" ref="G418:H418" si="100">G419</f>
        <v>42129</v>
      </c>
      <c r="H418" s="129">
        <f t="shared" si="100"/>
        <v>44629</v>
      </c>
      <c r="O418" s="50"/>
    </row>
    <row r="419" spans="1:15" ht="48" customHeight="1">
      <c r="A419" s="108" t="s">
        <v>494</v>
      </c>
      <c r="B419" s="75" t="s">
        <v>257</v>
      </c>
      <c r="C419" s="75" t="s">
        <v>203</v>
      </c>
      <c r="D419" s="75" t="s">
        <v>495</v>
      </c>
      <c r="E419" s="75" t="s">
        <v>206</v>
      </c>
      <c r="F419" s="76">
        <f>F420+F422+F425</f>
        <v>55535.353199999998</v>
      </c>
      <c r="G419" s="76">
        <f t="shared" ref="G419:H419" si="101">G420+G422+G425</f>
        <v>42129</v>
      </c>
      <c r="H419" s="76">
        <f t="shared" si="101"/>
        <v>44629</v>
      </c>
    </row>
    <row r="420" spans="1:15" ht="50.25" customHeight="1">
      <c r="A420" s="74" t="s">
        <v>284</v>
      </c>
      <c r="B420" s="75" t="s">
        <v>257</v>
      </c>
      <c r="C420" s="75" t="s">
        <v>203</v>
      </c>
      <c r="D420" s="75" t="s">
        <v>496</v>
      </c>
      <c r="E420" s="75" t="s">
        <v>283</v>
      </c>
      <c r="F420" s="76">
        <f>F421</f>
        <v>420</v>
      </c>
      <c r="G420" s="76">
        <f>G421</f>
        <v>200</v>
      </c>
      <c r="H420" s="76">
        <f>H421</f>
        <v>200</v>
      </c>
    </row>
    <row r="421" spans="1:15" ht="19.5" customHeight="1">
      <c r="A421" s="74" t="s">
        <v>497</v>
      </c>
      <c r="B421" s="75" t="s">
        <v>257</v>
      </c>
      <c r="C421" s="75" t="s">
        <v>203</v>
      </c>
      <c r="D421" s="75" t="s">
        <v>498</v>
      </c>
      <c r="E421" s="75" t="s">
        <v>499</v>
      </c>
      <c r="F421" s="76">
        <f>'5'!D58</f>
        <v>420</v>
      </c>
      <c r="G421" s="76">
        <f>'5'!E58</f>
        <v>200</v>
      </c>
      <c r="H421" s="76">
        <f>'5'!F58</f>
        <v>200</v>
      </c>
    </row>
    <row r="422" spans="1:15" ht="111" customHeight="1">
      <c r="A422" s="74" t="s">
        <v>500</v>
      </c>
      <c r="B422" s="75" t="s">
        <v>257</v>
      </c>
      <c r="C422" s="75" t="s">
        <v>203</v>
      </c>
      <c r="D422" s="75" t="s">
        <v>496</v>
      </c>
      <c r="E422" s="75" t="s">
        <v>206</v>
      </c>
      <c r="F422" s="76">
        <f t="shared" ref="F422:H423" si="102">F423</f>
        <v>54877.353199999998</v>
      </c>
      <c r="G422" s="76">
        <f t="shared" si="102"/>
        <v>41929</v>
      </c>
      <c r="H422" s="76">
        <f t="shared" si="102"/>
        <v>44429</v>
      </c>
    </row>
    <row r="423" spans="1:15" ht="48" customHeight="1">
      <c r="A423" s="74" t="s">
        <v>284</v>
      </c>
      <c r="B423" s="75" t="s">
        <v>257</v>
      </c>
      <c r="C423" s="75" t="s">
        <v>203</v>
      </c>
      <c r="D423" s="75" t="s">
        <v>501</v>
      </c>
      <c r="E423" s="75" t="s">
        <v>283</v>
      </c>
      <c r="F423" s="76">
        <f t="shared" si="102"/>
        <v>54877.353199999998</v>
      </c>
      <c r="G423" s="76">
        <f t="shared" si="102"/>
        <v>41929</v>
      </c>
      <c r="H423" s="76">
        <f t="shared" si="102"/>
        <v>44429</v>
      </c>
    </row>
    <row r="424" spans="1:15" ht="15.75" customHeight="1">
      <c r="A424" s="74" t="s">
        <v>497</v>
      </c>
      <c r="B424" s="75" t="s">
        <v>257</v>
      </c>
      <c r="C424" s="75" t="s">
        <v>203</v>
      </c>
      <c r="D424" s="75" t="s">
        <v>501</v>
      </c>
      <c r="E424" s="75" t="s">
        <v>499</v>
      </c>
      <c r="F424" s="76">
        <f>'5'!D66+'5'!D67</f>
        <v>54877.353199999998</v>
      </c>
      <c r="G424" s="76">
        <f>'5'!E66+'5'!E67</f>
        <v>41929</v>
      </c>
      <c r="H424" s="76">
        <f>'5'!F66+'5'!F67</f>
        <v>44429</v>
      </c>
    </row>
    <row r="425" spans="1:15" ht="49.9" customHeight="1">
      <c r="A425" s="74" t="s">
        <v>502</v>
      </c>
      <c r="B425" s="75" t="s">
        <v>257</v>
      </c>
      <c r="C425" s="75" t="s">
        <v>203</v>
      </c>
      <c r="D425" s="75" t="s">
        <v>503</v>
      </c>
      <c r="E425" s="75" t="s">
        <v>206</v>
      </c>
      <c r="F425" s="76">
        <f t="shared" ref="F425:H426" si="103">F426</f>
        <v>238</v>
      </c>
      <c r="G425" s="76">
        <f t="shared" si="103"/>
        <v>0</v>
      </c>
      <c r="H425" s="76">
        <f t="shared" si="103"/>
        <v>0</v>
      </c>
    </row>
    <row r="426" spans="1:15" ht="52.9" customHeight="1">
      <c r="A426" s="74" t="s">
        <v>284</v>
      </c>
      <c r="B426" s="75" t="s">
        <v>257</v>
      </c>
      <c r="C426" s="75" t="s">
        <v>203</v>
      </c>
      <c r="D426" s="75" t="s">
        <v>503</v>
      </c>
      <c r="E426" s="75" t="s">
        <v>283</v>
      </c>
      <c r="F426" s="76">
        <f t="shared" si="103"/>
        <v>238</v>
      </c>
      <c r="G426" s="76">
        <f t="shared" si="103"/>
        <v>0</v>
      </c>
      <c r="H426" s="76">
        <f t="shared" si="103"/>
        <v>0</v>
      </c>
    </row>
    <row r="427" spans="1:15" ht="24.6" customHeight="1">
      <c r="A427" s="74" t="s">
        <v>504</v>
      </c>
      <c r="B427" s="75" t="s">
        <v>257</v>
      </c>
      <c r="C427" s="75" t="s">
        <v>203</v>
      </c>
      <c r="D427" s="75" t="s">
        <v>503</v>
      </c>
      <c r="E427" s="75" t="s">
        <v>499</v>
      </c>
      <c r="F427" s="76">
        <f>'5'!D60</f>
        <v>238</v>
      </c>
      <c r="G427" s="76">
        <f>'5'!E60</f>
        <v>0</v>
      </c>
      <c r="H427" s="76">
        <f>'5'!F60</f>
        <v>0</v>
      </c>
    </row>
    <row r="428" spans="1:15" ht="31.5" hidden="1" customHeight="1">
      <c r="A428" s="104" t="s">
        <v>505</v>
      </c>
      <c r="B428" s="105" t="s">
        <v>257</v>
      </c>
      <c r="C428" s="105" t="s">
        <v>203</v>
      </c>
      <c r="D428" s="105" t="s">
        <v>205</v>
      </c>
      <c r="E428" s="105" t="s">
        <v>206</v>
      </c>
      <c r="F428" s="106">
        <f>F429</f>
        <v>0</v>
      </c>
      <c r="G428" s="106">
        <f t="shared" ref="F428:H435" si="104">G429</f>
        <v>0</v>
      </c>
      <c r="H428" s="106">
        <f t="shared" si="104"/>
        <v>0</v>
      </c>
    </row>
    <row r="429" spans="1:15" ht="31.5" hidden="1" customHeight="1">
      <c r="A429" s="74" t="s">
        <v>506</v>
      </c>
      <c r="B429" s="75" t="s">
        <v>257</v>
      </c>
      <c r="C429" s="75" t="s">
        <v>203</v>
      </c>
      <c r="D429" s="75" t="s">
        <v>507</v>
      </c>
      <c r="E429" s="75" t="s">
        <v>206</v>
      </c>
      <c r="F429" s="76">
        <f t="shared" si="104"/>
        <v>0</v>
      </c>
      <c r="G429" s="76">
        <f t="shared" si="104"/>
        <v>0</v>
      </c>
      <c r="H429" s="76">
        <f t="shared" si="104"/>
        <v>0</v>
      </c>
    </row>
    <row r="430" spans="1:15" ht="47.25" hidden="1" customHeight="1">
      <c r="A430" s="74" t="s">
        <v>284</v>
      </c>
      <c r="B430" s="75" t="s">
        <v>257</v>
      </c>
      <c r="C430" s="75" t="s">
        <v>203</v>
      </c>
      <c r="D430" s="75" t="s">
        <v>507</v>
      </c>
      <c r="E430" s="75" t="s">
        <v>283</v>
      </c>
      <c r="F430" s="76">
        <f t="shared" si="104"/>
        <v>0</v>
      </c>
      <c r="G430" s="76">
        <f t="shared" si="104"/>
        <v>0</v>
      </c>
      <c r="H430" s="76">
        <f t="shared" si="104"/>
        <v>0</v>
      </c>
    </row>
    <row r="431" spans="1:15" ht="15.75" hidden="1" customHeight="1">
      <c r="A431" s="74" t="s">
        <v>497</v>
      </c>
      <c r="B431" s="75" t="s">
        <v>257</v>
      </c>
      <c r="C431" s="75" t="s">
        <v>203</v>
      </c>
      <c r="D431" s="75" t="s">
        <v>507</v>
      </c>
      <c r="E431" s="75" t="s">
        <v>499</v>
      </c>
      <c r="F431" s="76"/>
      <c r="G431" s="76"/>
      <c r="H431" s="76"/>
    </row>
    <row r="432" spans="1:15" ht="46.5" customHeight="1">
      <c r="A432" s="78" t="s">
        <v>315</v>
      </c>
      <c r="B432" s="79" t="s">
        <v>257</v>
      </c>
      <c r="C432" s="79" t="s">
        <v>203</v>
      </c>
      <c r="D432" s="79" t="s">
        <v>493</v>
      </c>
      <c r="E432" s="79" t="s">
        <v>206</v>
      </c>
      <c r="F432" s="80">
        <f t="shared" ref="F432:F435" si="105">F433</f>
        <v>52741.666000000005</v>
      </c>
      <c r="G432" s="80">
        <f t="shared" si="104"/>
        <v>58247.013999999996</v>
      </c>
      <c r="H432" s="80">
        <f t="shared" si="104"/>
        <v>62529.054000000004</v>
      </c>
    </row>
    <row r="433" spans="1:15" ht="54.75" customHeight="1">
      <c r="A433" s="108" t="s">
        <v>494</v>
      </c>
      <c r="B433" s="75" t="s">
        <v>257</v>
      </c>
      <c r="C433" s="75" t="s">
        <v>203</v>
      </c>
      <c r="D433" s="75" t="s">
        <v>495</v>
      </c>
      <c r="E433" s="75" t="s">
        <v>206</v>
      </c>
      <c r="F433" s="76">
        <f t="shared" si="105"/>
        <v>52741.666000000005</v>
      </c>
      <c r="G433" s="76">
        <f t="shared" si="104"/>
        <v>58247.013999999996</v>
      </c>
      <c r="H433" s="76">
        <f t="shared" si="104"/>
        <v>62529.054000000004</v>
      </c>
      <c r="O433" s="77"/>
    </row>
    <row r="434" spans="1:15" s="77" customFormat="1" ht="87.75" customHeight="1">
      <c r="A434" s="78" t="s">
        <v>508</v>
      </c>
      <c r="B434" s="79" t="s">
        <v>257</v>
      </c>
      <c r="C434" s="128" t="s">
        <v>203</v>
      </c>
      <c r="D434" s="79" t="s">
        <v>509</v>
      </c>
      <c r="E434" s="79" t="s">
        <v>206</v>
      </c>
      <c r="F434" s="80">
        <f t="shared" si="105"/>
        <v>52741.666000000005</v>
      </c>
      <c r="G434" s="80">
        <f t="shared" si="104"/>
        <v>58247.013999999996</v>
      </c>
      <c r="H434" s="80">
        <f t="shared" si="104"/>
        <v>62529.054000000004</v>
      </c>
      <c r="O434" s="50"/>
    </row>
    <row r="435" spans="1:15" ht="51" customHeight="1">
      <c r="A435" s="74" t="s">
        <v>284</v>
      </c>
      <c r="B435" s="75" t="s">
        <v>257</v>
      </c>
      <c r="C435" s="75" t="s">
        <v>203</v>
      </c>
      <c r="D435" s="75" t="s">
        <v>509</v>
      </c>
      <c r="E435" s="75" t="s">
        <v>283</v>
      </c>
      <c r="F435" s="76">
        <f t="shared" si="105"/>
        <v>52741.666000000005</v>
      </c>
      <c r="G435" s="76">
        <f t="shared" si="104"/>
        <v>58247.013999999996</v>
      </c>
      <c r="H435" s="76">
        <f t="shared" si="104"/>
        <v>62529.054000000004</v>
      </c>
    </row>
    <row r="436" spans="1:15" ht="18.75" customHeight="1">
      <c r="A436" s="70" t="s">
        <v>497</v>
      </c>
      <c r="B436" s="71" t="s">
        <v>257</v>
      </c>
      <c r="C436" s="71" t="s">
        <v>203</v>
      </c>
      <c r="D436" s="71" t="s">
        <v>509</v>
      </c>
      <c r="E436" s="71" t="s">
        <v>499</v>
      </c>
      <c r="F436" s="76">
        <f>'5'!D68</f>
        <v>52741.666000000005</v>
      </c>
      <c r="G436" s="76">
        <f>'5'!E68</f>
        <v>58247.013999999996</v>
      </c>
      <c r="H436" s="76">
        <f>'5'!F68</f>
        <v>62529.054000000004</v>
      </c>
    </row>
    <row r="437" spans="1:15" ht="47.25" customHeight="1">
      <c r="A437" s="100" t="s">
        <v>510</v>
      </c>
      <c r="B437" s="101" t="s">
        <v>257</v>
      </c>
      <c r="C437" s="101" t="s">
        <v>208</v>
      </c>
      <c r="D437" s="133" t="s">
        <v>495</v>
      </c>
      <c r="E437" s="101" t="s">
        <v>206</v>
      </c>
      <c r="F437" s="102">
        <f>F438+F441</f>
        <v>3000</v>
      </c>
      <c r="G437" s="102">
        <f>G438+G441</f>
        <v>0</v>
      </c>
      <c r="H437" s="102">
        <f>H438+H441</f>
        <v>0</v>
      </c>
    </row>
    <row r="438" spans="1:15" ht="83.25" customHeight="1">
      <c r="A438" s="74" t="s">
        <v>511</v>
      </c>
      <c r="B438" s="75" t="s">
        <v>257</v>
      </c>
      <c r="C438" s="75" t="s">
        <v>208</v>
      </c>
      <c r="D438" s="98" t="s">
        <v>512</v>
      </c>
      <c r="E438" s="75" t="s">
        <v>206</v>
      </c>
      <c r="F438" s="76">
        <f t="shared" ref="F438:H439" si="106">F439</f>
        <v>3000</v>
      </c>
      <c r="G438" s="76">
        <f t="shared" si="106"/>
        <v>0</v>
      </c>
      <c r="H438" s="76">
        <f t="shared" si="106"/>
        <v>0</v>
      </c>
    </row>
    <row r="439" spans="1:15" ht="47.25" customHeight="1">
      <c r="A439" s="74" t="s">
        <v>284</v>
      </c>
      <c r="B439" s="75" t="s">
        <v>257</v>
      </c>
      <c r="C439" s="75" t="s">
        <v>208</v>
      </c>
      <c r="D439" s="98" t="s">
        <v>512</v>
      </c>
      <c r="E439" s="75" t="s">
        <v>283</v>
      </c>
      <c r="F439" s="76">
        <f t="shared" si="106"/>
        <v>3000</v>
      </c>
      <c r="G439" s="76">
        <f t="shared" si="106"/>
        <v>0</v>
      </c>
      <c r="H439" s="76">
        <f t="shared" si="106"/>
        <v>0</v>
      </c>
    </row>
    <row r="440" spans="1:15" ht="18" customHeight="1">
      <c r="A440" s="74" t="s">
        <v>497</v>
      </c>
      <c r="B440" s="75" t="s">
        <v>257</v>
      </c>
      <c r="C440" s="75" t="s">
        <v>208</v>
      </c>
      <c r="D440" s="98" t="s">
        <v>512</v>
      </c>
      <c r="E440" s="75" t="s">
        <v>499</v>
      </c>
      <c r="F440" s="76">
        <f>'5'!D62</f>
        <v>3000</v>
      </c>
      <c r="G440" s="76">
        <f>'5'!E62</f>
        <v>0</v>
      </c>
      <c r="H440" s="76">
        <f>'5'!F62</f>
        <v>0</v>
      </c>
    </row>
    <row r="441" spans="1:15" ht="31.5" hidden="1" customHeight="1">
      <c r="A441" s="70" t="s">
        <v>209</v>
      </c>
      <c r="B441" s="71" t="s">
        <v>257</v>
      </c>
      <c r="C441" s="71" t="s">
        <v>203</v>
      </c>
      <c r="D441" s="71" t="s">
        <v>210</v>
      </c>
      <c r="E441" s="71" t="s">
        <v>206</v>
      </c>
      <c r="F441" s="72">
        <f t="shared" ref="F441:H444" si="107">F442</f>
        <v>0</v>
      </c>
      <c r="G441" s="72">
        <f t="shared" si="107"/>
        <v>0</v>
      </c>
      <c r="H441" s="72">
        <f t="shared" si="107"/>
        <v>0</v>
      </c>
    </row>
    <row r="442" spans="1:15" ht="47.25" hidden="1" customHeight="1">
      <c r="A442" s="70" t="s">
        <v>211</v>
      </c>
      <c r="B442" s="71" t="s">
        <v>257</v>
      </c>
      <c r="C442" s="71" t="s">
        <v>203</v>
      </c>
      <c r="D442" s="71" t="s">
        <v>212</v>
      </c>
      <c r="E442" s="71" t="s">
        <v>206</v>
      </c>
      <c r="F442" s="72">
        <f t="shared" si="107"/>
        <v>0</v>
      </c>
      <c r="G442" s="72">
        <f t="shared" si="107"/>
        <v>0</v>
      </c>
      <c r="H442" s="72">
        <f t="shared" si="107"/>
        <v>0</v>
      </c>
    </row>
    <row r="443" spans="1:15" ht="31.5" hidden="1" customHeight="1">
      <c r="A443" s="134" t="s">
        <v>513</v>
      </c>
      <c r="B443" s="71" t="s">
        <v>257</v>
      </c>
      <c r="C443" s="71" t="s">
        <v>203</v>
      </c>
      <c r="D443" s="71" t="s">
        <v>507</v>
      </c>
      <c r="E443" s="71" t="s">
        <v>206</v>
      </c>
      <c r="F443" s="72">
        <f t="shared" si="107"/>
        <v>0</v>
      </c>
      <c r="G443" s="72">
        <f t="shared" si="107"/>
        <v>0</v>
      </c>
      <c r="H443" s="72">
        <f t="shared" si="107"/>
        <v>0</v>
      </c>
    </row>
    <row r="444" spans="1:15" ht="47.25" hidden="1" customHeight="1">
      <c r="A444" s="70" t="s">
        <v>284</v>
      </c>
      <c r="B444" s="71" t="s">
        <v>257</v>
      </c>
      <c r="C444" s="71" t="s">
        <v>203</v>
      </c>
      <c r="D444" s="71" t="s">
        <v>507</v>
      </c>
      <c r="E444" s="71" t="s">
        <v>283</v>
      </c>
      <c r="F444" s="72">
        <f t="shared" si="107"/>
        <v>0</v>
      </c>
      <c r="G444" s="72">
        <f t="shared" si="107"/>
        <v>0</v>
      </c>
      <c r="H444" s="72">
        <f t="shared" si="107"/>
        <v>0</v>
      </c>
    </row>
    <row r="445" spans="1:15" ht="15.75" hidden="1" customHeight="1">
      <c r="A445" s="70" t="s">
        <v>497</v>
      </c>
      <c r="B445" s="71" t="s">
        <v>257</v>
      </c>
      <c r="C445" s="71" t="s">
        <v>203</v>
      </c>
      <c r="D445" s="71" t="s">
        <v>507</v>
      </c>
      <c r="E445" s="71" t="s">
        <v>499</v>
      </c>
      <c r="F445" s="72"/>
      <c r="G445" s="72"/>
      <c r="H445" s="72"/>
      <c r="O445" s="97"/>
    </row>
    <row r="446" spans="1:15" s="97" customFormat="1" ht="17.25" customHeight="1">
      <c r="A446" s="66" t="s">
        <v>514</v>
      </c>
      <c r="B446" s="67" t="s">
        <v>257</v>
      </c>
      <c r="C446" s="67" t="s">
        <v>208</v>
      </c>
      <c r="D446" s="67" t="s">
        <v>205</v>
      </c>
      <c r="E446" s="67" t="s">
        <v>206</v>
      </c>
      <c r="F446" s="68">
        <f>F449+F452+F458+F486+F489+F508+F511+F514+F520+F517+F467+F474</f>
        <v>499951.93082515144</v>
      </c>
      <c r="G446" s="68">
        <f t="shared" ref="G446:H446" si="108">G449+G452+G458+G486+G489+G508+G511+G514+G520+G517</f>
        <v>465121.95900000003</v>
      </c>
      <c r="H446" s="68">
        <f t="shared" si="108"/>
        <v>491635.57853000006</v>
      </c>
      <c r="O446" s="77"/>
    </row>
    <row r="447" spans="1:15" s="77" customFormat="1" ht="54.75" customHeight="1">
      <c r="A447" s="132" t="s">
        <v>315</v>
      </c>
      <c r="B447" s="127" t="s">
        <v>257</v>
      </c>
      <c r="C447" s="127" t="s">
        <v>208</v>
      </c>
      <c r="D447" s="127" t="s">
        <v>493</v>
      </c>
      <c r="E447" s="127" t="s">
        <v>206</v>
      </c>
      <c r="F447" s="129">
        <f>F448+F485+F520</f>
        <v>189355.70151515151</v>
      </c>
      <c r="G447" s="129">
        <f>G448+G485+G520</f>
        <v>125260.1</v>
      </c>
      <c r="H447" s="129">
        <f>H448+H485+H520</f>
        <v>128841.75</v>
      </c>
      <c r="O447" s="50"/>
    </row>
    <row r="448" spans="1:15" ht="54" customHeight="1">
      <c r="A448" s="108" t="s">
        <v>515</v>
      </c>
      <c r="B448" s="75" t="s">
        <v>257</v>
      </c>
      <c r="C448" s="75" t="s">
        <v>208</v>
      </c>
      <c r="D448" s="75" t="s">
        <v>516</v>
      </c>
      <c r="E448" s="75" t="s">
        <v>206</v>
      </c>
      <c r="F448" s="76">
        <f>F449+F452+F464+F455+F458+F461+F467+F474</f>
        <v>155701.39151515151</v>
      </c>
      <c r="G448" s="76">
        <f t="shared" ref="G448:H448" si="109">G449+G452+G464+G455+G458+G461+G467+G474</f>
        <v>96895</v>
      </c>
      <c r="H448" s="76">
        <f t="shared" si="109"/>
        <v>100945</v>
      </c>
    </row>
    <row r="449" spans="1:8" ht="37.5" customHeight="1">
      <c r="A449" s="74" t="s">
        <v>517</v>
      </c>
      <c r="B449" s="75" t="s">
        <v>257</v>
      </c>
      <c r="C449" s="75" t="s">
        <v>208</v>
      </c>
      <c r="D449" s="75" t="s">
        <v>518</v>
      </c>
      <c r="E449" s="75" t="s">
        <v>206</v>
      </c>
      <c r="F449" s="76">
        <f t="shared" ref="F449:H450" si="110">F450</f>
        <v>10045.74</v>
      </c>
      <c r="G449" s="76">
        <f t="shared" si="110"/>
        <v>500</v>
      </c>
      <c r="H449" s="76">
        <f t="shared" si="110"/>
        <v>500</v>
      </c>
    </row>
    <row r="450" spans="1:8" ht="50.25" customHeight="1">
      <c r="A450" s="74" t="s">
        <v>284</v>
      </c>
      <c r="B450" s="75" t="s">
        <v>257</v>
      </c>
      <c r="C450" s="75" t="s">
        <v>208</v>
      </c>
      <c r="D450" s="75" t="s">
        <v>519</v>
      </c>
      <c r="E450" s="75" t="s">
        <v>283</v>
      </c>
      <c r="F450" s="76">
        <f t="shared" si="110"/>
        <v>10045.74</v>
      </c>
      <c r="G450" s="76">
        <f t="shared" si="110"/>
        <v>500</v>
      </c>
      <c r="H450" s="76">
        <f t="shared" si="110"/>
        <v>500</v>
      </c>
    </row>
    <row r="451" spans="1:8" ht="19.899999999999999" customHeight="1">
      <c r="A451" s="74" t="s">
        <v>497</v>
      </c>
      <c r="B451" s="75" t="s">
        <v>257</v>
      </c>
      <c r="C451" s="75" t="s">
        <v>208</v>
      </c>
      <c r="D451" s="75" t="s">
        <v>519</v>
      </c>
      <c r="E451" s="75" t="s">
        <v>499</v>
      </c>
      <c r="F451" s="76">
        <f>'5'!D15</f>
        <v>10045.74</v>
      </c>
      <c r="G451" s="76">
        <f>'5'!E15</f>
        <v>500</v>
      </c>
      <c r="H451" s="76">
        <f>'5'!F15</f>
        <v>500</v>
      </c>
    </row>
    <row r="452" spans="1:8" ht="99" customHeight="1">
      <c r="A452" s="74" t="s">
        <v>520</v>
      </c>
      <c r="B452" s="75" t="s">
        <v>257</v>
      </c>
      <c r="C452" s="75" t="s">
        <v>208</v>
      </c>
      <c r="D452" s="75" t="s">
        <v>518</v>
      </c>
      <c r="E452" s="75" t="s">
        <v>206</v>
      </c>
      <c r="F452" s="76">
        <f t="shared" ref="F452:H453" si="111">F453</f>
        <v>143018.5</v>
      </c>
      <c r="G452" s="76">
        <f t="shared" si="111"/>
        <v>96395</v>
      </c>
      <c r="H452" s="76">
        <f t="shared" si="111"/>
        <v>100445</v>
      </c>
    </row>
    <row r="453" spans="1:8" ht="53.25" customHeight="1">
      <c r="A453" s="74" t="s">
        <v>284</v>
      </c>
      <c r="B453" s="75" t="s">
        <v>257</v>
      </c>
      <c r="C453" s="75" t="s">
        <v>208</v>
      </c>
      <c r="D453" s="75" t="s">
        <v>521</v>
      </c>
      <c r="E453" s="75" t="s">
        <v>283</v>
      </c>
      <c r="F453" s="76">
        <f t="shared" si="111"/>
        <v>143018.5</v>
      </c>
      <c r="G453" s="76">
        <f t="shared" si="111"/>
        <v>96395</v>
      </c>
      <c r="H453" s="76">
        <f t="shared" si="111"/>
        <v>100445</v>
      </c>
    </row>
    <row r="454" spans="1:8" ht="19.5" customHeight="1">
      <c r="A454" s="74" t="s">
        <v>497</v>
      </c>
      <c r="B454" s="75" t="s">
        <v>257</v>
      </c>
      <c r="C454" s="75" t="s">
        <v>208</v>
      </c>
      <c r="D454" s="75" t="s">
        <v>521</v>
      </c>
      <c r="E454" s="75" t="s">
        <v>499</v>
      </c>
      <c r="F454" s="76">
        <f>'5'!D47+'5'!D48</f>
        <v>143018.5</v>
      </c>
      <c r="G454" s="76">
        <f>'5'!E47</f>
        <v>96395</v>
      </c>
      <c r="H454" s="76">
        <f>'5'!F47</f>
        <v>100445</v>
      </c>
    </row>
    <row r="455" spans="1:8" ht="94.5" hidden="1" customHeight="1">
      <c r="A455" s="74" t="s">
        <v>325</v>
      </c>
      <c r="B455" s="75" t="s">
        <v>257</v>
      </c>
      <c r="C455" s="75" t="s">
        <v>208</v>
      </c>
      <c r="D455" s="75" t="s">
        <v>522</v>
      </c>
      <c r="E455" s="75" t="s">
        <v>206</v>
      </c>
      <c r="F455" s="76">
        <f t="shared" ref="F455:H459" si="112">F456</f>
        <v>0</v>
      </c>
      <c r="G455" s="76">
        <f t="shared" si="112"/>
        <v>0</v>
      </c>
      <c r="H455" s="76">
        <f t="shared" si="112"/>
        <v>0</v>
      </c>
    </row>
    <row r="456" spans="1:8" ht="47.25" hidden="1" customHeight="1">
      <c r="A456" s="74" t="s">
        <v>284</v>
      </c>
      <c r="B456" s="75" t="s">
        <v>257</v>
      </c>
      <c r="C456" s="75" t="s">
        <v>208</v>
      </c>
      <c r="D456" s="75" t="s">
        <v>522</v>
      </c>
      <c r="E456" s="75" t="s">
        <v>283</v>
      </c>
      <c r="F456" s="76">
        <f t="shared" si="112"/>
        <v>0</v>
      </c>
      <c r="G456" s="76">
        <f t="shared" si="112"/>
        <v>0</v>
      </c>
      <c r="H456" s="76">
        <f t="shared" si="112"/>
        <v>0</v>
      </c>
    </row>
    <row r="457" spans="1:8" ht="15.75" hidden="1" customHeight="1">
      <c r="A457" s="74" t="s">
        <v>497</v>
      </c>
      <c r="B457" s="75" t="s">
        <v>257</v>
      </c>
      <c r="C457" s="75" t="s">
        <v>208</v>
      </c>
      <c r="D457" s="75" t="s">
        <v>522</v>
      </c>
      <c r="E457" s="75" t="s">
        <v>499</v>
      </c>
      <c r="F457" s="76"/>
      <c r="G457" s="76"/>
      <c r="H457" s="76"/>
    </row>
    <row r="458" spans="1:8" ht="50.25" customHeight="1">
      <c r="A458" s="74" t="s">
        <v>523</v>
      </c>
      <c r="B458" s="75" t="s">
        <v>257</v>
      </c>
      <c r="C458" s="75" t="s">
        <v>208</v>
      </c>
      <c r="D458" s="75" t="s">
        <v>524</v>
      </c>
      <c r="E458" s="75" t="s">
        <v>206</v>
      </c>
      <c r="F458" s="76">
        <f t="shared" si="112"/>
        <v>1122</v>
      </c>
      <c r="G458" s="76">
        <f t="shared" si="112"/>
        <v>0</v>
      </c>
      <c r="H458" s="76">
        <f t="shared" si="112"/>
        <v>0</v>
      </c>
    </row>
    <row r="459" spans="1:8" ht="49.15" customHeight="1">
      <c r="A459" s="74" t="s">
        <v>284</v>
      </c>
      <c r="B459" s="75" t="s">
        <v>257</v>
      </c>
      <c r="C459" s="75" t="s">
        <v>208</v>
      </c>
      <c r="D459" s="75" t="s">
        <v>524</v>
      </c>
      <c r="E459" s="75" t="s">
        <v>283</v>
      </c>
      <c r="F459" s="76">
        <f t="shared" si="112"/>
        <v>1122</v>
      </c>
      <c r="G459" s="76">
        <f t="shared" si="112"/>
        <v>0</v>
      </c>
      <c r="H459" s="76">
        <f t="shared" si="112"/>
        <v>0</v>
      </c>
    </row>
    <row r="460" spans="1:8" ht="19.5" customHeight="1">
      <c r="A460" s="74" t="s">
        <v>497</v>
      </c>
      <c r="B460" s="75" t="s">
        <v>257</v>
      </c>
      <c r="C460" s="75" t="s">
        <v>208</v>
      </c>
      <c r="D460" s="75" t="s">
        <v>524</v>
      </c>
      <c r="E460" s="75" t="s">
        <v>499</v>
      </c>
      <c r="F460" s="76">
        <f>'5'!D20</f>
        <v>1122</v>
      </c>
      <c r="G460" s="76">
        <f>'5'!E20</f>
        <v>0</v>
      </c>
      <c r="H460" s="76">
        <f>'5'!F20</f>
        <v>0</v>
      </c>
    </row>
    <row r="461" spans="1:8" ht="47.25" hidden="1" customHeight="1">
      <c r="A461" s="78" t="s">
        <v>525</v>
      </c>
      <c r="B461" s="75" t="s">
        <v>257</v>
      </c>
      <c r="C461" s="75" t="s">
        <v>208</v>
      </c>
      <c r="D461" s="75" t="s">
        <v>526</v>
      </c>
      <c r="E461" s="75" t="s">
        <v>206</v>
      </c>
      <c r="F461" s="80">
        <f t="shared" ref="F461:H465" si="113">F462</f>
        <v>0</v>
      </c>
      <c r="G461" s="80">
        <f t="shared" si="113"/>
        <v>0</v>
      </c>
      <c r="H461" s="80">
        <f t="shared" si="113"/>
        <v>0</v>
      </c>
    </row>
    <row r="462" spans="1:8" ht="47.25" hidden="1" customHeight="1">
      <c r="A462" s="74" t="s">
        <v>284</v>
      </c>
      <c r="B462" s="75" t="s">
        <v>257</v>
      </c>
      <c r="C462" s="75" t="s">
        <v>208</v>
      </c>
      <c r="D462" s="75" t="s">
        <v>526</v>
      </c>
      <c r="E462" s="75" t="s">
        <v>283</v>
      </c>
      <c r="F462" s="76">
        <f t="shared" si="113"/>
        <v>0</v>
      </c>
      <c r="G462" s="76">
        <f t="shared" si="113"/>
        <v>0</v>
      </c>
      <c r="H462" s="76">
        <f t="shared" si="113"/>
        <v>0</v>
      </c>
    </row>
    <row r="463" spans="1:8" ht="15.75" hidden="1" customHeight="1">
      <c r="A463" s="74" t="s">
        <v>497</v>
      </c>
      <c r="B463" s="75" t="s">
        <v>257</v>
      </c>
      <c r="C463" s="75" t="s">
        <v>208</v>
      </c>
      <c r="D463" s="75" t="s">
        <v>526</v>
      </c>
      <c r="E463" s="75" t="s">
        <v>499</v>
      </c>
      <c r="F463" s="76"/>
      <c r="G463" s="76"/>
      <c r="H463" s="76"/>
    </row>
    <row r="464" spans="1:8" ht="78.75" hidden="1" customHeight="1">
      <c r="A464" s="74" t="s">
        <v>527</v>
      </c>
      <c r="B464" s="75" t="s">
        <v>257</v>
      </c>
      <c r="C464" s="75" t="s">
        <v>208</v>
      </c>
      <c r="D464" s="98" t="s">
        <v>528</v>
      </c>
      <c r="E464" s="75" t="s">
        <v>206</v>
      </c>
      <c r="F464" s="76">
        <f t="shared" si="113"/>
        <v>0</v>
      </c>
      <c r="G464" s="76">
        <f t="shared" si="113"/>
        <v>0</v>
      </c>
      <c r="H464" s="76">
        <f t="shared" si="113"/>
        <v>0</v>
      </c>
    </row>
    <row r="465" spans="1:15" ht="47.25" hidden="1" customHeight="1">
      <c r="A465" s="74" t="s">
        <v>284</v>
      </c>
      <c r="B465" s="75" t="s">
        <v>257</v>
      </c>
      <c r="C465" s="75" t="s">
        <v>208</v>
      </c>
      <c r="D465" s="98" t="s">
        <v>528</v>
      </c>
      <c r="E465" s="75" t="s">
        <v>283</v>
      </c>
      <c r="F465" s="76">
        <f t="shared" si="113"/>
        <v>0</v>
      </c>
      <c r="G465" s="76">
        <f t="shared" si="113"/>
        <v>0</v>
      </c>
      <c r="H465" s="76">
        <f t="shared" si="113"/>
        <v>0</v>
      </c>
    </row>
    <row r="466" spans="1:15" ht="15.75" hidden="1" customHeight="1">
      <c r="A466" s="74" t="s">
        <v>497</v>
      </c>
      <c r="B466" s="75" t="s">
        <v>257</v>
      </c>
      <c r="C466" s="75" t="s">
        <v>208</v>
      </c>
      <c r="D466" s="98" t="s">
        <v>528</v>
      </c>
      <c r="E466" s="75" t="s">
        <v>499</v>
      </c>
      <c r="F466" s="76">
        <f>'5'!D27</f>
        <v>0</v>
      </c>
      <c r="G466" s="76">
        <f>'5'!E27</f>
        <v>0</v>
      </c>
      <c r="H466" s="76">
        <f>'5'!F27</f>
        <v>0</v>
      </c>
    </row>
    <row r="467" spans="1:15" ht="47.25" hidden="1" customHeight="1">
      <c r="A467" s="100" t="s">
        <v>510</v>
      </c>
      <c r="B467" s="101" t="s">
        <v>257</v>
      </c>
      <c r="C467" s="101" t="s">
        <v>208</v>
      </c>
      <c r="D467" s="133" t="s">
        <v>516</v>
      </c>
      <c r="E467" s="101" t="s">
        <v>206</v>
      </c>
      <c r="F467" s="102">
        <f>F468+F471</f>
        <v>0</v>
      </c>
      <c r="G467" s="102">
        <f>G468+G471</f>
        <v>0</v>
      </c>
      <c r="H467" s="102">
        <f>H468+H471</f>
        <v>0</v>
      </c>
    </row>
    <row r="468" spans="1:15" ht="78.75" hidden="1" customHeight="1">
      <c r="A468" s="74" t="s">
        <v>511</v>
      </c>
      <c r="B468" s="75" t="s">
        <v>257</v>
      </c>
      <c r="C468" s="75" t="s">
        <v>208</v>
      </c>
      <c r="D468" s="98" t="s">
        <v>529</v>
      </c>
      <c r="E468" s="75" t="s">
        <v>206</v>
      </c>
      <c r="F468" s="76">
        <f t="shared" ref="F468:H469" si="114">F469</f>
        <v>0</v>
      </c>
      <c r="G468" s="76">
        <f t="shared" si="114"/>
        <v>0</v>
      </c>
      <c r="H468" s="76">
        <f t="shared" si="114"/>
        <v>0</v>
      </c>
    </row>
    <row r="469" spans="1:15" ht="47.25" hidden="1" customHeight="1">
      <c r="A469" s="74" t="s">
        <v>284</v>
      </c>
      <c r="B469" s="75" t="s">
        <v>257</v>
      </c>
      <c r="C469" s="75" t="s">
        <v>208</v>
      </c>
      <c r="D469" s="98" t="s">
        <v>529</v>
      </c>
      <c r="E469" s="75" t="s">
        <v>283</v>
      </c>
      <c r="F469" s="76">
        <f t="shared" si="114"/>
        <v>0</v>
      </c>
      <c r="G469" s="76">
        <f t="shared" si="114"/>
        <v>0</v>
      </c>
      <c r="H469" s="76">
        <f t="shared" si="114"/>
        <v>0</v>
      </c>
    </row>
    <row r="470" spans="1:15" ht="15.75" hidden="1" customHeight="1">
      <c r="A470" s="74" t="s">
        <v>497</v>
      </c>
      <c r="B470" s="75" t="s">
        <v>257</v>
      </c>
      <c r="C470" s="75" t="s">
        <v>208</v>
      </c>
      <c r="D470" s="98" t="s">
        <v>529</v>
      </c>
      <c r="E470" s="75" t="s">
        <v>499</v>
      </c>
      <c r="F470" s="76">
        <f>'5'!D31</f>
        <v>0</v>
      </c>
      <c r="G470" s="76">
        <f>'5'!E29</f>
        <v>0</v>
      </c>
      <c r="H470" s="76">
        <f>'5'!F29</f>
        <v>0</v>
      </c>
    </row>
    <row r="471" spans="1:15" ht="63" hidden="1" customHeight="1">
      <c r="A471" s="74" t="s">
        <v>530</v>
      </c>
      <c r="B471" s="75" t="s">
        <v>257</v>
      </c>
      <c r="C471" s="75" t="s">
        <v>208</v>
      </c>
      <c r="D471" s="98" t="s">
        <v>531</v>
      </c>
      <c r="E471" s="75" t="s">
        <v>206</v>
      </c>
      <c r="F471" s="76">
        <f t="shared" ref="F471:H472" si="115">F472</f>
        <v>0</v>
      </c>
      <c r="G471" s="76">
        <f t="shared" si="115"/>
        <v>0</v>
      </c>
      <c r="H471" s="76">
        <f t="shared" si="115"/>
        <v>0</v>
      </c>
    </row>
    <row r="472" spans="1:15" ht="47.25" hidden="1" customHeight="1">
      <c r="A472" s="74" t="s">
        <v>284</v>
      </c>
      <c r="B472" s="75" t="s">
        <v>257</v>
      </c>
      <c r="C472" s="75" t="s">
        <v>208</v>
      </c>
      <c r="D472" s="98" t="s">
        <v>531</v>
      </c>
      <c r="E472" s="75" t="s">
        <v>283</v>
      </c>
      <c r="F472" s="76">
        <f t="shared" si="115"/>
        <v>0</v>
      </c>
      <c r="G472" s="76">
        <f t="shared" si="115"/>
        <v>0</v>
      </c>
      <c r="H472" s="76">
        <f t="shared" si="115"/>
        <v>0</v>
      </c>
    </row>
    <row r="473" spans="1:15" ht="15.75" hidden="1" customHeight="1">
      <c r="A473" s="74" t="s">
        <v>497</v>
      </c>
      <c r="B473" s="75" t="s">
        <v>257</v>
      </c>
      <c r="C473" s="75" t="s">
        <v>208</v>
      </c>
      <c r="D473" s="98" t="s">
        <v>531</v>
      </c>
      <c r="E473" s="75" t="s">
        <v>499</v>
      </c>
      <c r="F473" s="76">
        <f>'5'!D34</f>
        <v>0</v>
      </c>
      <c r="G473" s="76">
        <f>'5'!E30</f>
        <v>0</v>
      </c>
      <c r="H473" s="76">
        <f>'5'!F30</f>
        <v>0</v>
      </c>
      <c r="O473" s="99"/>
    </row>
    <row r="474" spans="1:15" s="99" customFormat="1" ht="47.25" customHeight="1">
      <c r="A474" s="100" t="s">
        <v>532</v>
      </c>
      <c r="B474" s="101" t="s">
        <v>257</v>
      </c>
      <c r="C474" s="101" t="s">
        <v>208</v>
      </c>
      <c r="D474" s="133" t="s">
        <v>516</v>
      </c>
      <c r="E474" s="101" t="s">
        <v>206</v>
      </c>
      <c r="F474" s="102">
        <f>F475+F478</f>
        <v>1515.1515151515152</v>
      </c>
      <c r="G474" s="102">
        <f t="shared" ref="G474:H474" si="116">G475+G478</f>
        <v>0</v>
      </c>
      <c r="H474" s="102">
        <f t="shared" si="116"/>
        <v>0</v>
      </c>
      <c r="O474" s="50"/>
    </row>
    <row r="475" spans="1:15" ht="78.75" customHeight="1">
      <c r="A475" s="74" t="s">
        <v>533</v>
      </c>
      <c r="B475" s="75" t="s">
        <v>257</v>
      </c>
      <c r="C475" s="75" t="s">
        <v>208</v>
      </c>
      <c r="D475" s="33" t="s">
        <v>534</v>
      </c>
      <c r="E475" s="75" t="s">
        <v>206</v>
      </c>
      <c r="F475" s="76">
        <f t="shared" ref="F475:F476" si="117">F476</f>
        <v>1515.1515151515152</v>
      </c>
      <c r="G475" s="76">
        <f t="shared" ref="G475:H475" si="118">G476</f>
        <v>0</v>
      </c>
      <c r="H475" s="76">
        <f t="shared" si="118"/>
        <v>0</v>
      </c>
    </row>
    <row r="476" spans="1:15" ht="47.25" customHeight="1">
      <c r="A476" s="74" t="s">
        <v>284</v>
      </c>
      <c r="B476" s="75" t="s">
        <v>257</v>
      </c>
      <c r="C476" s="75" t="s">
        <v>208</v>
      </c>
      <c r="D476" s="33" t="s">
        <v>534</v>
      </c>
      <c r="E476" s="75" t="s">
        <v>283</v>
      </c>
      <c r="F476" s="76">
        <f t="shared" si="117"/>
        <v>1515.1515151515152</v>
      </c>
      <c r="G476" s="76">
        <f>G481</f>
        <v>0</v>
      </c>
      <c r="H476" s="76">
        <f>H481</f>
        <v>0</v>
      </c>
    </row>
    <row r="477" spans="1:15" ht="15.75" customHeight="1">
      <c r="A477" s="74" t="s">
        <v>497</v>
      </c>
      <c r="B477" s="75" t="s">
        <v>257</v>
      </c>
      <c r="C477" s="75" t="s">
        <v>208</v>
      </c>
      <c r="D477" s="33" t="s">
        <v>534</v>
      </c>
      <c r="E477" s="75" t="s">
        <v>499</v>
      </c>
      <c r="F477" s="76">
        <f>'5'!D40</f>
        <v>1515.1515151515152</v>
      </c>
      <c r="G477" s="76">
        <v>0</v>
      </c>
      <c r="H477" s="76">
        <v>0</v>
      </c>
    </row>
    <row r="478" spans="1:15" ht="78.75" hidden="1" customHeight="1">
      <c r="A478" s="74" t="s">
        <v>535</v>
      </c>
      <c r="B478" s="75" t="s">
        <v>257</v>
      </c>
      <c r="C478" s="75" t="s">
        <v>208</v>
      </c>
      <c r="D478" s="33" t="s">
        <v>536</v>
      </c>
      <c r="E478" s="75" t="s">
        <v>206</v>
      </c>
      <c r="F478" s="76">
        <f t="shared" ref="F478:F479" si="119">F479</f>
        <v>0</v>
      </c>
      <c r="G478" s="76">
        <f t="shared" ref="G478:H479" si="120">G479</f>
        <v>0</v>
      </c>
      <c r="H478" s="76">
        <f t="shared" si="120"/>
        <v>0</v>
      </c>
    </row>
    <row r="479" spans="1:15" ht="47.25" hidden="1" customHeight="1">
      <c r="A479" s="74" t="s">
        <v>284</v>
      </c>
      <c r="B479" s="75" t="s">
        <v>257</v>
      </c>
      <c r="C479" s="75" t="s">
        <v>208</v>
      </c>
      <c r="D479" s="33" t="s">
        <v>536</v>
      </c>
      <c r="E479" s="75" t="s">
        <v>283</v>
      </c>
      <c r="F479" s="76">
        <f t="shared" si="119"/>
        <v>0</v>
      </c>
      <c r="G479" s="76">
        <f t="shared" si="120"/>
        <v>0</v>
      </c>
      <c r="H479" s="76">
        <f t="shared" si="120"/>
        <v>0</v>
      </c>
    </row>
    <row r="480" spans="1:15" ht="15.75" hidden="1" customHeight="1">
      <c r="A480" s="74" t="s">
        <v>497</v>
      </c>
      <c r="B480" s="75" t="s">
        <v>257</v>
      </c>
      <c r="C480" s="75" t="s">
        <v>208</v>
      </c>
      <c r="D480" s="33" t="s">
        <v>536</v>
      </c>
      <c r="E480" s="75" t="s">
        <v>499</v>
      </c>
      <c r="F480" s="76">
        <f>'5'!D43</f>
        <v>0</v>
      </c>
      <c r="G480" s="76">
        <v>0</v>
      </c>
      <c r="H480" s="76">
        <v>0</v>
      </c>
    </row>
    <row r="481" spans="1:8" ht="15.75" hidden="1" customHeight="1">
      <c r="A481" s="74"/>
      <c r="B481" s="75"/>
      <c r="C481" s="75"/>
      <c r="D481" s="98"/>
      <c r="E481" s="75"/>
      <c r="F481" s="76"/>
      <c r="G481" s="76"/>
      <c r="H481" s="76"/>
    </row>
    <row r="482" spans="1:8" ht="15.75" hidden="1" customHeight="1">
      <c r="A482" s="74"/>
      <c r="B482" s="75"/>
      <c r="C482" s="75"/>
      <c r="D482" s="33"/>
      <c r="E482" s="75"/>
      <c r="F482" s="76"/>
      <c r="G482" s="76"/>
      <c r="H482" s="76"/>
    </row>
    <row r="483" spans="1:8" ht="15.75" hidden="1" customHeight="1">
      <c r="A483" s="74"/>
      <c r="B483" s="75"/>
      <c r="C483" s="75"/>
      <c r="D483" s="33"/>
      <c r="E483" s="75"/>
      <c r="F483" s="76"/>
      <c r="G483" s="76"/>
      <c r="H483" s="76"/>
    </row>
    <row r="484" spans="1:8" ht="15.75" hidden="1" customHeight="1">
      <c r="A484" s="74"/>
      <c r="B484" s="75"/>
      <c r="C484" s="75"/>
      <c r="D484" s="33"/>
      <c r="E484" s="75"/>
      <c r="F484" s="76"/>
      <c r="G484" s="76"/>
      <c r="H484" s="76"/>
    </row>
    <row r="485" spans="1:8" ht="36.6" customHeight="1">
      <c r="A485" s="108" t="s">
        <v>537</v>
      </c>
      <c r="B485" s="75" t="s">
        <v>257</v>
      </c>
      <c r="C485" s="75" t="s">
        <v>208</v>
      </c>
      <c r="D485" s="75" t="s">
        <v>538</v>
      </c>
      <c r="E485" s="75" t="s">
        <v>206</v>
      </c>
      <c r="F485" s="76">
        <f>F486+F489</f>
        <v>5781.06</v>
      </c>
      <c r="G485" s="76">
        <f>G486+G489</f>
        <v>1800</v>
      </c>
      <c r="H485" s="76">
        <f>H486+H489</f>
        <v>1800</v>
      </c>
    </row>
    <row r="486" spans="1:8" ht="35.25" customHeight="1">
      <c r="A486" s="78" t="s">
        <v>539</v>
      </c>
      <c r="B486" s="75" t="s">
        <v>257</v>
      </c>
      <c r="C486" s="75" t="s">
        <v>208</v>
      </c>
      <c r="D486" s="75" t="s">
        <v>540</v>
      </c>
      <c r="E486" s="75" t="s">
        <v>206</v>
      </c>
      <c r="F486" s="76">
        <f t="shared" ref="F486:H487" si="121">F487</f>
        <v>250</v>
      </c>
      <c r="G486" s="76">
        <f t="shared" si="121"/>
        <v>300</v>
      </c>
      <c r="H486" s="76">
        <f t="shared" si="121"/>
        <v>300</v>
      </c>
    </row>
    <row r="487" spans="1:8" ht="54.75" customHeight="1">
      <c r="A487" s="74" t="s">
        <v>284</v>
      </c>
      <c r="B487" s="75" t="s">
        <v>257</v>
      </c>
      <c r="C487" s="75" t="s">
        <v>208</v>
      </c>
      <c r="D487" s="75" t="s">
        <v>541</v>
      </c>
      <c r="E487" s="75" t="s">
        <v>283</v>
      </c>
      <c r="F487" s="76">
        <f t="shared" si="121"/>
        <v>250</v>
      </c>
      <c r="G487" s="76">
        <f t="shared" si="121"/>
        <v>300</v>
      </c>
      <c r="H487" s="76">
        <f t="shared" si="121"/>
        <v>300</v>
      </c>
    </row>
    <row r="488" spans="1:8" ht="15.75" customHeight="1">
      <c r="A488" s="74" t="s">
        <v>497</v>
      </c>
      <c r="B488" s="75" t="s">
        <v>257</v>
      </c>
      <c r="C488" s="75" t="s">
        <v>208</v>
      </c>
      <c r="D488" s="75" t="s">
        <v>541</v>
      </c>
      <c r="E488" s="75" t="s">
        <v>499</v>
      </c>
      <c r="F488" s="76">
        <f>'5'!D71</f>
        <v>250</v>
      </c>
      <c r="G488" s="76">
        <f>'5'!E71</f>
        <v>300</v>
      </c>
      <c r="H488" s="76">
        <f>'5'!F71</f>
        <v>300</v>
      </c>
    </row>
    <row r="489" spans="1:8" ht="33.75" customHeight="1">
      <c r="A489" s="78" t="s">
        <v>542</v>
      </c>
      <c r="B489" s="75" t="s">
        <v>257</v>
      </c>
      <c r="C489" s="75" t="s">
        <v>208</v>
      </c>
      <c r="D489" s="75" t="s">
        <v>540</v>
      </c>
      <c r="E489" s="75" t="s">
        <v>206</v>
      </c>
      <c r="F489" s="76">
        <f t="shared" ref="F489:H490" si="122">F490</f>
        <v>5531.06</v>
      </c>
      <c r="G489" s="76">
        <f t="shared" si="122"/>
        <v>1500</v>
      </c>
      <c r="H489" s="76">
        <f t="shared" si="122"/>
        <v>1500</v>
      </c>
    </row>
    <row r="490" spans="1:8" ht="50.25" customHeight="1">
      <c r="A490" s="74" t="s">
        <v>284</v>
      </c>
      <c r="B490" s="75" t="s">
        <v>257</v>
      </c>
      <c r="C490" s="75" t="s">
        <v>208</v>
      </c>
      <c r="D490" s="75" t="s">
        <v>543</v>
      </c>
      <c r="E490" s="75" t="s">
        <v>283</v>
      </c>
      <c r="F490" s="76">
        <f t="shared" si="122"/>
        <v>5531.06</v>
      </c>
      <c r="G490" s="76">
        <f t="shared" si="122"/>
        <v>1500</v>
      </c>
      <c r="H490" s="76">
        <f t="shared" si="122"/>
        <v>1500</v>
      </c>
    </row>
    <row r="491" spans="1:8" ht="21.75" customHeight="1">
      <c r="A491" s="74" t="s">
        <v>497</v>
      </c>
      <c r="B491" s="75" t="s">
        <v>257</v>
      </c>
      <c r="C491" s="75" t="s">
        <v>208</v>
      </c>
      <c r="D491" s="75" t="s">
        <v>543</v>
      </c>
      <c r="E491" s="75" t="s">
        <v>499</v>
      </c>
      <c r="F491" s="76">
        <f>'5'!D72</f>
        <v>5531.06</v>
      </c>
      <c r="G491" s="76">
        <f>'5'!E72</f>
        <v>1500</v>
      </c>
      <c r="H491" s="76">
        <f>'5'!F72</f>
        <v>1500</v>
      </c>
    </row>
    <row r="492" spans="1:8" ht="31.5" hidden="1" customHeight="1">
      <c r="A492" s="108" t="s">
        <v>544</v>
      </c>
      <c r="B492" s="75" t="s">
        <v>257</v>
      </c>
      <c r="C492" s="75" t="s">
        <v>208</v>
      </c>
      <c r="D492" s="75" t="s">
        <v>545</v>
      </c>
      <c r="E492" s="75" t="s">
        <v>206</v>
      </c>
      <c r="F492" s="76">
        <f t="shared" ref="F492:H493" si="123">F493</f>
        <v>0</v>
      </c>
      <c r="G492" s="76">
        <f t="shared" si="123"/>
        <v>0</v>
      </c>
      <c r="H492" s="76">
        <f t="shared" si="123"/>
        <v>0</v>
      </c>
    </row>
    <row r="493" spans="1:8" ht="31.5" hidden="1" customHeight="1">
      <c r="A493" s="74" t="s">
        <v>546</v>
      </c>
      <c r="B493" s="75" t="s">
        <v>257</v>
      </c>
      <c r="C493" s="75" t="s">
        <v>208</v>
      </c>
      <c r="D493" s="75" t="s">
        <v>547</v>
      </c>
      <c r="E493" s="75" t="s">
        <v>206</v>
      </c>
      <c r="F493" s="76">
        <f t="shared" si="123"/>
        <v>0</v>
      </c>
      <c r="G493" s="76">
        <f t="shared" si="123"/>
        <v>0</v>
      </c>
      <c r="H493" s="76">
        <f t="shared" si="123"/>
        <v>0</v>
      </c>
    </row>
    <row r="494" spans="1:8" ht="47.25" hidden="1" customHeight="1">
      <c r="A494" s="74" t="s">
        <v>284</v>
      </c>
      <c r="B494" s="75" t="s">
        <v>257</v>
      </c>
      <c r="C494" s="75" t="s">
        <v>208</v>
      </c>
      <c r="D494" s="75" t="s">
        <v>547</v>
      </c>
      <c r="E494" s="75" t="s">
        <v>283</v>
      </c>
      <c r="F494" s="76">
        <f>F495+F496+F497+F498</f>
        <v>0</v>
      </c>
      <c r="G494" s="76">
        <f>G495+G496+G497+G498</f>
        <v>0</v>
      </c>
      <c r="H494" s="76">
        <f>H495+H496+H497+H498</f>
        <v>0</v>
      </c>
    </row>
    <row r="495" spans="1:8" ht="31.5" hidden="1" customHeight="1">
      <c r="A495" s="74" t="s">
        <v>548</v>
      </c>
      <c r="B495" s="75" t="s">
        <v>257</v>
      </c>
      <c r="C495" s="75" t="s">
        <v>208</v>
      </c>
      <c r="D495" s="75" t="s">
        <v>549</v>
      </c>
      <c r="E495" s="75" t="s">
        <v>499</v>
      </c>
      <c r="F495" s="76"/>
      <c r="G495" s="76"/>
      <c r="H495" s="76"/>
    </row>
    <row r="496" spans="1:8" ht="31.5" hidden="1">
      <c r="A496" s="74" t="s">
        <v>550</v>
      </c>
      <c r="B496" s="75" t="s">
        <v>257</v>
      </c>
      <c r="C496" s="75" t="s">
        <v>208</v>
      </c>
      <c r="D496" s="75" t="s">
        <v>551</v>
      </c>
      <c r="E496" s="75" t="s">
        <v>499</v>
      </c>
      <c r="F496" s="76"/>
      <c r="G496" s="76"/>
      <c r="H496" s="76"/>
    </row>
    <row r="497" spans="1:15" ht="31.5" hidden="1" customHeight="1">
      <c r="A497" s="74" t="s">
        <v>552</v>
      </c>
      <c r="B497" s="75" t="s">
        <v>257</v>
      </c>
      <c r="C497" s="75" t="s">
        <v>208</v>
      </c>
      <c r="D497" s="75" t="s">
        <v>553</v>
      </c>
      <c r="E497" s="75" t="s">
        <v>499</v>
      </c>
      <c r="F497" s="76"/>
      <c r="G497" s="76"/>
      <c r="H497" s="76"/>
    </row>
    <row r="498" spans="1:15" ht="31.5" hidden="1" customHeight="1">
      <c r="A498" s="74" t="s">
        <v>554</v>
      </c>
      <c r="B498" s="75" t="s">
        <v>257</v>
      </c>
      <c r="C498" s="75" t="s">
        <v>208</v>
      </c>
      <c r="D498" s="75" t="s">
        <v>555</v>
      </c>
      <c r="E498" s="75" t="s">
        <v>499</v>
      </c>
      <c r="F498" s="76"/>
      <c r="G498" s="76"/>
      <c r="H498" s="76"/>
    </row>
    <row r="499" spans="1:15" ht="51.75" customHeight="1">
      <c r="A499" s="78" t="s">
        <v>556</v>
      </c>
      <c r="B499" s="79" t="s">
        <v>257</v>
      </c>
      <c r="C499" s="79" t="s">
        <v>208</v>
      </c>
      <c r="D499" s="79" t="s">
        <v>493</v>
      </c>
      <c r="E499" s="79" t="s">
        <v>206</v>
      </c>
      <c r="F499" s="76">
        <f t="shared" ref="F499:F500" si="124">F500</f>
        <v>273458.663</v>
      </c>
      <c r="G499" s="76">
        <f t="shared" ref="G499:H500" si="125">G500</f>
        <v>302704.51300000004</v>
      </c>
      <c r="H499" s="76">
        <f t="shared" si="125"/>
        <v>325378.54400000005</v>
      </c>
    </row>
    <row r="500" spans="1:15" ht="57" customHeight="1">
      <c r="A500" s="108" t="s">
        <v>515</v>
      </c>
      <c r="B500" s="75" t="s">
        <v>257</v>
      </c>
      <c r="C500" s="75" t="s">
        <v>208</v>
      </c>
      <c r="D500" s="75" t="s">
        <v>516</v>
      </c>
      <c r="E500" s="75" t="s">
        <v>206</v>
      </c>
      <c r="F500" s="76">
        <f t="shared" si="124"/>
        <v>273458.663</v>
      </c>
      <c r="G500" s="76">
        <f t="shared" si="125"/>
        <v>302704.51300000004</v>
      </c>
      <c r="H500" s="76">
        <f t="shared" si="125"/>
        <v>325378.54400000005</v>
      </c>
      <c r="O500" s="77"/>
    </row>
    <row r="501" spans="1:15" s="77" customFormat="1" ht="16.5" customHeight="1">
      <c r="A501" s="78" t="s">
        <v>267</v>
      </c>
      <c r="B501" s="79" t="s">
        <v>257</v>
      </c>
      <c r="C501" s="79" t="s">
        <v>208</v>
      </c>
      <c r="D501" s="79" t="s">
        <v>493</v>
      </c>
      <c r="E501" s="79" t="s">
        <v>206</v>
      </c>
      <c r="F501" s="80">
        <f>F502+F505+F508</f>
        <v>273458.663</v>
      </c>
      <c r="G501" s="80">
        <f t="shared" ref="G501:H501" si="126">G502+G505+G508</f>
        <v>302704.51300000004</v>
      </c>
      <c r="H501" s="80">
        <f t="shared" si="126"/>
        <v>325378.54400000005</v>
      </c>
    </row>
    <row r="502" spans="1:15" s="77" customFormat="1" ht="69" hidden="1" customHeight="1">
      <c r="A502" s="78" t="s">
        <v>557</v>
      </c>
      <c r="B502" s="79" t="s">
        <v>257</v>
      </c>
      <c r="C502" s="79" t="s">
        <v>208</v>
      </c>
      <c r="D502" s="79" t="s">
        <v>516</v>
      </c>
      <c r="E502" s="79" t="s">
        <v>206</v>
      </c>
      <c r="F502" s="80">
        <f t="shared" ref="F502:H506" si="127">F503</f>
        <v>0</v>
      </c>
      <c r="G502" s="80">
        <f t="shared" si="127"/>
        <v>0</v>
      </c>
      <c r="H502" s="80">
        <f t="shared" si="127"/>
        <v>0</v>
      </c>
      <c r="O502" s="50"/>
    </row>
    <row r="503" spans="1:15" ht="49.5" hidden="1" customHeight="1">
      <c r="A503" s="74" t="s">
        <v>284</v>
      </c>
      <c r="B503" s="75" t="s">
        <v>257</v>
      </c>
      <c r="C503" s="75" t="s">
        <v>208</v>
      </c>
      <c r="D503" s="75" t="s">
        <v>558</v>
      </c>
      <c r="E503" s="75" t="s">
        <v>283</v>
      </c>
      <c r="F503" s="76">
        <f t="shared" si="127"/>
        <v>0</v>
      </c>
      <c r="G503" s="76">
        <f t="shared" si="127"/>
        <v>0</v>
      </c>
      <c r="H503" s="76">
        <f t="shared" si="127"/>
        <v>0</v>
      </c>
    </row>
    <row r="504" spans="1:15" ht="18" hidden="1" customHeight="1">
      <c r="A504" s="74" t="s">
        <v>497</v>
      </c>
      <c r="B504" s="75" t="s">
        <v>257</v>
      </c>
      <c r="C504" s="75" t="s">
        <v>208</v>
      </c>
      <c r="D504" s="75" t="s">
        <v>558</v>
      </c>
      <c r="E504" s="75" t="s">
        <v>499</v>
      </c>
      <c r="F504" s="76"/>
      <c r="G504" s="76"/>
      <c r="H504" s="76"/>
    </row>
    <row r="505" spans="1:15" ht="84" hidden="1" customHeight="1">
      <c r="A505" s="78" t="s">
        <v>559</v>
      </c>
      <c r="B505" s="79" t="s">
        <v>257</v>
      </c>
      <c r="C505" s="79" t="s">
        <v>208</v>
      </c>
      <c r="D505" s="79" t="s">
        <v>560</v>
      </c>
      <c r="E505" s="79" t="s">
        <v>206</v>
      </c>
      <c r="F505" s="80">
        <f t="shared" si="127"/>
        <v>0</v>
      </c>
      <c r="G505" s="80">
        <f t="shared" si="127"/>
        <v>0</v>
      </c>
      <c r="H505" s="80">
        <f t="shared" si="127"/>
        <v>0</v>
      </c>
    </row>
    <row r="506" spans="1:15" ht="52.5" hidden="1" customHeight="1">
      <c r="A506" s="74" t="s">
        <v>284</v>
      </c>
      <c r="B506" s="75" t="s">
        <v>257</v>
      </c>
      <c r="C506" s="75" t="s">
        <v>208</v>
      </c>
      <c r="D506" s="75" t="s">
        <v>560</v>
      </c>
      <c r="E506" s="75" t="s">
        <v>283</v>
      </c>
      <c r="F506" s="76">
        <f t="shared" si="127"/>
        <v>0</v>
      </c>
      <c r="G506" s="76">
        <f t="shared" si="127"/>
        <v>0</v>
      </c>
      <c r="H506" s="76">
        <f t="shared" si="127"/>
        <v>0</v>
      </c>
    </row>
    <row r="507" spans="1:15" ht="20.25" hidden="1" customHeight="1">
      <c r="A507" s="74" t="s">
        <v>497</v>
      </c>
      <c r="B507" s="75" t="s">
        <v>257</v>
      </c>
      <c r="C507" s="75" t="s">
        <v>208</v>
      </c>
      <c r="D507" s="75" t="s">
        <v>560</v>
      </c>
      <c r="E507" s="75" t="s">
        <v>499</v>
      </c>
      <c r="F507" s="76">
        <f>'5'!D52</f>
        <v>0</v>
      </c>
      <c r="G507" s="76">
        <f>'5'!E52</f>
        <v>0</v>
      </c>
      <c r="H507" s="76">
        <f>'5'!F52</f>
        <v>0</v>
      </c>
      <c r="O507" s="77"/>
    </row>
    <row r="508" spans="1:15" s="77" customFormat="1" ht="87" customHeight="1">
      <c r="A508" s="78" t="s">
        <v>561</v>
      </c>
      <c r="B508" s="79" t="s">
        <v>257</v>
      </c>
      <c r="C508" s="79" t="s">
        <v>208</v>
      </c>
      <c r="D508" s="79" t="s">
        <v>516</v>
      </c>
      <c r="E508" s="79" t="s">
        <v>206</v>
      </c>
      <c r="F508" s="80">
        <f t="shared" ref="F508:H509" si="128">F509</f>
        <v>273458.663</v>
      </c>
      <c r="G508" s="80">
        <f t="shared" si="128"/>
        <v>302704.51300000004</v>
      </c>
      <c r="H508" s="80">
        <f t="shared" si="128"/>
        <v>325378.54400000005</v>
      </c>
      <c r="O508" s="50"/>
    </row>
    <row r="509" spans="1:15" ht="55.5" customHeight="1">
      <c r="A509" s="74" t="s">
        <v>284</v>
      </c>
      <c r="B509" s="75" t="s">
        <v>257</v>
      </c>
      <c r="C509" s="75" t="s">
        <v>208</v>
      </c>
      <c r="D509" s="75" t="s">
        <v>562</v>
      </c>
      <c r="E509" s="75" t="s">
        <v>283</v>
      </c>
      <c r="F509" s="76">
        <f t="shared" si="128"/>
        <v>273458.663</v>
      </c>
      <c r="G509" s="76">
        <f t="shared" si="128"/>
        <v>302704.51300000004</v>
      </c>
      <c r="H509" s="76">
        <f t="shared" si="128"/>
        <v>325378.54400000005</v>
      </c>
    </row>
    <row r="510" spans="1:15" ht="21.75" customHeight="1">
      <c r="A510" s="74" t="s">
        <v>497</v>
      </c>
      <c r="B510" s="75" t="s">
        <v>257</v>
      </c>
      <c r="C510" s="75" t="s">
        <v>208</v>
      </c>
      <c r="D510" s="75" t="s">
        <v>562</v>
      </c>
      <c r="E510" s="75" t="s">
        <v>499</v>
      </c>
      <c r="F510" s="76">
        <f>'5'!D49</f>
        <v>273458.663</v>
      </c>
      <c r="G510" s="76">
        <f>'5'!E49</f>
        <v>302704.51300000004</v>
      </c>
      <c r="H510" s="76">
        <f>'5'!F49</f>
        <v>325378.54400000005</v>
      </c>
    </row>
    <row r="511" spans="1:15" ht="107.25" customHeight="1">
      <c r="A511" s="78" t="s">
        <v>185</v>
      </c>
      <c r="B511" s="79" t="s">
        <v>257</v>
      </c>
      <c r="C511" s="79" t="s">
        <v>208</v>
      </c>
      <c r="D511" s="128" t="s">
        <v>563</v>
      </c>
      <c r="E511" s="79" t="s">
        <v>206</v>
      </c>
      <c r="F511" s="80">
        <f t="shared" ref="F511:H512" si="129">F512</f>
        <v>35334</v>
      </c>
      <c r="G511" s="80">
        <f t="shared" si="129"/>
        <v>35334</v>
      </c>
      <c r="H511" s="80">
        <f t="shared" si="129"/>
        <v>35568</v>
      </c>
    </row>
    <row r="512" spans="1:15" ht="50.25" customHeight="1">
      <c r="A512" s="74" t="s">
        <v>284</v>
      </c>
      <c r="B512" s="75" t="s">
        <v>257</v>
      </c>
      <c r="C512" s="75" t="s">
        <v>208</v>
      </c>
      <c r="D512" s="128" t="s">
        <v>563</v>
      </c>
      <c r="E512" s="75" t="s">
        <v>283</v>
      </c>
      <c r="F512" s="76">
        <f t="shared" si="129"/>
        <v>35334</v>
      </c>
      <c r="G512" s="76">
        <f t="shared" si="129"/>
        <v>35334</v>
      </c>
      <c r="H512" s="76">
        <f t="shared" si="129"/>
        <v>35568</v>
      </c>
    </row>
    <row r="513" spans="1:15" ht="21.75" customHeight="1">
      <c r="A513" s="74" t="s">
        <v>497</v>
      </c>
      <c r="B513" s="75" t="s">
        <v>257</v>
      </c>
      <c r="C513" s="75" t="s">
        <v>208</v>
      </c>
      <c r="D513" s="128" t="s">
        <v>563</v>
      </c>
      <c r="E513" s="75" t="s">
        <v>499</v>
      </c>
      <c r="F513" s="76">
        <f>'5'!D53</f>
        <v>35334</v>
      </c>
      <c r="G513" s="76">
        <f>'5'!E53</f>
        <v>35334</v>
      </c>
      <c r="H513" s="76">
        <f>'5'!F53</f>
        <v>35568</v>
      </c>
    </row>
    <row r="514" spans="1:15" ht="117.75" customHeight="1">
      <c r="A514" s="78" t="s">
        <v>183</v>
      </c>
      <c r="B514" s="79" t="s">
        <v>257</v>
      </c>
      <c r="C514" s="79" t="s">
        <v>208</v>
      </c>
      <c r="D514" s="128" t="s">
        <v>564</v>
      </c>
      <c r="E514" s="79" t="s">
        <v>206</v>
      </c>
      <c r="F514" s="80">
        <f t="shared" ref="F514:H515" si="130">F515</f>
        <v>1303.5983099999999</v>
      </c>
      <c r="G514" s="80">
        <f t="shared" si="130"/>
        <v>1323.3780000000006</v>
      </c>
      <c r="H514" s="80">
        <f t="shared" si="130"/>
        <v>1347.3165300000005</v>
      </c>
    </row>
    <row r="515" spans="1:15" ht="54" customHeight="1">
      <c r="A515" s="74" t="s">
        <v>284</v>
      </c>
      <c r="B515" s="75" t="s">
        <v>257</v>
      </c>
      <c r="C515" s="75" t="s">
        <v>208</v>
      </c>
      <c r="D515" s="98" t="s">
        <v>564</v>
      </c>
      <c r="E515" s="75" t="s">
        <v>283</v>
      </c>
      <c r="F515" s="76">
        <f t="shared" si="130"/>
        <v>1303.5983099999999</v>
      </c>
      <c r="G515" s="76">
        <f t="shared" si="130"/>
        <v>1323.3780000000006</v>
      </c>
      <c r="H515" s="76">
        <f t="shared" si="130"/>
        <v>1347.3165300000005</v>
      </c>
    </row>
    <row r="516" spans="1:15" ht="21.75" customHeight="1">
      <c r="A516" s="74" t="s">
        <v>497</v>
      </c>
      <c r="B516" s="75" t="s">
        <v>257</v>
      </c>
      <c r="C516" s="75" t="s">
        <v>208</v>
      </c>
      <c r="D516" s="98" t="s">
        <v>564</v>
      </c>
      <c r="E516" s="75" t="s">
        <v>499</v>
      </c>
      <c r="F516" s="76">
        <f>'5'!D54</f>
        <v>1303.5983099999999</v>
      </c>
      <c r="G516" s="76">
        <f>'5'!E54</f>
        <v>1323.3780000000006</v>
      </c>
      <c r="H516" s="76">
        <f>'5'!F54</f>
        <v>1347.3165300000005</v>
      </c>
    </row>
    <row r="517" spans="1:15" ht="197.25" customHeight="1">
      <c r="A517" s="78" t="s">
        <v>565</v>
      </c>
      <c r="B517" s="79" t="s">
        <v>257</v>
      </c>
      <c r="C517" s="79" t="s">
        <v>208</v>
      </c>
      <c r="D517" s="128" t="s">
        <v>566</v>
      </c>
      <c r="E517" s="79" t="s">
        <v>206</v>
      </c>
      <c r="F517" s="80">
        <f t="shared" ref="F517:F518" si="131">F518</f>
        <v>499.96800000000002</v>
      </c>
      <c r="G517" s="80">
        <f t="shared" ref="G517:H518" si="132">G518</f>
        <v>499.96800000000002</v>
      </c>
      <c r="H517" s="80">
        <f t="shared" si="132"/>
        <v>499.96800000000002</v>
      </c>
    </row>
    <row r="518" spans="1:15" ht="53.25" customHeight="1">
      <c r="A518" s="74" t="s">
        <v>284</v>
      </c>
      <c r="B518" s="75" t="s">
        <v>257</v>
      </c>
      <c r="C518" s="75" t="s">
        <v>208</v>
      </c>
      <c r="D518" s="98" t="s">
        <v>567</v>
      </c>
      <c r="E518" s="75" t="s">
        <v>283</v>
      </c>
      <c r="F518" s="76">
        <f t="shared" si="131"/>
        <v>499.96800000000002</v>
      </c>
      <c r="G518" s="76">
        <f t="shared" si="132"/>
        <v>499.96800000000002</v>
      </c>
      <c r="H518" s="76">
        <f t="shared" si="132"/>
        <v>499.96800000000002</v>
      </c>
    </row>
    <row r="519" spans="1:15" ht="21.75" customHeight="1">
      <c r="A519" s="74" t="s">
        <v>497</v>
      </c>
      <c r="B519" s="75" t="s">
        <v>257</v>
      </c>
      <c r="C519" s="75" t="s">
        <v>208</v>
      </c>
      <c r="D519" s="98" t="s">
        <v>568</v>
      </c>
      <c r="E519" s="75" t="s">
        <v>499</v>
      </c>
      <c r="F519" s="76">
        <f>'5'!D55</f>
        <v>499.96800000000002</v>
      </c>
      <c r="G519" s="76">
        <f>'5'!E55</f>
        <v>499.96800000000002</v>
      </c>
      <c r="H519" s="76">
        <f>'5'!F55</f>
        <v>499.96800000000002</v>
      </c>
    </row>
    <row r="520" spans="1:15" ht="42.75" customHeight="1">
      <c r="A520" s="135" t="s">
        <v>569</v>
      </c>
      <c r="B520" s="136" t="s">
        <v>257</v>
      </c>
      <c r="C520" s="136" t="s">
        <v>208</v>
      </c>
      <c r="D520" s="136" t="s">
        <v>570</v>
      </c>
      <c r="E520" s="136" t="s">
        <v>206</v>
      </c>
      <c r="F520" s="137">
        <f>F523+F526+F529</f>
        <v>27873.25</v>
      </c>
      <c r="G520" s="137">
        <f>G521</f>
        <v>26565.1</v>
      </c>
      <c r="H520" s="137">
        <f>H521</f>
        <v>26096.75</v>
      </c>
    </row>
    <row r="521" spans="1:15" ht="25.9" customHeight="1">
      <c r="A521" s="78" t="s">
        <v>267</v>
      </c>
      <c r="B521" s="79" t="s">
        <v>257</v>
      </c>
      <c r="C521" s="79" t="s">
        <v>208</v>
      </c>
      <c r="D521" s="79" t="s">
        <v>570</v>
      </c>
      <c r="E521" s="79" t="s">
        <v>206</v>
      </c>
      <c r="F521" s="80">
        <f>F522+F525+F528</f>
        <v>27873.25</v>
      </c>
      <c r="G521" s="80">
        <f>G522+G525+G528</f>
        <v>26565.1</v>
      </c>
      <c r="H521" s="80">
        <f>H522+H525+H528</f>
        <v>26096.75</v>
      </c>
      <c r="O521" s="99"/>
    </row>
    <row r="522" spans="1:15" s="99" customFormat="1" ht="71.25" customHeight="1">
      <c r="A522" s="104" t="s">
        <v>557</v>
      </c>
      <c r="B522" s="105" t="s">
        <v>257</v>
      </c>
      <c r="C522" s="105" t="s">
        <v>208</v>
      </c>
      <c r="D522" s="105" t="s">
        <v>493</v>
      </c>
      <c r="E522" s="105" t="s">
        <v>206</v>
      </c>
      <c r="F522" s="106">
        <f t="shared" ref="F522:H523" si="133">F523</f>
        <v>12256.2</v>
      </c>
      <c r="G522" s="106">
        <f t="shared" si="133"/>
        <v>12256.2</v>
      </c>
      <c r="H522" s="106">
        <f t="shared" si="133"/>
        <v>12256.2</v>
      </c>
      <c r="O522" s="50"/>
    </row>
    <row r="523" spans="1:15" ht="52.5" customHeight="1">
      <c r="A523" s="74" t="s">
        <v>284</v>
      </c>
      <c r="B523" s="75" t="s">
        <v>257</v>
      </c>
      <c r="C523" s="75" t="s">
        <v>208</v>
      </c>
      <c r="D523" s="75" t="s">
        <v>571</v>
      </c>
      <c r="E523" s="75" t="s">
        <v>283</v>
      </c>
      <c r="F523" s="76">
        <f t="shared" si="133"/>
        <v>12256.2</v>
      </c>
      <c r="G523" s="76">
        <f t="shared" si="133"/>
        <v>12256.2</v>
      </c>
      <c r="H523" s="76">
        <f t="shared" si="133"/>
        <v>12256.2</v>
      </c>
    </row>
    <row r="524" spans="1:15" ht="25.9" customHeight="1">
      <c r="A524" s="74" t="s">
        <v>497</v>
      </c>
      <c r="B524" s="75" t="s">
        <v>257</v>
      </c>
      <c r="C524" s="75" t="s">
        <v>208</v>
      </c>
      <c r="D524" s="75" t="s">
        <v>571</v>
      </c>
      <c r="E524" s="75" t="s">
        <v>499</v>
      </c>
      <c r="F524" s="76">
        <f>'5'!D106</f>
        <v>12256.2</v>
      </c>
      <c r="G524" s="76">
        <f>'5'!E106</f>
        <v>12256.2</v>
      </c>
      <c r="H524" s="76">
        <f>'5'!F106</f>
        <v>12256.2</v>
      </c>
      <c r="O524" s="99"/>
    </row>
    <row r="525" spans="1:15" s="99" customFormat="1" ht="87" customHeight="1">
      <c r="A525" s="104" t="s">
        <v>559</v>
      </c>
      <c r="B525" s="105" t="s">
        <v>257</v>
      </c>
      <c r="C525" s="105" t="s">
        <v>208</v>
      </c>
      <c r="D525" s="138" t="s">
        <v>572</v>
      </c>
      <c r="E525" s="105" t="s">
        <v>206</v>
      </c>
      <c r="F525" s="106">
        <f t="shared" ref="F525:H526" si="134">F526</f>
        <v>15617.050000000001</v>
      </c>
      <c r="G525" s="106">
        <f t="shared" si="134"/>
        <v>14308.9</v>
      </c>
      <c r="H525" s="106">
        <f t="shared" si="134"/>
        <v>13840.550000000001</v>
      </c>
      <c r="O525" s="50"/>
    </row>
    <row r="526" spans="1:15" ht="56.25" customHeight="1">
      <c r="A526" s="74" t="s">
        <v>284</v>
      </c>
      <c r="B526" s="75" t="s">
        <v>257</v>
      </c>
      <c r="C526" s="75" t="s">
        <v>208</v>
      </c>
      <c r="D526" s="95" t="s">
        <v>572</v>
      </c>
      <c r="E526" s="75" t="s">
        <v>283</v>
      </c>
      <c r="F526" s="76">
        <f t="shared" si="134"/>
        <v>15617.050000000001</v>
      </c>
      <c r="G526" s="76">
        <f t="shared" si="134"/>
        <v>14308.9</v>
      </c>
      <c r="H526" s="76">
        <f t="shared" si="134"/>
        <v>13840.550000000001</v>
      </c>
    </row>
    <row r="527" spans="1:15" ht="23.25" customHeight="1">
      <c r="A527" s="74" t="s">
        <v>497</v>
      </c>
      <c r="B527" s="75" t="s">
        <v>257</v>
      </c>
      <c r="C527" s="75" t="s">
        <v>208</v>
      </c>
      <c r="D527" s="95" t="s">
        <v>572</v>
      </c>
      <c r="E527" s="75" t="s">
        <v>499</v>
      </c>
      <c r="F527" s="76">
        <f>'5'!D107</f>
        <v>15617.050000000001</v>
      </c>
      <c r="G527" s="76">
        <f>'5'!E107</f>
        <v>14308.9</v>
      </c>
      <c r="H527" s="76">
        <f>'5'!F107</f>
        <v>13840.550000000001</v>
      </c>
      <c r="O527" s="97"/>
    </row>
    <row r="528" spans="1:15" s="97" customFormat="1" ht="54" hidden="1" customHeight="1">
      <c r="A528" s="104"/>
      <c r="B528" s="105"/>
      <c r="C528" s="105"/>
      <c r="D528" s="139"/>
      <c r="E528" s="105"/>
      <c r="F528" s="106"/>
      <c r="G528" s="106"/>
      <c r="H528" s="106"/>
      <c r="O528" s="50"/>
    </row>
    <row r="529" spans="1:15" ht="52.5" hidden="1" customHeight="1">
      <c r="A529" s="74"/>
      <c r="B529" s="75"/>
      <c r="C529" s="75"/>
      <c r="D529" s="98"/>
      <c r="E529" s="75"/>
      <c r="F529" s="76"/>
      <c r="G529" s="76"/>
      <c r="H529" s="76"/>
    </row>
    <row r="530" spans="1:15" ht="22.5" hidden="1" customHeight="1">
      <c r="A530" s="74"/>
      <c r="B530" s="75"/>
      <c r="C530" s="75"/>
      <c r="D530" s="98"/>
      <c r="E530" s="75"/>
      <c r="F530" s="76"/>
      <c r="G530" s="76"/>
      <c r="H530" s="76"/>
    </row>
    <row r="531" spans="1:15" ht="20.25" customHeight="1">
      <c r="A531" s="66" t="s">
        <v>573</v>
      </c>
      <c r="B531" s="67" t="s">
        <v>257</v>
      </c>
      <c r="C531" s="67" t="s">
        <v>220</v>
      </c>
      <c r="D531" s="67" t="s">
        <v>205</v>
      </c>
      <c r="E531" s="67" t="s">
        <v>206</v>
      </c>
      <c r="F531" s="68">
        <f>F536+F537+F538+F542+F543+F544+F548+F550+F553+F559+F560+F565+F568+F570+F573+F580+F561</f>
        <v>105417.98762</v>
      </c>
      <c r="G531" s="68">
        <f t="shared" ref="G531:H531" si="135">G536+G537+G538+G542+G543+G544+G548+G550+G553+G559+G560+G565+G568+G570+G573+G580+G561</f>
        <v>68327.059180101016</v>
      </c>
      <c r="H531" s="68">
        <f t="shared" si="135"/>
        <v>72646.365601666679</v>
      </c>
      <c r="O531" s="77"/>
    </row>
    <row r="532" spans="1:15" s="77" customFormat="1" ht="48.75" customHeight="1">
      <c r="A532" s="132" t="s">
        <v>556</v>
      </c>
      <c r="B532" s="127" t="s">
        <v>257</v>
      </c>
      <c r="C532" s="127" t="s">
        <v>220</v>
      </c>
      <c r="D532" s="127" t="s">
        <v>493</v>
      </c>
      <c r="E532" s="127" t="s">
        <v>206</v>
      </c>
      <c r="F532" s="129">
        <f>F533</f>
        <v>76011.849000000002</v>
      </c>
      <c r="G532" s="129">
        <f t="shared" ref="G532:H532" si="136">G533</f>
        <v>41187.385170000009</v>
      </c>
      <c r="H532" s="129">
        <f t="shared" si="136"/>
        <v>39531.399935000009</v>
      </c>
      <c r="O532" s="50"/>
    </row>
    <row r="533" spans="1:15" ht="33.75" customHeight="1">
      <c r="A533" s="134" t="s">
        <v>544</v>
      </c>
      <c r="B533" s="71" t="s">
        <v>257</v>
      </c>
      <c r="C533" s="71" t="s">
        <v>220</v>
      </c>
      <c r="D533" s="71" t="s">
        <v>545</v>
      </c>
      <c r="E533" s="71" t="s">
        <v>206</v>
      </c>
      <c r="F533" s="72">
        <f>F534+F542+F538+F544+F549</f>
        <v>76011.849000000002</v>
      </c>
      <c r="G533" s="72">
        <f>G534+G542+G538+G544</f>
        <v>41187.385170000009</v>
      </c>
      <c r="H533" s="72">
        <f>H534+H542+H538+H544</f>
        <v>39531.399935000009</v>
      </c>
    </row>
    <row r="534" spans="1:15" ht="30" customHeight="1">
      <c r="A534" s="74" t="s">
        <v>546</v>
      </c>
      <c r="B534" s="75" t="s">
        <v>257</v>
      </c>
      <c r="C534" s="75" t="s">
        <v>220</v>
      </c>
      <c r="D534" s="75" t="s">
        <v>547</v>
      </c>
      <c r="E534" s="75" t="s">
        <v>206</v>
      </c>
      <c r="F534" s="76">
        <f>F535</f>
        <v>40308.381000000001</v>
      </c>
      <c r="G534" s="76">
        <f t="shared" ref="G534:H534" si="137">G535</f>
        <v>39149.517170000006</v>
      </c>
      <c r="H534" s="76">
        <f t="shared" si="137"/>
        <v>37493.531935000006</v>
      </c>
    </row>
    <row r="535" spans="1:15" ht="52.5" customHeight="1">
      <c r="A535" s="74" t="s">
        <v>284</v>
      </c>
      <c r="B535" s="75" t="s">
        <v>257</v>
      </c>
      <c r="C535" s="75" t="s">
        <v>220</v>
      </c>
      <c r="D535" s="75" t="s">
        <v>547</v>
      </c>
      <c r="E535" s="75" t="s">
        <v>283</v>
      </c>
      <c r="F535" s="76">
        <f>F536+F537+F543+F548</f>
        <v>40308.381000000001</v>
      </c>
      <c r="G535" s="76">
        <f t="shared" ref="G535:H535" si="138">G536+G537+G543+G548</f>
        <v>39149.517170000006</v>
      </c>
      <c r="H535" s="76">
        <f t="shared" si="138"/>
        <v>37493.531935000006</v>
      </c>
    </row>
    <row r="536" spans="1:15" ht="36" customHeight="1">
      <c r="A536" s="74" t="s">
        <v>574</v>
      </c>
      <c r="B536" s="75" t="s">
        <v>257</v>
      </c>
      <c r="C536" s="75" t="s">
        <v>220</v>
      </c>
      <c r="D536" s="75" t="s">
        <v>575</v>
      </c>
      <c r="E536" s="75" t="s">
        <v>499</v>
      </c>
      <c r="F536" s="76">
        <f>'5'!D76</f>
        <v>85</v>
      </c>
      <c r="G536" s="76">
        <f>'5'!E76</f>
        <v>0</v>
      </c>
      <c r="H536" s="76">
        <f>'5'!F76</f>
        <v>0</v>
      </c>
    </row>
    <row r="537" spans="1:15" ht="35.1" customHeight="1">
      <c r="A537" s="74" t="s">
        <v>576</v>
      </c>
      <c r="B537" s="75" t="s">
        <v>257</v>
      </c>
      <c r="C537" s="75" t="s">
        <v>220</v>
      </c>
      <c r="D537" s="75" t="s">
        <v>549</v>
      </c>
      <c r="E537" s="75" t="s">
        <v>499</v>
      </c>
      <c r="F537" s="76">
        <f>'5'!D79</f>
        <v>15921</v>
      </c>
      <c r="G537" s="76">
        <f>'5'!E79</f>
        <v>14443.21413</v>
      </c>
      <c r="H537" s="76">
        <f>'5'!F79</f>
        <v>14891.176935000001</v>
      </c>
    </row>
    <row r="538" spans="1:15" ht="54.6" customHeight="1">
      <c r="A538" s="74" t="s">
        <v>577</v>
      </c>
      <c r="B538" s="75" t="s">
        <v>257</v>
      </c>
      <c r="C538" s="75" t="s">
        <v>220</v>
      </c>
      <c r="D538" s="75" t="s">
        <v>578</v>
      </c>
      <c r="E538" s="75" t="s">
        <v>206</v>
      </c>
      <c r="F538" s="76">
        <f>F539</f>
        <v>860.76700000000005</v>
      </c>
      <c r="G538" s="76">
        <f t="shared" ref="G538:H538" si="139">G539</f>
        <v>860.76700000000005</v>
      </c>
      <c r="H538" s="76">
        <f t="shared" si="139"/>
        <v>860.76700000000005</v>
      </c>
    </row>
    <row r="539" spans="1:15" ht="51" customHeight="1">
      <c r="A539" s="74" t="s">
        <v>284</v>
      </c>
      <c r="B539" s="75" t="s">
        <v>257</v>
      </c>
      <c r="C539" s="75" t="s">
        <v>220</v>
      </c>
      <c r="D539" s="75" t="s">
        <v>578</v>
      </c>
      <c r="E539" s="75" t="s">
        <v>283</v>
      </c>
      <c r="F539" s="76">
        <f>F540+F541</f>
        <v>860.76700000000005</v>
      </c>
      <c r="G539" s="76">
        <f t="shared" ref="G539:H539" si="140">G540+G541</f>
        <v>860.76700000000005</v>
      </c>
      <c r="H539" s="76">
        <f t="shared" si="140"/>
        <v>860.76700000000005</v>
      </c>
    </row>
    <row r="540" spans="1:15" ht="15.75" hidden="1" customHeight="1">
      <c r="A540" s="74" t="s">
        <v>497</v>
      </c>
      <c r="B540" s="75" t="s">
        <v>257</v>
      </c>
      <c r="C540" s="75" t="s">
        <v>220</v>
      </c>
      <c r="D540" s="75" t="s">
        <v>578</v>
      </c>
      <c r="E540" s="75" t="s">
        <v>499</v>
      </c>
      <c r="F540" s="76"/>
      <c r="G540" s="76"/>
      <c r="H540" s="76"/>
    </row>
    <row r="541" spans="1:15" ht="113.25" customHeight="1">
      <c r="A541" s="74" t="s">
        <v>579</v>
      </c>
      <c r="B541" s="75" t="s">
        <v>257</v>
      </c>
      <c r="C541" s="75" t="s">
        <v>220</v>
      </c>
      <c r="D541" s="75" t="s">
        <v>578</v>
      </c>
      <c r="E541" s="75" t="s">
        <v>499</v>
      </c>
      <c r="F541" s="76">
        <v>860.76700000000005</v>
      </c>
      <c r="G541" s="76">
        <v>860.76700000000005</v>
      </c>
      <c r="H541" s="76">
        <v>860.76700000000005</v>
      </c>
      <c r="I541" s="73"/>
    </row>
    <row r="542" spans="1:15" ht="54" customHeight="1">
      <c r="A542" s="74" t="s">
        <v>580</v>
      </c>
      <c r="B542" s="75" t="s">
        <v>257</v>
      </c>
      <c r="C542" s="75" t="s">
        <v>220</v>
      </c>
      <c r="D542" s="75" t="s">
        <v>581</v>
      </c>
      <c r="E542" s="75" t="s">
        <v>499</v>
      </c>
      <c r="F542" s="76">
        <f>'5'!D78</f>
        <v>160</v>
      </c>
      <c r="G542" s="76">
        <f>'5'!E78</f>
        <v>0</v>
      </c>
      <c r="H542" s="76">
        <f>'5'!F78</f>
        <v>0</v>
      </c>
    </row>
    <row r="543" spans="1:15" ht="35.25" customHeight="1">
      <c r="A543" s="74" t="s">
        <v>582</v>
      </c>
      <c r="B543" s="75" t="s">
        <v>257</v>
      </c>
      <c r="C543" s="75" t="s">
        <v>220</v>
      </c>
      <c r="D543" s="75" t="s">
        <v>551</v>
      </c>
      <c r="E543" s="75" t="s">
        <v>499</v>
      </c>
      <c r="F543" s="76">
        <f>'5'!D80</f>
        <v>23292.381000000001</v>
      </c>
      <c r="G543" s="76">
        <f>'5'!E80</f>
        <v>23412.503040000003</v>
      </c>
      <c r="H543" s="76">
        <f>'5'!F80</f>
        <v>21108.555</v>
      </c>
    </row>
    <row r="544" spans="1:15" ht="63.6" customHeight="1">
      <c r="A544" s="74" t="s">
        <v>583</v>
      </c>
      <c r="B544" s="75" t="s">
        <v>257</v>
      </c>
      <c r="C544" s="75" t="s">
        <v>220</v>
      </c>
      <c r="D544" s="75" t="s">
        <v>578</v>
      </c>
      <c r="E544" s="75" t="s">
        <v>206</v>
      </c>
      <c r="F544" s="76">
        <f>F545</f>
        <v>1177.1010000000001</v>
      </c>
      <c r="G544" s="76">
        <f>G545</f>
        <v>1177.1010000000001</v>
      </c>
      <c r="H544" s="76">
        <f>H545</f>
        <v>1177.1010000000001</v>
      </c>
    </row>
    <row r="545" spans="1:15" ht="51.6" customHeight="1">
      <c r="A545" s="74" t="s">
        <v>284</v>
      </c>
      <c r="B545" s="75" t="s">
        <v>257</v>
      </c>
      <c r="C545" s="75" t="s">
        <v>220</v>
      </c>
      <c r="D545" s="75" t="s">
        <v>578</v>
      </c>
      <c r="E545" s="75" t="s">
        <v>283</v>
      </c>
      <c r="F545" s="76">
        <f>F546+F547</f>
        <v>1177.1010000000001</v>
      </c>
      <c r="G545" s="76">
        <f t="shared" ref="G545:H545" si="141">G546+G547</f>
        <v>1177.1010000000001</v>
      </c>
      <c r="H545" s="76">
        <f t="shared" si="141"/>
        <v>1177.1010000000001</v>
      </c>
    </row>
    <row r="546" spans="1:15" ht="15.75" hidden="1" customHeight="1">
      <c r="A546" s="74" t="s">
        <v>497</v>
      </c>
      <c r="B546" s="75" t="s">
        <v>257</v>
      </c>
      <c r="C546" s="75" t="s">
        <v>220</v>
      </c>
      <c r="D546" s="75" t="s">
        <v>578</v>
      </c>
      <c r="E546" s="75" t="s">
        <v>499</v>
      </c>
      <c r="F546" s="76"/>
      <c r="G546" s="76"/>
      <c r="H546" s="76"/>
    </row>
    <row r="547" spans="1:15" ht="116.25" customHeight="1">
      <c r="A547" s="74" t="s">
        <v>579</v>
      </c>
      <c r="B547" s="75" t="s">
        <v>257</v>
      </c>
      <c r="C547" s="75" t="s">
        <v>220</v>
      </c>
      <c r="D547" s="75" t="s">
        <v>578</v>
      </c>
      <c r="E547" s="75" t="s">
        <v>499</v>
      </c>
      <c r="F547" s="76">
        <v>1177.1010000000001</v>
      </c>
      <c r="G547" s="76">
        <v>1177.1010000000001</v>
      </c>
      <c r="H547" s="76">
        <v>1177.1010000000001</v>
      </c>
    </row>
    <row r="548" spans="1:15" ht="84.75" customHeight="1">
      <c r="A548" s="74" t="s">
        <v>584</v>
      </c>
      <c r="B548" s="75" t="s">
        <v>257</v>
      </c>
      <c r="C548" s="75" t="s">
        <v>220</v>
      </c>
      <c r="D548" s="75" t="s">
        <v>585</v>
      </c>
      <c r="E548" s="75" t="s">
        <v>499</v>
      </c>
      <c r="F548" s="76">
        <f>'5'!D88</f>
        <v>1010</v>
      </c>
      <c r="G548" s="76">
        <f>'5'!E88</f>
        <v>1293.8</v>
      </c>
      <c r="H548" s="76">
        <f>'5'!F88</f>
        <v>1493.8</v>
      </c>
    </row>
    <row r="549" spans="1:15" ht="70.5" customHeight="1">
      <c r="A549" s="104" t="s">
        <v>586</v>
      </c>
      <c r="B549" s="75" t="s">
        <v>257</v>
      </c>
      <c r="C549" s="75" t="s">
        <v>220</v>
      </c>
      <c r="D549" s="75" t="s">
        <v>205</v>
      </c>
      <c r="E549" s="75" t="s">
        <v>206</v>
      </c>
      <c r="F549" s="106">
        <f>F550+F553</f>
        <v>33505.599999999999</v>
      </c>
      <c r="G549" s="106">
        <f t="shared" ref="G549:H549" si="142">G550+G553</f>
        <v>0</v>
      </c>
      <c r="H549" s="106">
        <f t="shared" si="142"/>
        <v>0</v>
      </c>
    </row>
    <row r="550" spans="1:15" ht="84" customHeight="1">
      <c r="A550" s="74" t="s">
        <v>587</v>
      </c>
      <c r="B550" s="75" t="s">
        <v>257</v>
      </c>
      <c r="C550" s="75" t="s">
        <v>220</v>
      </c>
      <c r="D550" s="75" t="s">
        <v>588</v>
      </c>
      <c r="E550" s="75" t="s">
        <v>206</v>
      </c>
      <c r="F550" s="76">
        <f t="shared" ref="F550:F551" si="143">F551</f>
        <v>33170.544000000002</v>
      </c>
      <c r="G550" s="76">
        <f t="shared" ref="G550:H551" si="144">G551</f>
        <v>0</v>
      </c>
      <c r="H550" s="76">
        <f t="shared" si="144"/>
        <v>0</v>
      </c>
    </row>
    <row r="551" spans="1:15" ht="53.25" customHeight="1">
      <c r="A551" s="74" t="s">
        <v>284</v>
      </c>
      <c r="B551" s="75" t="s">
        <v>257</v>
      </c>
      <c r="C551" s="75" t="s">
        <v>220</v>
      </c>
      <c r="D551" s="75" t="s">
        <v>588</v>
      </c>
      <c r="E551" s="75" t="s">
        <v>283</v>
      </c>
      <c r="F551" s="76">
        <f t="shared" si="143"/>
        <v>33170.544000000002</v>
      </c>
      <c r="G551" s="76">
        <f t="shared" si="144"/>
        <v>0</v>
      </c>
      <c r="H551" s="76">
        <f t="shared" si="144"/>
        <v>0</v>
      </c>
    </row>
    <row r="552" spans="1:15" ht="21.75" customHeight="1">
      <c r="A552" s="74" t="s">
        <v>497</v>
      </c>
      <c r="B552" s="75" t="s">
        <v>257</v>
      </c>
      <c r="C552" s="75" t="s">
        <v>220</v>
      </c>
      <c r="D552" s="75" t="s">
        <v>588</v>
      </c>
      <c r="E552" s="75" t="s">
        <v>499</v>
      </c>
      <c r="F552" s="76">
        <f>'5'!D84</f>
        <v>33170.544000000002</v>
      </c>
      <c r="G552" s="76">
        <f>'5'!E84</f>
        <v>0</v>
      </c>
      <c r="H552" s="76">
        <f>'5'!F84</f>
        <v>0</v>
      </c>
    </row>
    <row r="553" spans="1:15" ht="117" customHeight="1">
      <c r="A553" s="78" t="s">
        <v>589</v>
      </c>
      <c r="B553" s="79" t="s">
        <v>257</v>
      </c>
      <c r="C553" s="79" t="s">
        <v>220</v>
      </c>
      <c r="D553" s="79" t="s">
        <v>590</v>
      </c>
      <c r="E553" s="79" t="s">
        <v>206</v>
      </c>
      <c r="F553" s="80">
        <f t="shared" ref="F553:F554" si="145">F554</f>
        <v>335.05599999999998</v>
      </c>
      <c r="G553" s="80">
        <f t="shared" ref="G553:H554" si="146">G554</f>
        <v>0</v>
      </c>
      <c r="H553" s="80">
        <f t="shared" si="146"/>
        <v>0</v>
      </c>
    </row>
    <row r="554" spans="1:15" ht="56.25" customHeight="1">
      <c r="A554" s="74" t="s">
        <v>284</v>
      </c>
      <c r="B554" s="75" t="s">
        <v>257</v>
      </c>
      <c r="C554" s="75" t="s">
        <v>220</v>
      </c>
      <c r="D554" s="75" t="s">
        <v>590</v>
      </c>
      <c r="E554" s="75" t="s">
        <v>283</v>
      </c>
      <c r="F554" s="76">
        <f t="shared" si="145"/>
        <v>335.05599999999998</v>
      </c>
      <c r="G554" s="76">
        <f t="shared" si="146"/>
        <v>0</v>
      </c>
      <c r="H554" s="76">
        <f t="shared" si="146"/>
        <v>0</v>
      </c>
    </row>
    <row r="555" spans="1:15" ht="20.45" customHeight="1">
      <c r="A555" s="74" t="s">
        <v>497</v>
      </c>
      <c r="B555" s="75" t="s">
        <v>257</v>
      </c>
      <c r="C555" s="75" t="s">
        <v>220</v>
      </c>
      <c r="D555" s="75" t="s">
        <v>590</v>
      </c>
      <c r="E555" s="75" t="s">
        <v>499</v>
      </c>
      <c r="F555" s="76">
        <f>'5'!D85</f>
        <v>335.05599999999998</v>
      </c>
      <c r="G555" s="76">
        <f>'5'!E85</f>
        <v>0</v>
      </c>
      <c r="H555" s="76">
        <f>'5'!F85</f>
        <v>0</v>
      </c>
      <c r="O555" s="77"/>
    </row>
    <row r="556" spans="1:15" s="77" customFormat="1" ht="55.15" customHeight="1">
      <c r="A556" s="78" t="s">
        <v>591</v>
      </c>
      <c r="B556" s="79" t="s">
        <v>257</v>
      </c>
      <c r="C556" s="79" t="s">
        <v>220</v>
      </c>
      <c r="D556" s="79" t="s">
        <v>592</v>
      </c>
      <c r="E556" s="79" t="s">
        <v>206</v>
      </c>
      <c r="F556" s="80">
        <f>F558+F564+F569</f>
        <v>29276.089619999999</v>
      </c>
      <c r="G556" s="80">
        <f t="shared" ref="G556:H556" si="147">G558+G564+G569</f>
        <v>27139.674010101011</v>
      </c>
      <c r="H556" s="80">
        <f t="shared" si="147"/>
        <v>33114.965666666663</v>
      </c>
    </row>
    <row r="557" spans="1:15" s="77" customFormat="1" ht="52.9" customHeight="1">
      <c r="A557" s="78" t="s">
        <v>593</v>
      </c>
      <c r="B557" s="79" t="s">
        <v>257</v>
      </c>
      <c r="C557" s="79" t="s">
        <v>220</v>
      </c>
      <c r="D557" s="79" t="s">
        <v>592</v>
      </c>
      <c r="E557" s="79" t="s">
        <v>206</v>
      </c>
      <c r="F557" s="80">
        <f>F558</f>
        <v>25210</v>
      </c>
      <c r="G557" s="80">
        <f>G558</f>
        <v>26129.573</v>
      </c>
      <c r="H557" s="80">
        <f>H558</f>
        <v>25924.976999999999</v>
      </c>
      <c r="O557" s="50"/>
    </row>
    <row r="558" spans="1:15" ht="25.15" customHeight="1">
      <c r="A558" s="74" t="s">
        <v>504</v>
      </c>
      <c r="B558" s="75" t="s">
        <v>257</v>
      </c>
      <c r="C558" s="75" t="s">
        <v>220</v>
      </c>
      <c r="D558" s="75" t="s">
        <v>592</v>
      </c>
      <c r="E558" s="75" t="s">
        <v>283</v>
      </c>
      <c r="F558" s="76">
        <f>F559+F560</f>
        <v>25210</v>
      </c>
      <c r="G558" s="76">
        <f>G559+G560</f>
        <v>26129.573</v>
      </c>
      <c r="H558" s="76">
        <f>H559+H560</f>
        <v>25924.976999999999</v>
      </c>
    </row>
    <row r="559" spans="1:15" ht="51" customHeight="1">
      <c r="A559" s="104" t="s">
        <v>594</v>
      </c>
      <c r="B559" s="105" t="s">
        <v>257</v>
      </c>
      <c r="C559" s="105" t="s">
        <v>220</v>
      </c>
      <c r="D559" s="105" t="s">
        <v>595</v>
      </c>
      <c r="E559" s="105" t="s">
        <v>499</v>
      </c>
      <c r="F559" s="106">
        <f>'5'!D192</f>
        <v>17820</v>
      </c>
      <c r="G559" s="106">
        <f>'5'!E192</f>
        <v>17917.303</v>
      </c>
      <c r="H559" s="106">
        <f>'5'!F192</f>
        <v>17141.844000000001</v>
      </c>
    </row>
    <row r="560" spans="1:15" ht="54" customHeight="1">
      <c r="A560" s="104" t="s">
        <v>596</v>
      </c>
      <c r="B560" s="105" t="s">
        <v>257</v>
      </c>
      <c r="C560" s="105" t="s">
        <v>220</v>
      </c>
      <c r="D560" s="105" t="s">
        <v>597</v>
      </c>
      <c r="E560" s="105" t="s">
        <v>499</v>
      </c>
      <c r="F560" s="106">
        <f>'5'!D194</f>
        <v>7390</v>
      </c>
      <c r="G560" s="106">
        <f>'5'!E194</f>
        <v>8212.27</v>
      </c>
      <c r="H560" s="106">
        <f>'5'!F194</f>
        <v>8783.1329999999998</v>
      </c>
    </row>
    <row r="561" spans="1:15" ht="39.75" customHeight="1">
      <c r="A561" s="104" t="s">
        <v>574</v>
      </c>
      <c r="B561" s="105" t="s">
        <v>257</v>
      </c>
      <c r="C561" s="105" t="s">
        <v>220</v>
      </c>
      <c r="D561" s="105" t="s">
        <v>598</v>
      </c>
      <c r="E561" s="105" t="s">
        <v>283</v>
      </c>
      <c r="F561" s="106">
        <f>F562</f>
        <v>40</v>
      </c>
      <c r="G561" s="106">
        <f>G562</f>
        <v>0</v>
      </c>
      <c r="H561" s="106">
        <f>H562</f>
        <v>0</v>
      </c>
    </row>
    <row r="562" spans="1:15" ht="47.25" customHeight="1">
      <c r="A562" s="74" t="s">
        <v>599</v>
      </c>
      <c r="B562" s="75" t="s">
        <v>257</v>
      </c>
      <c r="C562" s="75" t="s">
        <v>220</v>
      </c>
      <c r="D562" s="75" t="s">
        <v>598</v>
      </c>
      <c r="E562" s="75" t="s">
        <v>499</v>
      </c>
      <c r="F562" s="140">
        <f>'4'!G393</f>
        <v>40</v>
      </c>
      <c r="G562" s="76">
        <v>0</v>
      </c>
      <c r="H562" s="76">
        <v>0</v>
      </c>
    </row>
    <row r="563" spans="1:15" ht="15.75" hidden="1" customHeight="1">
      <c r="A563" s="104"/>
      <c r="B563" s="105"/>
      <c r="C563" s="105"/>
      <c r="D563" s="105"/>
      <c r="E563" s="105"/>
      <c r="F563" s="106"/>
      <c r="G563" s="106"/>
      <c r="H563" s="106"/>
    </row>
    <row r="564" spans="1:15" ht="86.25" customHeight="1">
      <c r="A564" s="104" t="s">
        <v>600</v>
      </c>
      <c r="B564" s="105" t="s">
        <v>257</v>
      </c>
      <c r="C564" s="105" t="s">
        <v>220</v>
      </c>
      <c r="D564" s="105" t="s">
        <v>205</v>
      </c>
      <c r="E564" s="105" t="s">
        <v>206</v>
      </c>
      <c r="F564" s="106">
        <f>F565+F567</f>
        <v>1010.10101</v>
      </c>
      <c r="G564" s="106">
        <f>G565+G567</f>
        <v>1010.10101010101</v>
      </c>
      <c r="H564" s="106">
        <f>H565+H567</f>
        <v>1010.10101010101</v>
      </c>
    </row>
    <row r="565" spans="1:15" ht="99.75" customHeight="1">
      <c r="A565" s="74" t="s">
        <v>601</v>
      </c>
      <c r="B565" s="75" t="s">
        <v>257</v>
      </c>
      <c r="C565" s="75" t="s">
        <v>220</v>
      </c>
      <c r="D565" s="75" t="s">
        <v>602</v>
      </c>
      <c r="E565" s="75" t="s">
        <v>206</v>
      </c>
      <c r="F565" s="76">
        <f>F566</f>
        <v>1000</v>
      </c>
      <c r="G565" s="76">
        <f>G566</f>
        <v>1000</v>
      </c>
      <c r="H565" s="76">
        <f>H566</f>
        <v>1000</v>
      </c>
    </row>
    <row r="566" spans="1:15" ht="23.25" customHeight="1">
      <c r="A566" s="74" t="s">
        <v>497</v>
      </c>
      <c r="B566" s="75" t="s">
        <v>257</v>
      </c>
      <c r="C566" s="75" t="s">
        <v>220</v>
      </c>
      <c r="D566" s="75" t="s">
        <v>602</v>
      </c>
      <c r="E566" s="75" t="s">
        <v>283</v>
      </c>
      <c r="F566" s="76">
        <f>'5'!D185</f>
        <v>1000</v>
      </c>
      <c r="G566" s="76">
        <f>'5'!E185</f>
        <v>1000</v>
      </c>
      <c r="H566" s="76">
        <f>'5'!F185</f>
        <v>1000</v>
      </c>
    </row>
    <row r="567" spans="1:15" ht="117" customHeight="1">
      <c r="A567" s="74" t="s">
        <v>603</v>
      </c>
      <c r="B567" s="75" t="s">
        <v>257</v>
      </c>
      <c r="C567" s="75" t="s">
        <v>220</v>
      </c>
      <c r="D567" s="75" t="s">
        <v>604</v>
      </c>
      <c r="E567" s="75" t="s">
        <v>283</v>
      </c>
      <c r="F567" s="76">
        <f>F568</f>
        <v>10.10101</v>
      </c>
      <c r="G567" s="76">
        <f>G568</f>
        <v>10.1010101010101</v>
      </c>
      <c r="H567" s="76">
        <f>H568</f>
        <v>10.1010101010101</v>
      </c>
    </row>
    <row r="568" spans="1:15" ht="26.25" customHeight="1">
      <c r="A568" s="74" t="s">
        <v>497</v>
      </c>
      <c r="B568" s="75" t="s">
        <v>257</v>
      </c>
      <c r="C568" s="75" t="s">
        <v>220</v>
      </c>
      <c r="D568" s="75" t="s">
        <v>604</v>
      </c>
      <c r="E568" s="75" t="s">
        <v>499</v>
      </c>
      <c r="F568" s="76">
        <f>'5'!D186</f>
        <v>10.10101</v>
      </c>
      <c r="G568" s="76">
        <f>'5'!E186</f>
        <v>10.1010101010101</v>
      </c>
      <c r="H568" s="76">
        <f>'5'!F186</f>
        <v>10.1010101010101</v>
      </c>
      <c r="O568" s="77"/>
    </row>
    <row r="569" spans="1:15" s="77" customFormat="1" ht="93.75" customHeight="1">
      <c r="A569" s="104" t="s">
        <v>605</v>
      </c>
      <c r="B569" s="105" t="s">
        <v>257</v>
      </c>
      <c r="C569" s="105" t="s">
        <v>220</v>
      </c>
      <c r="D569" s="105" t="s">
        <v>606</v>
      </c>
      <c r="E569" s="105" t="s">
        <v>206</v>
      </c>
      <c r="F569" s="106">
        <f>F570+F573</f>
        <v>3055.9886099999999</v>
      </c>
      <c r="G569" s="106">
        <f>G570+G573</f>
        <v>0</v>
      </c>
      <c r="H569" s="106">
        <f>H570+H573</f>
        <v>6179.8876565656565</v>
      </c>
      <c r="O569" s="50"/>
    </row>
    <row r="570" spans="1:15" ht="96.75" customHeight="1">
      <c r="A570" s="74" t="s">
        <v>607</v>
      </c>
      <c r="B570" s="75" t="s">
        <v>257</v>
      </c>
      <c r="C570" s="75" t="s">
        <v>220</v>
      </c>
      <c r="D570" s="75" t="s">
        <v>608</v>
      </c>
      <c r="E570" s="75" t="s">
        <v>206</v>
      </c>
      <c r="F570" s="76">
        <f t="shared" ref="F570:H571" si="148">F571</f>
        <v>3025.4287199999999</v>
      </c>
      <c r="G570" s="76">
        <f t="shared" si="148"/>
        <v>0</v>
      </c>
      <c r="H570" s="76">
        <f t="shared" si="148"/>
        <v>6118.08878</v>
      </c>
    </row>
    <row r="571" spans="1:15" ht="51.75" customHeight="1">
      <c r="A571" s="74" t="s">
        <v>284</v>
      </c>
      <c r="B571" s="75" t="s">
        <v>257</v>
      </c>
      <c r="C571" s="75" t="s">
        <v>220</v>
      </c>
      <c r="D571" s="75" t="s">
        <v>608</v>
      </c>
      <c r="E571" s="75" t="s">
        <v>283</v>
      </c>
      <c r="F571" s="76">
        <f t="shared" si="148"/>
        <v>3025.4287199999999</v>
      </c>
      <c r="G571" s="76">
        <f t="shared" si="148"/>
        <v>0</v>
      </c>
      <c r="H571" s="76">
        <f t="shared" si="148"/>
        <v>6118.08878</v>
      </c>
    </row>
    <row r="572" spans="1:15" ht="19.5" customHeight="1">
      <c r="A572" s="74" t="s">
        <v>497</v>
      </c>
      <c r="B572" s="75" t="s">
        <v>257</v>
      </c>
      <c r="C572" s="75" t="s">
        <v>220</v>
      </c>
      <c r="D572" s="75" t="s">
        <v>609</v>
      </c>
      <c r="E572" s="75" t="s">
        <v>499</v>
      </c>
      <c r="F572" s="76">
        <f>'5'!D196</f>
        <v>3025.4287199999999</v>
      </c>
      <c r="G572" s="76">
        <f>'5'!E196</f>
        <v>0</v>
      </c>
      <c r="H572" s="76">
        <f>'5'!F196</f>
        <v>6118.08878</v>
      </c>
    </row>
    <row r="573" spans="1:15" ht="108.75" customHeight="1">
      <c r="A573" s="74" t="s">
        <v>610</v>
      </c>
      <c r="B573" s="75" t="s">
        <v>257</v>
      </c>
      <c r="C573" s="75" t="s">
        <v>220</v>
      </c>
      <c r="D573" s="75" t="s">
        <v>608</v>
      </c>
      <c r="E573" s="75" t="s">
        <v>206</v>
      </c>
      <c r="F573" s="76">
        <f t="shared" ref="F573:H574" si="149">F574</f>
        <v>30.559889999999999</v>
      </c>
      <c r="G573" s="76">
        <f t="shared" si="149"/>
        <v>0</v>
      </c>
      <c r="H573" s="76">
        <f t="shared" si="149"/>
        <v>61.798876565656563</v>
      </c>
    </row>
    <row r="574" spans="1:15" ht="31.5" customHeight="1">
      <c r="A574" s="74" t="s">
        <v>284</v>
      </c>
      <c r="B574" s="75" t="s">
        <v>257</v>
      </c>
      <c r="C574" s="75" t="s">
        <v>220</v>
      </c>
      <c r="D574" s="75" t="s">
        <v>608</v>
      </c>
      <c r="E574" s="75" t="s">
        <v>283</v>
      </c>
      <c r="F574" s="76">
        <f t="shared" si="149"/>
        <v>30.559889999999999</v>
      </c>
      <c r="G574" s="76">
        <f t="shared" si="149"/>
        <v>0</v>
      </c>
      <c r="H574" s="76">
        <f t="shared" si="149"/>
        <v>61.798876565656563</v>
      </c>
    </row>
    <row r="575" spans="1:15" ht="21.75" customHeight="1">
      <c r="A575" s="74" t="s">
        <v>497</v>
      </c>
      <c r="B575" s="75" t="s">
        <v>257</v>
      </c>
      <c r="C575" s="75" t="s">
        <v>220</v>
      </c>
      <c r="D575" s="75" t="s">
        <v>608</v>
      </c>
      <c r="E575" s="75" t="s">
        <v>499</v>
      </c>
      <c r="F575" s="76">
        <f>'5'!D197</f>
        <v>30.559889999999999</v>
      </c>
      <c r="G575" s="76">
        <f>'5'!E197</f>
        <v>0</v>
      </c>
      <c r="H575" s="76">
        <f>'5'!F197</f>
        <v>61.798876565656563</v>
      </c>
    </row>
    <row r="576" spans="1:15" ht="31.5" hidden="1" customHeight="1">
      <c r="A576" s="141" t="s">
        <v>505</v>
      </c>
      <c r="B576" s="71" t="s">
        <v>257</v>
      </c>
      <c r="C576" s="71" t="s">
        <v>220</v>
      </c>
      <c r="D576" s="71" t="s">
        <v>611</v>
      </c>
      <c r="E576" s="142" t="s">
        <v>206</v>
      </c>
      <c r="F576" s="143">
        <f t="shared" ref="F576:H581" si="150">F577</f>
        <v>0</v>
      </c>
      <c r="G576" s="143">
        <f t="shared" ref="G576:H578" si="151">G577</f>
        <v>0</v>
      </c>
      <c r="H576" s="143">
        <f t="shared" si="151"/>
        <v>0</v>
      </c>
    </row>
    <row r="577" spans="1:15" ht="31.5" hidden="1" customHeight="1">
      <c r="A577" s="70" t="s">
        <v>612</v>
      </c>
      <c r="B577" s="71" t="s">
        <v>257</v>
      </c>
      <c r="C577" s="71" t="s">
        <v>220</v>
      </c>
      <c r="D577" s="71" t="s">
        <v>613</v>
      </c>
      <c r="E577" s="71" t="s">
        <v>206</v>
      </c>
      <c r="F577" s="72">
        <f t="shared" si="150"/>
        <v>0</v>
      </c>
      <c r="G577" s="72">
        <f t="shared" si="151"/>
        <v>0</v>
      </c>
      <c r="H577" s="72">
        <f t="shared" si="151"/>
        <v>0</v>
      </c>
    </row>
    <row r="578" spans="1:15" ht="47.25" hidden="1" customHeight="1">
      <c r="A578" s="70" t="s">
        <v>284</v>
      </c>
      <c r="B578" s="71" t="s">
        <v>257</v>
      </c>
      <c r="C578" s="71" t="s">
        <v>220</v>
      </c>
      <c r="D578" s="71" t="s">
        <v>614</v>
      </c>
      <c r="E578" s="71" t="s">
        <v>283</v>
      </c>
      <c r="F578" s="72">
        <f t="shared" si="150"/>
        <v>0</v>
      </c>
      <c r="G578" s="72">
        <f t="shared" si="151"/>
        <v>0</v>
      </c>
      <c r="H578" s="72">
        <f t="shared" si="151"/>
        <v>0</v>
      </c>
    </row>
    <row r="579" spans="1:15" ht="15.75" hidden="1" customHeight="1">
      <c r="A579" s="70" t="s">
        <v>497</v>
      </c>
      <c r="B579" s="71" t="s">
        <v>257</v>
      </c>
      <c r="C579" s="71" t="s">
        <v>220</v>
      </c>
      <c r="D579" s="71" t="s">
        <v>615</v>
      </c>
      <c r="E579" s="71" t="s">
        <v>499</v>
      </c>
      <c r="F579" s="72"/>
      <c r="G579" s="72"/>
      <c r="H579" s="72"/>
    </row>
    <row r="580" spans="1:15" ht="47.25" customHeight="1">
      <c r="A580" s="132" t="s">
        <v>616</v>
      </c>
      <c r="B580" s="127" t="s">
        <v>257</v>
      </c>
      <c r="C580" s="127" t="s">
        <v>220</v>
      </c>
      <c r="D580" s="127" t="s">
        <v>617</v>
      </c>
      <c r="E580" s="127" t="s">
        <v>206</v>
      </c>
      <c r="F580" s="129">
        <f t="shared" si="150"/>
        <v>90.049000000000007</v>
      </c>
      <c r="G580" s="129">
        <f t="shared" si="150"/>
        <v>0</v>
      </c>
      <c r="H580" s="129">
        <f t="shared" si="150"/>
        <v>0</v>
      </c>
    </row>
    <row r="581" spans="1:15" ht="47.25" customHeight="1">
      <c r="A581" s="70" t="s">
        <v>284</v>
      </c>
      <c r="B581" s="71" t="s">
        <v>257</v>
      </c>
      <c r="C581" s="71" t="s">
        <v>220</v>
      </c>
      <c r="D581" s="71" t="s">
        <v>617</v>
      </c>
      <c r="E581" s="71" t="s">
        <v>283</v>
      </c>
      <c r="F581" s="72">
        <f t="shared" si="150"/>
        <v>90.049000000000007</v>
      </c>
      <c r="G581" s="72">
        <f t="shared" si="150"/>
        <v>0</v>
      </c>
      <c r="H581" s="72">
        <f t="shared" si="150"/>
        <v>0</v>
      </c>
    </row>
    <row r="582" spans="1:15" ht="15.75" customHeight="1">
      <c r="A582" s="70" t="s">
        <v>497</v>
      </c>
      <c r="B582" s="71" t="s">
        <v>257</v>
      </c>
      <c r="C582" s="71" t="s">
        <v>220</v>
      </c>
      <c r="D582" s="71" t="s">
        <v>617</v>
      </c>
      <c r="E582" s="71" t="s">
        <v>499</v>
      </c>
      <c r="F582" s="72">
        <v>90.049000000000007</v>
      </c>
      <c r="G582" s="72">
        <v>0</v>
      </c>
      <c r="H582" s="72">
        <v>0</v>
      </c>
      <c r="O582" s="77"/>
    </row>
    <row r="583" spans="1:15" s="77" customFormat="1" ht="52.5" customHeight="1">
      <c r="A583" s="66" t="s">
        <v>556</v>
      </c>
      <c r="B583" s="67" t="s">
        <v>257</v>
      </c>
      <c r="C583" s="67" t="s">
        <v>236</v>
      </c>
      <c r="D583" s="67" t="s">
        <v>493</v>
      </c>
      <c r="E583" s="67" t="s">
        <v>206</v>
      </c>
      <c r="F583" s="68">
        <f>F585+F588</f>
        <v>265</v>
      </c>
      <c r="G583" s="68">
        <f t="shared" ref="G583:H583" si="152">G585+G588</f>
        <v>133</v>
      </c>
      <c r="H583" s="68">
        <f t="shared" si="152"/>
        <v>133</v>
      </c>
      <c r="O583" s="50"/>
    </row>
    <row r="584" spans="1:15" ht="38.25" customHeight="1">
      <c r="A584" s="108" t="s">
        <v>618</v>
      </c>
      <c r="B584" s="75" t="s">
        <v>257</v>
      </c>
      <c r="C584" s="75" t="s">
        <v>236</v>
      </c>
      <c r="D584" s="75" t="s">
        <v>619</v>
      </c>
      <c r="E584" s="75" t="s">
        <v>206</v>
      </c>
      <c r="F584" s="76">
        <f t="shared" ref="F584:H586" si="153">F585</f>
        <v>100</v>
      </c>
      <c r="G584" s="76">
        <f t="shared" si="153"/>
        <v>50</v>
      </c>
      <c r="H584" s="76">
        <f t="shared" si="153"/>
        <v>50</v>
      </c>
    </row>
    <row r="585" spans="1:15" ht="36.75" customHeight="1">
      <c r="A585" s="74" t="s">
        <v>620</v>
      </c>
      <c r="B585" s="75" t="s">
        <v>257</v>
      </c>
      <c r="C585" s="75" t="s">
        <v>236</v>
      </c>
      <c r="D585" s="75" t="s">
        <v>621</v>
      </c>
      <c r="E585" s="75" t="s">
        <v>206</v>
      </c>
      <c r="F585" s="76">
        <f t="shared" si="153"/>
        <v>100</v>
      </c>
      <c r="G585" s="76">
        <f t="shared" si="153"/>
        <v>50</v>
      </c>
      <c r="H585" s="76">
        <f t="shared" si="153"/>
        <v>50</v>
      </c>
    </row>
    <row r="586" spans="1:15" ht="49.5" customHeight="1">
      <c r="A586" s="74" t="s">
        <v>284</v>
      </c>
      <c r="B586" s="75" t="s">
        <v>257</v>
      </c>
      <c r="C586" s="75" t="s">
        <v>236</v>
      </c>
      <c r="D586" s="75" t="s">
        <v>621</v>
      </c>
      <c r="E586" s="75" t="s">
        <v>283</v>
      </c>
      <c r="F586" s="76">
        <f t="shared" si="153"/>
        <v>100</v>
      </c>
      <c r="G586" s="76">
        <f t="shared" si="153"/>
        <v>50</v>
      </c>
      <c r="H586" s="76">
        <f t="shared" si="153"/>
        <v>50</v>
      </c>
    </row>
    <row r="587" spans="1:15" ht="20.25" customHeight="1">
      <c r="A587" s="74" t="s">
        <v>497</v>
      </c>
      <c r="B587" s="75" t="s">
        <v>257</v>
      </c>
      <c r="C587" s="75" t="s">
        <v>236</v>
      </c>
      <c r="D587" s="75" t="s">
        <v>621</v>
      </c>
      <c r="E587" s="75" t="s">
        <v>499</v>
      </c>
      <c r="F587" s="76">
        <f>'5'!D93</f>
        <v>100</v>
      </c>
      <c r="G587" s="76">
        <f>'5'!E93</f>
        <v>50</v>
      </c>
      <c r="H587" s="76">
        <f>'5'!F93</f>
        <v>50</v>
      </c>
    </row>
    <row r="588" spans="1:15" ht="57" customHeight="1">
      <c r="A588" s="74" t="s">
        <v>622</v>
      </c>
      <c r="B588" s="75" t="s">
        <v>257</v>
      </c>
      <c r="C588" s="75" t="s">
        <v>236</v>
      </c>
      <c r="D588" s="75" t="s">
        <v>623</v>
      </c>
      <c r="E588" s="75" t="s">
        <v>206</v>
      </c>
      <c r="F588" s="76">
        <f t="shared" ref="F588:F589" si="154">F589</f>
        <v>165</v>
      </c>
      <c r="G588" s="76">
        <f t="shared" ref="G588:H589" si="155">G589</f>
        <v>83</v>
      </c>
      <c r="H588" s="76">
        <f t="shared" si="155"/>
        <v>83</v>
      </c>
    </row>
    <row r="589" spans="1:15" ht="33" customHeight="1">
      <c r="A589" s="74" t="s">
        <v>223</v>
      </c>
      <c r="B589" s="75" t="s">
        <v>257</v>
      </c>
      <c r="C589" s="75" t="s">
        <v>236</v>
      </c>
      <c r="D589" s="75" t="s">
        <v>623</v>
      </c>
      <c r="E589" s="75" t="s">
        <v>224</v>
      </c>
      <c r="F589" s="76">
        <f t="shared" si="154"/>
        <v>165</v>
      </c>
      <c r="G589" s="76">
        <f t="shared" si="155"/>
        <v>83</v>
      </c>
      <c r="H589" s="76">
        <f t="shared" si="155"/>
        <v>83</v>
      </c>
    </row>
    <row r="590" spans="1:15" ht="48.75" customHeight="1">
      <c r="A590" s="74" t="s">
        <v>225</v>
      </c>
      <c r="B590" s="75" t="s">
        <v>257</v>
      </c>
      <c r="C590" s="75" t="s">
        <v>236</v>
      </c>
      <c r="D590" s="75" t="s">
        <v>623</v>
      </c>
      <c r="E590" s="75" t="s">
        <v>226</v>
      </c>
      <c r="F590" s="76">
        <f>'5'!D272</f>
        <v>165</v>
      </c>
      <c r="G590" s="76">
        <f>'5'!E272</f>
        <v>83</v>
      </c>
      <c r="H590" s="76">
        <f>'5'!F272</f>
        <v>83</v>
      </c>
    </row>
    <row r="591" spans="1:15" ht="15.75" hidden="1" customHeight="1">
      <c r="A591" s="70"/>
      <c r="B591" s="71"/>
      <c r="C591" s="71"/>
      <c r="D591" s="71"/>
      <c r="E591" s="71"/>
      <c r="F591" s="76"/>
      <c r="G591" s="76"/>
      <c r="H591" s="76"/>
    </row>
    <row r="592" spans="1:15" ht="15.75" hidden="1" customHeight="1">
      <c r="A592" s="70"/>
      <c r="B592" s="71"/>
      <c r="C592" s="71"/>
      <c r="D592" s="71"/>
      <c r="E592" s="71"/>
      <c r="F592" s="76"/>
      <c r="G592" s="76"/>
      <c r="H592" s="76"/>
    </row>
    <row r="593" spans="1:15" ht="15.75" hidden="1" customHeight="1">
      <c r="A593" s="70"/>
      <c r="B593" s="71"/>
      <c r="C593" s="71"/>
      <c r="D593" s="71"/>
      <c r="E593" s="71"/>
      <c r="F593" s="76"/>
      <c r="G593" s="76"/>
      <c r="H593" s="76"/>
    </row>
    <row r="594" spans="1:15" ht="15.75" hidden="1" customHeight="1">
      <c r="A594" s="70"/>
      <c r="B594" s="71"/>
      <c r="C594" s="71"/>
      <c r="D594" s="71"/>
      <c r="E594" s="71"/>
      <c r="F594" s="76"/>
      <c r="G594" s="76"/>
      <c r="H594" s="76"/>
    </row>
    <row r="595" spans="1:15" ht="15.75" hidden="1" customHeight="1">
      <c r="A595" s="70"/>
      <c r="B595" s="71"/>
      <c r="C595" s="71"/>
      <c r="D595" s="71"/>
      <c r="E595" s="71"/>
      <c r="F595" s="76"/>
      <c r="G595" s="76"/>
      <c r="H595" s="76"/>
    </row>
    <row r="596" spans="1:15" ht="15.75" hidden="1" customHeight="1">
      <c r="A596" s="70"/>
      <c r="B596" s="71"/>
      <c r="C596" s="71"/>
      <c r="D596" s="71"/>
      <c r="E596" s="71"/>
      <c r="F596" s="76"/>
      <c r="G596" s="76"/>
      <c r="H596" s="76"/>
    </row>
    <row r="597" spans="1:15" ht="15.75" hidden="1" customHeight="1">
      <c r="A597" s="70"/>
      <c r="B597" s="71"/>
      <c r="C597" s="71"/>
      <c r="D597" s="71"/>
      <c r="E597" s="71"/>
      <c r="F597" s="76"/>
      <c r="G597" s="76"/>
      <c r="H597" s="76"/>
    </row>
    <row r="598" spans="1:15" ht="15.75" hidden="1" customHeight="1">
      <c r="A598" s="70"/>
      <c r="B598" s="71"/>
      <c r="C598" s="71"/>
      <c r="D598" s="71"/>
      <c r="E598" s="71"/>
      <c r="F598" s="76"/>
      <c r="G598" s="76"/>
      <c r="H598" s="76"/>
    </row>
    <row r="599" spans="1:15" ht="15.75" hidden="1" customHeight="1">
      <c r="A599" s="70"/>
      <c r="B599" s="71"/>
      <c r="C599" s="71"/>
      <c r="D599" s="71"/>
      <c r="E599" s="71"/>
      <c r="F599" s="76"/>
      <c r="G599" s="76"/>
      <c r="H599" s="76"/>
    </row>
    <row r="600" spans="1:15" ht="15.75" hidden="1" customHeight="1">
      <c r="A600" s="144" t="s">
        <v>624</v>
      </c>
      <c r="B600" s="145" t="s">
        <v>257</v>
      </c>
      <c r="C600" s="145" t="s">
        <v>257</v>
      </c>
      <c r="D600" s="145" t="s">
        <v>205</v>
      </c>
      <c r="E600" s="145" t="s">
        <v>206</v>
      </c>
      <c r="F600" s="146">
        <f t="shared" ref="F600:H602" si="156">F601</f>
        <v>0</v>
      </c>
      <c r="G600" s="146">
        <f t="shared" si="156"/>
        <v>0</v>
      </c>
      <c r="H600" s="146">
        <f t="shared" si="156"/>
        <v>0</v>
      </c>
    </row>
    <row r="601" spans="1:15" ht="47.25" hidden="1" customHeight="1">
      <c r="A601" s="144" t="s">
        <v>625</v>
      </c>
      <c r="B601" s="145" t="s">
        <v>257</v>
      </c>
      <c r="C601" s="145" t="s">
        <v>257</v>
      </c>
      <c r="D601" s="145" t="s">
        <v>493</v>
      </c>
      <c r="E601" s="145" t="s">
        <v>206</v>
      </c>
      <c r="F601" s="147">
        <f t="shared" si="156"/>
        <v>0</v>
      </c>
      <c r="G601" s="147">
        <f t="shared" si="156"/>
        <v>0</v>
      </c>
      <c r="H601" s="147">
        <f t="shared" si="156"/>
        <v>0</v>
      </c>
    </row>
    <row r="602" spans="1:15" ht="31.5" hidden="1" customHeight="1">
      <c r="A602" s="148" t="s">
        <v>626</v>
      </c>
      <c r="B602" s="149" t="s">
        <v>257</v>
      </c>
      <c r="C602" s="149" t="s">
        <v>257</v>
      </c>
      <c r="D602" s="149" t="s">
        <v>627</v>
      </c>
      <c r="E602" s="149" t="s">
        <v>206</v>
      </c>
      <c r="F602" s="147">
        <f t="shared" si="156"/>
        <v>0</v>
      </c>
      <c r="G602" s="147">
        <f t="shared" si="156"/>
        <v>0</v>
      </c>
      <c r="H602" s="147">
        <f t="shared" si="156"/>
        <v>0</v>
      </c>
      <c r="O602" s="77"/>
    </row>
    <row r="603" spans="1:15" s="77" customFormat="1" ht="63" hidden="1" customHeight="1">
      <c r="A603" s="144" t="s">
        <v>628</v>
      </c>
      <c r="B603" s="145" t="s">
        <v>257</v>
      </c>
      <c r="C603" s="145" t="s">
        <v>257</v>
      </c>
      <c r="D603" s="145" t="s">
        <v>627</v>
      </c>
      <c r="E603" s="145" t="s">
        <v>206</v>
      </c>
      <c r="F603" s="146">
        <f>F604+F605</f>
        <v>0</v>
      </c>
      <c r="G603" s="146">
        <f>G604+G605</f>
        <v>0</v>
      </c>
      <c r="H603" s="146">
        <f>H604+H605</f>
        <v>0</v>
      </c>
      <c r="O603" s="50"/>
    </row>
    <row r="604" spans="1:15" ht="31.5" hidden="1" customHeight="1">
      <c r="A604" s="150" t="s">
        <v>242</v>
      </c>
      <c r="B604" s="149" t="s">
        <v>257</v>
      </c>
      <c r="C604" s="149" t="s">
        <v>257</v>
      </c>
      <c r="D604" s="149" t="s">
        <v>629</v>
      </c>
      <c r="E604" s="149" t="s">
        <v>243</v>
      </c>
      <c r="F604" s="147">
        <f>F605</f>
        <v>0</v>
      </c>
      <c r="G604" s="147">
        <f>G605</f>
        <v>0</v>
      </c>
      <c r="H604" s="147">
        <f>H605</f>
        <v>0</v>
      </c>
    </row>
    <row r="605" spans="1:15" ht="31.5" hidden="1" customHeight="1">
      <c r="A605" s="150" t="s">
        <v>630</v>
      </c>
      <c r="B605" s="149" t="s">
        <v>257</v>
      </c>
      <c r="C605" s="149" t="s">
        <v>257</v>
      </c>
      <c r="D605" s="149" t="s">
        <v>629</v>
      </c>
      <c r="E605" s="149" t="s">
        <v>631</v>
      </c>
      <c r="F605" s="147"/>
      <c r="G605" s="147"/>
      <c r="H605" s="147"/>
    </row>
    <row r="606" spans="1:15" ht="47.25" hidden="1" customHeight="1">
      <c r="A606" s="150" t="s">
        <v>284</v>
      </c>
      <c r="B606" s="149" t="s">
        <v>257</v>
      </c>
      <c r="C606" s="149" t="s">
        <v>257</v>
      </c>
      <c r="D606" s="149" t="s">
        <v>629</v>
      </c>
      <c r="E606" s="149" t="s">
        <v>283</v>
      </c>
      <c r="F606" s="147">
        <f>F607</f>
        <v>0</v>
      </c>
      <c r="G606" s="147">
        <f>G607</f>
        <v>0</v>
      </c>
      <c r="H606" s="147">
        <f>H607</f>
        <v>0</v>
      </c>
    </row>
    <row r="607" spans="1:15" ht="15.75" hidden="1" customHeight="1">
      <c r="A607" s="150" t="s">
        <v>497</v>
      </c>
      <c r="B607" s="149" t="s">
        <v>257</v>
      </c>
      <c r="C607" s="149" t="s">
        <v>257</v>
      </c>
      <c r="D607" s="149" t="s">
        <v>629</v>
      </c>
      <c r="E607" s="149" t="s">
        <v>499</v>
      </c>
      <c r="F607" s="147"/>
      <c r="G607" s="147"/>
      <c r="H607" s="147"/>
    </row>
    <row r="608" spans="1:15" ht="63" hidden="1" customHeight="1">
      <c r="A608" s="141" t="s">
        <v>586</v>
      </c>
      <c r="B608" s="71" t="s">
        <v>257</v>
      </c>
      <c r="C608" s="71" t="s">
        <v>257</v>
      </c>
      <c r="D608" s="142" t="s">
        <v>205</v>
      </c>
      <c r="E608" s="142" t="s">
        <v>206</v>
      </c>
      <c r="F608" s="143">
        <f t="shared" ref="F608:H616" si="157">F609</f>
        <v>0</v>
      </c>
      <c r="G608" s="143">
        <f t="shared" ref="G608:H610" si="158">G609</f>
        <v>0</v>
      </c>
      <c r="H608" s="143">
        <f t="shared" si="158"/>
        <v>0</v>
      </c>
    </row>
    <row r="609" spans="1:15" ht="78.75" hidden="1" customHeight="1">
      <c r="A609" s="70" t="s">
        <v>587</v>
      </c>
      <c r="B609" s="71" t="s">
        <v>257</v>
      </c>
      <c r="C609" s="71" t="s">
        <v>257</v>
      </c>
      <c r="D609" s="71" t="s">
        <v>588</v>
      </c>
      <c r="E609" s="71" t="s">
        <v>206</v>
      </c>
      <c r="F609" s="72">
        <f t="shared" si="157"/>
        <v>0</v>
      </c>
      <c r="G609" s="72">
        <f t="shared" si="158"/>
        <v>0</v>
      </c>
      <c r="H609" s="72">
        <f t="shared" si="158"/>
        <v>0</v>
      </c>
    </row>
    <row r="610" spans="1:15" ht="47.25" hidden="1" customHeight="1">
      <c r="A610" s="70" t="s">
        <v>284</v>
      </c>
      <c r="B610" s="71" t="s">
        <v>257</v>
      </c>
      <c r="C610" s="71" t="s">
        <v>257</v>
      </c>
      <c r="D610" s="71" t="s">
        <v>588</v>
      </c>
      <c r="E610" s="71" t="s">
        <v>283</v>
      </c>
      <c r="F610" s="72">
        <f t="shared" si="157"/>
        <v>0</v>
      </c>
      <c r="G610" s="72">
        <f t="shared" si="158"/>
        <v>0</v>
      </c>
      <c r="H610" s="72">
        <f t="shared" si="158"/>
        <v>0</v>
      </c>
    </row>
    <row r="611" spans="1:15" ht="15.75" hidden="1" customHeight="1">
      <c r="A611" s="70" t="s">
        <v>497</v>
      </c>
      <c r="B611" s="71" t="s">
        <v>257</v>
      </c>
      <c r="C611" s="71" t="s">
        <v>257</v>
      </c>
      <c r="D611" s="71" t="s">
        <v>588</v>
      </c>
      <c r="E611" s="71" t="s">
        <v>499</v>
      </c>
      <c r="F611" s="72"/>
      <c r="G611" s="72"/>
      <c r="H611" s="72"/>
    </row>
    <row r="612" spans="1:15" ht="110.25" hidden="1" customHeight="1">
      <c r="A612" s="70" t="s">
        <v>632</v>
      </c>
      <c r="B612" s="71" t="s">
        <v>257</v>
      </c>
      <c r="C612" s="71" t="s">
        <v>257</v>
      </c>
      <c r="D612" s="71" t="s">
        <v>590</v>
      </c>
      <c r="E612" s="71" t="s">
        <v>206</v>
      </c>
      <c r="F612" s="72">
        <f t="shared" si="157"/>
        <v>0</v>
      </c>
      <c r="G612" s="72">
        <f t="shared" si="157"/>
        <v>0</v>
      </c>
      <c r="H612" s="72">
        <f t="shared" si="157"/>
        <v>0</v>
      </c>
    </row>
    <row r="613" spans="1:15" ht="47.25" hidden="1" customHeight="1">
      <c r="A613" s="70" t="s">
        <v>284</v>
      </c>
      <c r="B613" s="71" t="s">
        <v>257</v>
      </c>
      <c r="C613" s="71" t="s">
        <v>257</v>
      </c>
      <c r="D613" s="71" t="s">
        <v>633</v>
      </c>
      <c r="E613" s="71" t="s">
        <v>283</v>
      </c>
      <c r="F613" s="72">
        <f t="shared" si="157"/>
        <v>0</v>
      </c>
      <c r="G613" s="72">
        <f t="shared" si="157"/>
        <v>0</v>
      </c>
      <c r="H613" s="72">
        <f t="shared" si="157"/>
        <v>0</v>
      </c>
    </row>
    <row r="614" spans="1:15" ht="15.75" hidden="1" customHeight="1">
      <c r="A614" s="70" t="s">
        <v>497</v>
      </c>
      <c r="B614" s="71" t="s">
        <v>257</v>
      </c>
      <c r="C614" s="71" t="s">
        <v>257</v>
      </c>
      <c r="D614" s="71" t="s">
        <v>633</v>
      </c>
      <c r="E614" s="71" t="s">
        <v>499</v>
      </c>
      <c r="F614" s="72"/>
      <c r="G614" s="72"/>
      <c r="H614" s="72"/>
    </row>
    <row r="615" spans="1:15" ht="63" hidden="1" customHeight="1">
      <c r="A615" s="70" t="s">
        <v>634</v>
      </c>
      <c r="B615" s="71" t="s">
        <v>257</v>
      </c>
      <c r="C615" s="71" t="s">
        <v>257</v>
      </c>
      <c r="D615" s="71" t="s">
        <v>635</v>
      </c>
      <c r="E615" s="71" t="s">
        <v>206</v>
      </c>
      <c r="F615" s="72">
        <f t="shared" si="157"/>
        <v>0</v>
      </c>
      <c r="G615" s="72">
        <f t="shared" si="157"/>
        <v>0</v>
      </c>
      <c r="H615" s="72">
        <f t="shared" si="157"/>
        <v>0</v>
      </c>
    </row>
    <row r="616" spans="1:15" ht="47.25" hidden="1" customHeight="1">
      <c r="A616" s="70" t="s">
        <v>284</v>
      </c>
      <c r="B616" s="71" t="s">
        <v>257</v>
      </c>
      <c r="C616" s="71" t="s">
        <v>257</v>
      </c>
      <c r="D616" s="71" t="s">
        <v>635</v>
      </c>
      <c r="E616" s="71" t="s">
        <v>283</v>
      </c>
      <c r="F616" s="72">
        <f t="shared" si="157"/>
        <v>0</v>
      </c>
      <c r="G616" s="72">
        <f t="shared" si="157"/>
        <v>0</v>
      </c>
      <c r="H616" s="72">
        <f t="shared" si="157"/>
        <v>0</v>
      </c>
    </row>
    <row r="617" spans="1:15" ht="15.75" hidden="1" customHeight="1">
      <c r="A617" s="70" t="s">
        <v>497</v>
      </c>
      <c r="B617" s="71" t="s">
        <v>257</v>
      </c>
      <c r="C617" s="71" t="s">
        <v>257</v>
      </c>
      <c r="D617" s="71" t="s">
        <v>635</v>
      </c>
      <c r="E617" s="71" t="s">
        <v>499</v>
      </c>
      <c r="F617" s="72"/>
      <c r="G617" s="72"/>
      <c r="H617" s="72"/>
      <c r="O617" s="77"/>
    </row>
    <row r="618" spans="1:15" s="77" customFormat="1" ht="22.5" customHeight="1">
      <c r="A618" s="66" t="s">
        <v>636</v>
      </c>
      <c r="B618" s="67" t="s">
        <v>257</v>
      </c>
      <c r="C618" s="67" t="s">
        <v>353</v>
      </c>
      <c r="D618" s="67" t="s">
        <v>205</v>
      </c>
      <c r="E618" s="67" t="s">
        <v>206</v>
      </c>
      <c r="F618" s="68">
        <f>F624+F627+F631+F637+F650+F654+F657+F662+F667+F669+F674+F620</f>
        <v>84251.505369999999</v>
      </c>
      <c r="G618" s="68">
        <f t="shared" ref="G618:H618" si="159">G624+G627+G631+G637+G650+G654+G657+G662+G667+G669+G674+G620</f>
        <v>73686.09173</v>
      </c>
      <c r="H618" s="68">
        <f t="shared" si="159"/>
        <v>75487.76344000001</v>
      </c>
    </row>
    <row r="619" spans="1:15" s="77" customFormat="1" ht="52.5" customHeight="1">
      <c r="A619" s="78" t="s">
        <v>556</v>
      </c>
      <c r="B619" s="75" t="s">
        <v>257</v>
      </c>
      <c r="C619" s="75" t="s">
        <v>353</v>
      </c>
      <c r="D619" s="79" t="s">
        <v>493</v>
      </c>
      <c r="E619" s="79" t="s">
        <v>206</v>
      </c>
      <c r="F619" s="76">
        <f>F630+F636+F623+F650+F620</f>
        <v>79216.505369999999</v>
      </c>
      <c r="G619" s="76">
        <f t="shared" ref="G619:H619" si="160">G630+G636+G623+G650+G620</f>
        <v>71026.09173</v>
      </c>
      <c r="H619" s="76">
        <f t="shared" si="160"/>
        <v>74061.76344000001</v>
      </c>
    </row>
    <row r="620" spans="1:15" s="77" customFormat="1" ht="52.5" customHeight="1">
      <c r="A620" s="104" t="s">
        <v>637</v>
      </c>
      <c r="B620" s="75" t="s">
        <v>257</v>
      </c>
      <c r="C620" s="75" t="s">
        <v>353</v>
      </c>
      <c r="D620" s="139" t="s">
        <v>638</v>
      </c>
      <c r="E620" s="105" t="s">
        <v>206</v>
      </c>
      <c r="F620" s="106">
        <f t="shared" ref="F620:F621" si="161">F621</f>
        <v>38</v>
      </c>
      <c r="G620" s="106">
        <f t="shared" ref="G620:H621" si="162">G621</f>
        <v>38</v>
      </c>
      <c r="H620" s="106">
        <f t="shared" si="162"/>
        <v>38</v>
      </c>
    </row>
    <row r="621" spans="1:15" s="77" customFormat="1" ht="52.5" customHeight="1">
      <c r="A621" s="74" t="s">
        <v>284</v>
      </c>
      <c r="B621" s="75" t="s">
        <v>257</v>
      </c>
      <c r="C621" s="75" t="s">
        <v>353</v>
      </c>
      <c r="D621" s="98" t="s">
        <v>638</v>
      </c>
      <c r="E621" s="75" t="s">
        <v>224</v>
      </c>
      <c r="F621" s="76">
        <f t="shared" si="161"/>
        <v>38</v>
      </c>
      <c r="G621" s="76">
        <f t="shared" si="162"/>
        <v>38</v>
      </c>
      <c r="H621" s="76">
        <f t="shared" si="162"/>
        <v>38</v>
      </c>
    </row>
    <row r="622" spans="1:15" s="77" customFormat="1" ht="21.75" customHeight="1">
      <c r="A622" s="74" t="s">
        <v>497</v>
      </c>
      <c r="B622" s="75" t="s">
        <v>257</v>
      </c>
      <c r="C622" s="75" t="s">
        <v>353</v>
      </c>
      <c r="D622" s="98" t="s">
        <v>638</v>
      </c>
      <c r="E622" s="75" t="s">
        <v>226</v>
      </c>
      <c r="F622" s="76">
        <f>'5'!D108</f>
        <v>38</v>
      </c>
      <c r="G622" s="76">
        <f>'5'!E108</f>
        <v>38</v>
      </c>
      <c r="H622" s="76">
        <f>'5'!F108</f>
        <v>38</v>
      </c>
    </row>
    <row r="623" spans="1:15" s="77" customFormat="1" ht="132" customHeight="1">
      <c r="A623" s="78" t="s">
        <v>639</v>
      </c>
      <c r="B623" s="79" t="s">
        <v>257</v>
      </c>
      <c r="C623" s="79" t="s">
        <v>353</v>
      </c>
      <c r="D623" s="79" t="s">
        <v>545</v>
      </c>
      <c r="E623" s="79" t="s">
        <v>206</v>
      </c>
      <c r="F623" s="80">
        <f>F624+F627</f>
        <v>4190.5805100000007</v>
      </c>
      <c r="G623" s="80">
        <f t="shared" ref="G623:H623" si="163">G624+G627</f>
        <v>0</v>
      </c>
      <c r="H623" s="80">
        <f t="shared" si="163"/>
        <v>0</v>
      </c>
    </row>
    <row r="624" spans="1:15" s="77" customFormat="1" ht="143.25" customHeight="1">
      <c r="A624" s="74" t="s">
        <v>640</v>
      </c>
      <c r="B624" s="75" t="s">
        <v>257</v>
      </c>
      <c r="C624" s="75" t="s">
        <v>353</v>
      </c>
      <c r="D624" s="98" t="s">
        <v>641</v>
      </c>
      <c r="E624" s="79" t="s">
        <v>206</v>
      </c>
      <c r="F624" s="76">
        <f t="shared" ref="F624:F625" si="164">F625</f>
        <v>4148.6747000000005</v>
      </c>
      <c r="G624" s="76">
        <f t="shared" ref="G624:H625" si="165">G625</f>
        <v>0</v>
      </c>
      <c r="H624" s="76">
        <f t="shared" si="165"/>
        <v>0</v>
      </c>
    </row>
    <row r="625" spans="1:15" s="77" customFormat="1" ht="45.75" customHeight="1">
      <c r="A625" s="74" t="s">
        <v>284</v>
      </c>
      <c r="B625" s="75" t="s">
        <v>257</v>
      </c>
      <c r="C625" s="75" t="s">
        <v>353</v>
      </c>
      <c r="D625" s="98" t="s">
        <v>641</v>
      </c>
      <c r="E625" s="79" t="s">
        <v>283</v>
      </c>
      <c r="F625" s="76">
        <f t="shared" si="164"/>
        <v>4148.6747000000005</v>
      </c>
      <c r="G625" s="76">
        <f t="shared" si="165"/>
        <v>0</v>
      </c>
      <c r="H625" s="76">
        <f t="shared" si="165"/>
        <v>0</v>
      </c>
    </row>
    <row r="626" spans="1:15" s="77" customFormat="1" ht="17.25" customHeight="1">
      <c r="A626" s="74" t="s">
        <v>497</v>
      </c>
      <c r="B626" s="75" t="s">
        <v>257</v>
      </c>
      <c r="C626" s="75" t="s">
        <v>353</v>
      </c>
      <c r="D626" s="98" t="s">
        <v>641</v>
      </c>
      <c r="E626" s="79" t="s">
        <v>499</v>
      </c>
      <c r="F626" s="76">
        <f>'5'!D90</f>
        <v>4148.6747000000005</v>
      </c>
      <c r="G626" s="76">
        <f>'5'!E90</f>
        <v>0</v>
      </c>
      <c r="H626" s="76">
        <f>'5'!F90</f>
        <v>0</v>
      </c>
    </row>
    <row r="627" spans="1:15" s="77" customFormat="1" ht="147" customHeight="1">
      <c r="A627" s="74" t="s">
        <v>642</v>
      </c>
      <c r="B627" s="75" t="s">
        <v>257</v>
      </c>
      <c r="C627" s="75" t="s">
        <v>353</v>
      </c>
      <c r="D627" s="79" t="s">
        <v>641</v>
      </c>
      <c r="E627" s="79" t="s">
        <v>206</v>
      </c>
      <c r="F627" s="76">
        <f t="shared" ref="F627:F628" si="166">F628</f>
        <v>41.905810000000002</v>
      </c>
      <c r="G627" s="76">
        <f t="shared" ref="G627:H628" si="167">G628</f>
        <v>0</v>
      </c>
      <c r="H627" s="76">
        <f t="shared" si="167"/>
        <v>0</v>
      </c>
    </row>
    <row r="628" spans="1:15" s="77" customFormat="1" ht="51.75" customHeight="1">
      <c r="A628" s="74" t="s">
        <v>284</v>
      </c>
      <c r="B628" s="75" t="s">
        <v>257</v>
      </c>
      <c r="C628" s="75" t="s">
        <v>353</v>
      </c>
      <c r="D628" s="79" t="s">
        <v>641</v>
      </c>
      <c r="E628" s="79" t="s">
        <v>283</v>
      </c>
      <c r="F628" s="76">
        <f t="shared" si="166"/>
        <v>41.905810000000002</v>
      </c>
      <c r="G628" s="76">
        <f t="shared" si="167"/>
        <v>0</v>
      </c>
      <c r="H628" s="76">
        <f t="shared" si="167"/>
        <v>0</v>
      </c>
    </row>
    <row r="629" spans="1:15" s="77" customFormat="1" ht="21" customHeight="1">
      <c r="A629" s="74" t="s">
        <v>497</v>
      </c>
      <c r="B629" s="75" t="s">
        <v>257</v>
      </c>
      <c r="C629" s="75" t="s">
        <v>353</v>
      </c>
      <c r="D629" s="79" t="s">
        <v>641</v>
      </c>
      <c r="E629" s="79" t="s">
        <v>499</v>
      </c>
      <c r="F629" s="76">
        <f>'5'!D91</f>
        <v>41.905810000000002</v>
      </c>
      <c r="G629" s="76">
        <f>'5'!E91</f>
        <v>0</v>
      </c>
      <c r="H629" s="76">
        <f>'5'!F91</f>
        <v>0</v>
      </c>
    </row>
    <row r="630" spans="1:15" s="77" customFormat="1" ht="34.5" customHeight="1">
      <c r="A630" s="108" t="s">
        <v>626</v>
      </c>
      <c r="B630" s="75" t="s">
        <v>257</v>
      </c>
      <c r="C630" s="75" t="s">
        <v>353</v>
      </c>
      <c r="D630" s="75" t="s">
        <v>627</v>
      </c>
      <c r="E630" s="75" t="s">
        <v>206</v>
      </c>
      <c r="F630" s="76">
        <f>F631</f>
        <v>4147.0524999999998</v>
      </c>
      <c r="G630" s="76">
        <f>G631</f>
        <v>5812.8</v>
      </c>
      <c r="H630" s="76">
        <f>H631</f>
        <v>5812.8</v>
      </c>
    </row>
    <row r="631" spans="1:15" s="77" customFormat="1" ht="64.5" customHeight="1">
      <c r="A631" s="78" t="s">
        <v>628</v>
      </c>
      <c r="B631" s="75" t="s">
        <v>257</v>
      </c>
      <c r="C631" s="75" t="s">
        <v>353</v>
      </c>
      <c r="D631" s="79" t="s">
        <v>627</v>
      </c>
      <c r="E631" s="79" t="s">
        <v>206</v>
      </c>
      <c r="F631" s="80">
        <f>F632+F634</f>
        <v>4147.0524999999998</v>
      </c>
      <c r="G631" s="80">
        <f>G632+G634</f>
        <v>5812.8</v>
      </c>
      <c r="H631" s="80">
        <f>H632+H634</f>
        <v>5812.8</v>
      </c>
    </row>
    <row r="632" spans="1:15" s="77" customFormat="1" ht="31.5" hidden="1" customHeight="1">
      <c r="A632" s="74" t="s">
        <v>242</v>
      </c>
      <c r="B632" s="75" t="s">
        <v>257</v>
      </c>
      <c r="C632" s="75" t="s">
        <v>353</v>
      </c>
      <c r="D632" s="75" t="s">
        <v>629</v>
      </c>
      <c r="E632" s="75" t="s">
        <v>243</v>
      </c>
      <c r="F632" s="76">
        <f>F633</f>
        <v>0</v>
      </c>
      <c r="G632" s="76">
        <f>G633</f>
        <v>0</v>
      </c>
      <c r="H632" s="76">
        <f>H633</f>
        <v>0</v>
      </c>
    </row>
    <row r="633" spans="1:15" s="77" customFormat="1" ht="31.5" hidden="1" customHeight="1">
      <c r="A633" s="74" t="s">
        <v>630</v>
      </c>
      <c r="B633" s="75" t="s">
        <v>257</v>
      </c>
      <c r="C633" s="75" t="s">
        <v>353</v>
      </c>
      <c r="D633" s="75" t="s">
        <v>629</v>
      </c>
      <c r="E633" s="75" t="s">
        <v>631</v>
      </c>
      <c r="F633" s="76"/>
      <c r="G633" s="76"/>
      <c r="H633" s="76"/>
    </row>
    <row r="634" spans="1:15" s="77" customFormat="1" ht="52.5" customHeight="1">
      <c r="A634" s="74" t="s">
        <v>284</v>
      </c>
      <c r="B634" s="75" t="s">
        <v>257</v>
      </c>
      <c r="C634" s="75" t="s">
        <v>353</v>
      </c>
      <c r="D634" s="75" t="s">
        <v>629</v>
      </c>
      <c r="E634" s="75" t="s">
        <v>283</v>
      </c>
      <c r="F634" s="76">
        <f>F635</f>
        <v>4147.0524999999998</v>
      </c>
      <c r="G634" s="76">
        <f>G635</f>
        <v>5812.8</v>
      </c>
      <c r="H634" s="76">
        <f>H635</f>
        <v>5812.8</v>
      </c>
    </row>
    <row r="635" spans="1:15" s="77" customFormat="1" ht="23.25" customHeight="1">
      <c r="A635" s="74" t="s">
        <v>497</v>
      </c>
      <c r="B635" s="75" t="s">
        <v>257</v>
      </c>
      <c r="C635" s="75" t="s">
        <v>353</v>
      </c>
      <c r="D635" s="75" t="s">
        <v>629</v>
      </c>
      <c r="E635" s="75" t="s">
        <v>499</v>
      </c>
      <c r="F635" s="76">
        <f>'5'!D95-300</f>
        <v>4147.0524999999998</v>
      </c>
      <c r="G635" s="76">
        <f>'5'!E95-300</f>
        <v>5812.8</v>
      </c>
      <c r="H635" s="76">
        <f>'5'!F95-300</f>
        <v>5812.8</v>
      </c>
      <c r="O635" s="50"/>
    </row>
    <row r="636" spans="1:15" ht="38.25" customHeight="1">
      <c r="A636" s="108" t="s">
        <v>643</v>
      </c>
      <c r="B636" s="75" t="s">
        <v>257</v>
      </c>
      <c r="C636" s="75" t="s">
        <v>353</v>
      </c>
      <c r="D636" s="75" t="s">
        <v>644</v>
      </c>
      <c r="E636" s="75" t="s">
        <v>206</v>
      </c>
      <c r="F636" s="76">
        <f>'5'!D98</f>
        <v>70679.872359999994</v>
      </c>
      <c r="G636" s="76">
        <f>'5'!E98</f>
        <v>64964.291729999997</v>
      </c>
      <c r="H636" s="76">
        <f>'5'!F98</f>
        <v>67949.963440000007</v>
      </c>
    </row>
    <row r="637" spans="1:15" ht="54" customHeight="1">
      <c r="A637" s="74" t="s">
        <v>645</v>
      </c>
      <c r="B637" s="75" t="s">
        <v>257</v>
      </c>
      <c r="C637" s="75" t="s">
        <v>353</v>
      </c>
      <c r="D637" s="75" t="s">
        <v>646</v>
      </c>
      <c r="E637" s="75" t="s">
        <v>206</v>
      </c>
      <c r="F637" s="76">
        <f>F638+F640+F642</f>
        <v>70679.872359999994</v>
      </c>
      <c r="G637" s="76">
        <f>G638+G640+G642</f>
        <v>64964.291729999997</v>
      </c>
      <c r="H637" s="76">
        <f>H638+H640+H642</f>
        <v>67949.963440000007</v>
      </c>
    </row>
    <row r="638" spans="1:15" ht="101.25" customHeight="1">
      <c r="A638" s="74" t="s">
        <v>215</v>
      </c>
      <c r="B638" s="75" t="s">
        <v>257</v>
      </c>
      <c r="C638" s="75" t="s">
        <v>353</v>
      </c>
      <c r="D638" s="75" t="s">
        <v>646</v>
      </c>
      <c r="E638" s="75" t="s">
        <v>216</v>
      </c>
      <c r="F638" s="76">
        <f>F639</f>
        <v>59656.902359999993</v>
      </c>
      <c r="G638" s="76">
        <f t="shared" ref="G638:H638" si="168">G639</f>
        <v>55078.822029999996</v>
      </c>
      <c r="H638" s="76">
        <f t="shared" si="168"/>
        <v>56053.329040000004</v>
      </c>
    </row>
    <row r="639" spans="1:15" ht="32.25" customHeight="1">
      <c r="A639" s="74" t="s">
        <v>647</v>
      </c>
      <c r="B639" s="75" t="s">
        <v>257</v>
      </c>
      <c r="C639" s="75" t="s">
        <v>353</v>
      </c>
      <c r="D639" s="75" t="s">
        <v>646</v>
      </c>
      <c r="E639" s="75" t="s">
        <v>648</v>
      </c>
      <c r="F639" s="76">
        <f>'4'!G928</f>
        <v>59656.902359999993</v>
      </c>
      <c r="G639" s="76">
        <f>'4'!H928</f>
        <v>55078.822029999996</v>
      </c>
      <c r="H639" s="76">
        <f>'4'!I928</f>
        <v>56053.329040000004</v>
      </c>
      <c r="I639" s="151"/>
    </row>
    <row r="640" spans="1:15" ht="33" customHeight="1">
      <c r="A640" s="74" t="s">
        <v>223</v>
      </c>
      <c r="B640" s="75" t="s">
        <v>257</v>
      </c>
      <c r="C640" s="75" t="s">
        <v>353</v>
      </c>
      <c r="D640" s="75" t="s">
        <v>646</v>
      </c>
      <c r="E640" s="75" t="s">
        <v>224</v>
      </c>
      <c r="F640" s="76">
        <f>F641</f>
        <v>10992.97</v>
      </c>
      <c r="G640" s="76">
        <f>G641</f>
        <v>9855.4696999999996</v>
      </c>
      <c r="H640" s="76">
        <f>H641</f>
        <v>11866.634400000001</v>
      </c>
    </row>
    <row r="641" spans="1:15" ht="48.75" customHeight="1">
      <c r="A641" s="74" t="s">
        <v>225</v>
      </c>
      <c r="B641" s="75" t="s">
        <v>257</v>
      </c>
      <c r="C641" s="75" t="s">
        <v>353</v>
      </c>
      <c r="D641" s="75" t="s">
        <v>646</v>
      </c>
      <c r="E641" s="75" t="s">
        <v>226</v>
      </c>
      <c r="F641" s="76">
        <v>10992.97</v>
      </c>
      <c r="G641" s="76">
        <v>9855.4696999999996</v>
      </c>
      <c r="H641" s="76">
        <v>11866.634400000001</v>
      </c>
    </row>
    <row r="642" spans="1:15" ht="19.5" customHeight="1">
      <c r="A642" s="74" t="s">
        <v>229</v>
      </c>
      <c r="B642" s="75" t="s">
        <v>257</v>
      </c>
      <c r="C642" s="75" t="s">
        <v>353</v>
      </c>
      <c r="D642" s="75" t="s">
        <v>646</v>
      </c>
      <c r="E642" s="75" t="s">
        <v>230</v>
      </c>
      <c r="F642" s="76">
        <f>F643+F644</f>
        <v>30</v>
      </c>
      <c r="G642" s="76">
        <f>G643+G644</f>
        <v>30</v>
      </c>
      <c r="H642" s="76">
        <f>H643+H644</f>
        <v>30</v>
      </c>
    </row>
    <row r="643" spans="1:15" ht="15.75" hidden="1" customHeight="1">
      <c r="A643" s="74" t="s">
        <v>292</v>
      </c>
      <c r="B643" s="75" t="s">
        <v>257</v>
      </c>
      <c r="C643" s="75" t="s">
        <v>353</v>
      </c>
      <c r="D643" s="75" t="s">
        <v>646</v>
      </c>
      <c r="E643" s="75" t="s">
        <v>294</v>
      </c>
      <c r="F643" s="76"/>
      <c r="G643" s="76"/>
      <c r="H643" s="76"/>
    </row>
    <row r="644" spans="1:15" ht="19.5" customHeight="1">
      <c r="A644" s="74" t="s">
        <v>231</v>
      </c>
      <c r="B644" s="75" t="s">
        <v>257</v>
      </c>
      <c r="C644" s="75" t="s">
        <v>353</v>
      </c>
      <c r="D644" s="75" t="s">
        <v>646</v>
      </c>
      <c r="E644" s="75" t="s">
        <v>232</v>
      </c>
      <c r="F644" s="76">
        <v>30</v>
      </c>
      <c r="G644" s="76">
        <v>30</v>
      </c>
      <c r="H644" s="76">
        <v>30</v>
      </c>
    </row>
    <row r="645" spans="1:15" ht="63" hidden="1" customHeight="1">
      <c r="A645" s="108" t="s">
        <v>649</v>
      </c>
      <c r="B645" s="75" t="s">
        <v>257</v>
      </c>
      <c r="C645" s="75" t="s">
        <v>353</v>
      </c>
      <c r="D645" s="75" t="s">
        <v>646</v>
      </c>
      <c r="E645" s="75" t="s">
        <v>206</v>
      </c>
      <c r="F645" s="76">
        <f>F646+F648</f>
        <v>0</v>
      </c>
      <c r="G645" s="76">
        <f>G646+G648</f>
        <v>0</v>
      </c>
      <c r="H645" s="76">
        <f>H646+H648</f>
        <v>0</v>
      </c>
    </row>
    <row r="646" spans="1:15" ht="94.5" hidden="1" customHeight="1">
      <c r="A646" s="74" t="s">
        <v>215</v>
      </c>
      <c r="B646" s="75" t="s">
        <v>257</v>
      </c>
      <c r="C646" s="75" t="s">
        <v>353</v>
      </c>
      <c r="D646" s="75" t="s">
        <v>646</v>
      </c>
      <c r="E646" s="75" t="s">
        <v>216</v>
      </c>
      <c r="F646" s="76">
        <f>F647</f>
        <v>0</v>
      </c>
      <c r="G646" s="76">
        <f>G647</f>
        <v>0</v>
      </c>
      <c r="H646" s="76">
        <f>H647</f>
        <v>0</v>
      </c>
    </row>
    <row r="647" spans="1:15" ht="31.5" hidden="1" customHeight="1">
      <c r="A647" s="74" t="s">
        <v>647</v>
      </c>
      <c r="B647" s="75" t="s">
        <v>257</v>
      </c>
      <c r="C647" s="75" t="s">
        <v>353</v>
      </c>
      <c r="D647" s="75" t="s">
        <v>646</v>
      </c>
      <c r="E647" s="75" t="s">
        <v>648</v>
      </c>
      <c r="F647" s="76">
        <f>'5'!D99</f>
        <v>0</v>
      </c>
      <c r="G647" s="76">
        <f>'5'!E99</f>
        <v>0</v>
      </c>
      <c r="H647" s="76">
        <f>'5'!F99</f>
        <v>0</v>
      </c>
    </row>
    <row r="648" spans="1:15" ht="31.5" hidden="1" customHeight="1">
      <c r="A648" s="74" t="s">
        <v>223</v>
      </c>
      <c r="B648" s="75" t="s">
        <v>257</v>
      </c>
      <c r="C648" s="75" t="s">
        <v>353</v>
      </c>
      <c r="D648" s="75" t="s">
        <v>646</v>
      </c>
      <c r="E648" s="75" t="s">
        <v>224</v>
      </c>
      <c r="F648" s="76">
        <f>F649</f>
        <v>0</v>
      </c>
      <c r="G648" s="76">
        <f>G649</f>
        <v>0</v>
      </c>
      <c r="H648" s="76">
        <f>H649</f>
        <v>0</v>
      </c>
    </row>
    <row r="649" spans="1:15" ht="47.25" hidden="1" customHeight="1">
      <c r="A649" s="74" t="s">
        <v>225</v>
      </c>
      <c r="B649" s="75" t="s">
        <v>257</v>
      </c>
      <c r="C649" s="75" t="s">
        <v>353</v>
      </c>
      <c r="D649" s="75" t="s">
        <v>646</v>
      </c>
      <c r="E649" s="75" t="s">
        <v>226</v>
      </c>
      <c r="F649" s="76">
        <v>0</v>
      </c>
      <c r="G649" s="76">
        <v>0</v>
      </c>
      <c r="H649" s="76">
        <v>0</v>
      </c>
    </row>
    <row r="650" spans="1:15" ht="33.75" customHeight="1">
      <c r="A650" s="108" t="s">
        <v>316</v>
      </c>
      <c r="B650" s="75" t="s">
        <v>257</v>
      </c>
      <c r="C650" s="75" t="s">
        <v>353</v>
      </c>
      <c r="D650" s="98" t="s">
        <v>650</v>
      </c>
      <c r="E650" s="75" t="s">
        <v>206</v>
      </c>
      <c r="F650" s="76">
        <f t="shared" ref="F650:H651" si="169">F651</f>
        <v>161</v>
      </c>
      <c r="G650" s="76">
        <f t="shared" si="169"/>
        <v>211</v>
      </c>
      <c r="H650" s="76">
        <f t="shared" si="169"/>
        <v>261</v>
      </c>
    </row>
    <row r="651" spans="1:15" ht="33" customHeight="1">
      <c r="A651" s="74" t="s">
        <v>223</v>
      </c>
      <c r="B651" s="75" t="s">
        <v>257</v>
      </c>
      <c r="C651" s="75" t="s">
        <v>353</v>
      </c>
      <c r="D651" s="98" t="s">
        <v>651</v>
      </c>
      <c r="E651" s="75" t="s">
        <v>224</v>
      </c>
      <c r="F651" s="76">
        <f t="shared" si="169"/>
        <v>161</v>
      </c>
      <c r="G651" s="76">
        <f t="shared" si="169"/>
        <v>211</v>
      </c>
      <c r="H651" s="76">
        <f t="shared" si="169"/>
        <v>261</v>
      </c>
    </row>
    <row r="652" spans="1:15" ht="51" customHeight="1">
      <c r="A652" s="74" t="s">
        <v>225</v>
      </c>
      <c r="B652" s="75" t="s">
        <v>257</v>
      </c>
      <c r="C652" s="75" t="s">
        <v>353</v>
      </c>
      <c r="D652" s="98" t="s">
        <v>651</v>
      </c>
      <c r="E652" s="75" t="s">
        <v>226</v>
      </c>
      <c r="F652" s="76">
        <f>'5'!D101</f>
        <v>161</v>
      </c>
      <c r="G652" s="76">
        <f>'5'!E101</f>
        <v>211</v>
      </c>
      <c r="H652" s="76">
        <f>'5'!F101</f>
        <v>261</v>
      </c>
      <c r="O652" s="77"/>
    </row>
    <row r="653" spans="1:15" s="77" customFormat="1" ht="68.25" customHeight="1">
      <c r="A653" s="78" t="s">
        <v>652</v>
      </c>
      <c r="B653" s="79" t="s">
        <v>257</v>
      </c>
      <c r="C653" s="79" t="s">
        <v>353</v>
      </c>
      <c r="D653" s="79" t="s">
        <v>570</v>
      </c>
      <c r="E653" s="79" t="s">
        <v>206</v>
      </c>
      <c r="F653" s="80">
        <f>F657+F662+F654</f>
        <v>2050</v>
      </c>
      <c r="G653" s="80">
        <f>G657+G662+G654</f>
        <v>1078</v>
      </c>
      <c r="H653" s="80">
        <f>H657+H662+H654</f>
        <v>1108</v>
      </c>
    </row>
    <row r="654" spans="1:15" s="77" customFormat="1" ht="115.5" customHeight="1">
      <c r="A654" s="74" t="s">
        <v>653</v>
      </c>
      <c r="B654" s="79" t="s">
        <v>257</v>
      </c>
      <c r="C654" s="79" t="s">
        <v>353</v>
      </c>
      <c r="D654" s="98" t="s">
        <v>654</v>
      </c>
      <c r="E654" s="79" t="s">
        <v>216</v>
      </c>
      <c r="F654" s="80">
        <v>600</v>
      </c>
      <c r="G654" s="80">
        <v>0</v>
      </c>
      <c r="H654" s="80">
        <v>0</v>
      </c>
    </row>
    <row r="655" spans="1:15" s="77" customFormat="1" ht="47.25" hidden="1">
      <c r="A655" s="74" t="s">
        <v>284</v>
      </c>
      <c r="B655" s="79" t="s">
        <v>257</v>
      </c>
      <c r="C655" s="79" t="s">
        <v>353</v>
      </c>
      <c r="D655" s="98" t="s">
        <v>654</v>
      </c>
      <c r="E655" s="79" t="s">
        <v>224</v>
      </c>
      <c r="F655" s="80">
        <f t="shared" ref="F655:G655" si="170">F656</f>
        <v>0</v>
      </c>
      <c r="G655" s="80">
        <f t="shared" si="170"/>
        <v>0</v>
      </c>
      <c r="H655" s="80">
        <f>H656</f>
        <v>0</v>
      </c>
    </row>
    <row r="656" spans="1:15" s="77" customFormat="1" hidden="1">
      <c r="A656" s="74" t="s">
        <v>497</v>
      </c>
      <c r="B656" s="79" t="s">
        <v>257</v>
      </c>
      <c r="C656" s="79" t="s">
        <v>353</v>
      </c>
      <c r="D656" s="80"/>
      <c r="E656" s="79" t="s">
        <v>226</v>
      </c>
      <c r="F656" s="80">
        <v>0</v>
      </c>
      <c r="G656" s="80">
        <v>0</v>
      </c>
      <c r="H656" s="80">
        <v>0</v>
      </c>
      <c r="O656" s="50"/>
    </row>
    <row r="657" spans="1:15" ht="18" customHeight="1">
      <c r="A657" s="74" t="s">
        <v>655</v>
      </c>
      <c r="B657" s="75" t="s">
        <v>257</v>
      </c>
      <c r="C657" s="75" t="s">
        <v>353</v>
      </c>
      <c r="D657" s="75" t="s">
        <v>656</v>
      </c>
      <c r="E657" s="75" t="s">
        <v>206</v>
      </c>
      <c r="F657" s="76">
        <f>F659+F661</f>
        <v>605</v>
      </c>
      <c r="G657" s="76">
        <f>G659+G661</f>
        <v>778</v>
      </c>
      <c r="H657" s="76">
        <f>H659+H661</f>
        <v>798</v>
      </c>
    </row>
    <row r="658" spans="1:15" ht="37.5" customHeight="1">
      <c r="A658" s="74" t="s">
        <v>223</v>
      </c>
      <c r="B658" s="75" t="s">
        <v>257</v>
      </c>
      <c r="C658" s="75" t="s">
        <v>353</v>
      </c>
      <c r="D658" s="75" t="s">
        <v>657</v>
      </c>
      <c r="E658" s="75" t="s">
        <v>224</v>
      </c>
      <c r="F658" s="76">
        <f t="shared" ref="F658:H663" si="171">F659</f>
        <v>3</v>
      </c>
      <c r="G658" s="76">
        <f t="shared" si="171"/>
        <v>0</v>
      </c>
      <c r="H658" s="76">
        <f t="shared" si="171"/>
        <v>0</v>
      </c>
    </row>
    <row r="659" spans="1:15" ht="50.25" customHeight="1">
      <c r="A659" s="74" t="s">
        <v>225</v>
      </c>
      <c r="B659" s="75" t="s">
        <v>257</v>
      </c>
      <c r="C659" s="75" t="s">
        <v>353</v>
      </c>
      <c r="D659" s="75" t="s">
        <v>657</v>
      </c>
      <c r="E659" s="75" t="s">
        <v>226</v>
      </c>
      <c r="F659" s="76">
        <v>3</v>
      </c>
      <c r="G659" s="76">
        <v>0</v>
      </c>
      <c r="H659" s="76">
        <v>0</v>
      </c>
    </row>
    <row r="660" spans="1:15" ht="28.5" customHeight="1">
      <c r="A660" s="74" t="s">
        <v>546</v>
      </c>
      <c r="B660" s="75" t="s">
        <v>257</v>
      </c>
      <c r="C660" s="75" t="s">
        <v>353</v>
      </c>
      <c r="D660" s="75" t="s">
        <v>657</v>
      </c>
      <c r="E660" s="75" t="s">
        <v>206</v>
      </c>
      <c r="F660" s="76">
        <f t="shared" si="171"/>
        <v>602</v>
      </c>
      <c r="G660" s="76">
        <f t="shared" ref="G660:H660" si="172">G661</f>
        <v>778</v>
      </c>
      <c r="H660" s="76">
        <f t="shared" si="172"/>
        <v>798</v>
      </c>
    </row>
    <row r="661" spans="1:15" ht="22.5" customHeight="1">
      <c r="A661" s="74" t="s">
        <v>658</v>
      </c>
      <c r="B661" s="75" t="s">
        <v>257</v>
      </c>
      <c r="C661" s="75" t="s">
        <v>353</v>
      </c>
      <c r="D661" s="75" t="s">
        <v>657</v>
      </c>
      <c r="E661" s="75" t="s">
        <v>648</v>
      </c>
      <c r="F661" s="76">
        <v>602</v>
      </c>
      <c r="G661" s="76">
        <f>'5'!E116</f>
        <v>778</v>
      </c>
      <c r="H661" s="76">
        <f>'5'!F116</f>
        <v>798</v>
      </c>
    </row>
    <row r="662" spans="1:15" ht="33" customHeight="1">
      <c r="A662" s="74" t="s">
        <v>546</v>
      </c>
      <c r="B662" s="75" t="s">
        <v>257</v>
      </c>
      <c r="C662" s="75" t="s">
        <v>353</v>
      </c>
      <c r="D662" s="75" t="s">
        <v>659</v>
      </c>
      <c r="E662" s="75" t="s">
        <v>206</v>
      </c>
      <c r="F662" s="76">
        <f t="shared" si="171"/>
        <v>845</v>
      </c>
      <c r="G662" s="76">
        <f t="shared" si="171"/>
        <v>300</v>
      </c>
      <c r="H662" s="76">
        <f t="shared" si="171"/>
        <v>310</v>
      </c>
    </row>
    <row r="663" spans="1:15" ht="49.5" customHeight="1">
      <c r="A663" s="74" t="s">
        <v>284</v>
      </c>
      <c r="B663" s="75" t="s">
        <v>257</v>
      </c>
      <c r="C663" s="75" t="s">
        <v>353</v>
      </c>
      <c r="D663" s="75" t="s">
        <v>659</v>
      </c>
      <c r="E663" s="75" t="s">
        <v>283</v>
      </c>
      <c r="F663" s="76">
        <f t="shared" si="171"/>
        <v>845</v>
      </c>
      <c r="G663" s="76">
        <f t="shared" si="171"/>
        <v>300</v>
      </c>
      <c r="H663" s="76">
        <f t="shared" si="171"/>
        <v>310</v>
      </c>
    </row>
    <row r="664" spans="1:15" ht="19.5" customHeight="1">
      <c r="A664" s="74" t="s">
        <v>497</v>
      </c>
      <c r="B664" s="75" t="s">
        <v>257</v>
      </c>
      <c r="C664" s="75" t="s">
        <v>353</v>
      </c>
      <c r="D664" s="75" t="s">
        <v>659</v>
      </c>
      <c r="E664" s="75" t="s">
        <v>499</v>
      </c>
      <c r="F664" s="76">
        <f>'5'!D117</f>
        <v>845</v>
      </c>
      <c r="G664" s="76">
        <f>'5'!E117</f>
        <v>300</v>
      </c>
      <c r="H664" s="76">
        <f>'5'!F117</f>
        <v>310</v>
      </c>
      <c r="O664" s="77"/>
    </row>
    <row r="665" spans="1:15" s="77" customFormat="1" ht="64.5" customHeight="1">
      <c r="A665" s="78" t="s">
        <v>329</v>
      </c>
      <c r="B665" s="79" t="s">
        <v>257</v>
      </c>
      <c r="C665" s="79" t="s">
        <v>353</v>
      </c>
      <c r="D665" s="79" t="s">
        <v>330</v>
      </c>
      <c r="E665" s="79" t="s">
        <v>206</v>
      </c>
      <c r="F665" s="80">
        <f>F666</f>
        <v>2435</v>
      </c>
      <c r="G665" s="80">
        <f>G666</f>
        <v>1032</v>
      </c>
      <c r="H665" s="80">
        <f>H666</f>
        <v>318</v>
      </c>
      <c r="O665" s="50"/>
    </row>
    <row r="666" spans="1:15" ht="21.75" customHeight="1">
      <c r="A666" s="74" t="s">
        <v>655</v>
      </c>
      <c r="B666" s="75" t="s">
        <v>257</v>
      </c>
      <c r="C666" s="75" t="s">
        <v>353</v>
      </c>
      <c r="D666" s="75" t="s">
        <v>331</v>
      </c>
      <c r="E666" s="75" t="s">
        <v>206</v>
      </c>
      <c r="F666" s="76">
        <f>F667+F669</f>
        <v>2435</v>
      </c>
      <c r="G666" s="76">
        <f>G667+G669</f>
        <v>1032</v>
      </c>
      <c r="H666" s="76">
        <f>H667+H669</f>
        <v>318</v>
      </c>
    </row>
    <row r="667" spans="1:15" ht="33.75" customHeight="1">
      <c r="A667" s="74" t="s">
        <v>223</v>
      </c>
      <c r="B667" s="75" t="s">
        <v>257</v>
      </c>
      <c r="C667" s="75" t="s">
        <v>353</v>
      </c>
      <c r="D667" s="75" t="s">
        <v>660</v>
      </c>
      <c r="E667" s="75" t="s">
        <v>224</v>
      </c>
      <c r="F667" s="76">
        <f>F668</f>
        <v>4</v>
      </c>
      <c r="G667" s="76">
        <f>G668</f>
        <v>4</v>
      </c>
      <c r="H667" s="76">
        <f>H668</f>
        <v>10</v>
      </c>
    </row>
    <row r="668" spans="1:15" ht="48.75" customHeight="1">
      <c r="A668" s="74" t="s">
        <v>225</v>
      </c>
      <c r="B668" s="75" t="s">
        <v>257</v>
      </c>
      <c r="C668" s="75" t="s">
        <v>353</v>
      </c>
      <c r="D668" s="75" t="s">
        <v>660</v>
      </c>
      <c r="E668" s="75" t="s">
        <v>226</v>
      </c>
      <c r="F668" s="76">
        <f>'5'!D123</f>
        <v>4</v>
      </c>
      <c r="G668" s="76">
        <f>'5'!E123</f>
        <v>4</v>
      </c>
      <c r="H668" s="76">
        <f>'5'!F123</f>
        <v>10</v>
      </c>
    </row>
    <row r="669" spans="1:15" ht="48.75" customHeight="1">
      <c r="A669" s="74" t="s">
        <v>284</v>
      </c>
      <c r="B669" s="75" t="s">
        <v>257</v>
      </c>
      <c r="C669" s="75" t="s">
        <v>353</v>
      </c>
      <c r="D669" s="75" t="s">
        <v>660</v>
      </c>
      <c r="E669" s="75" t="s">
        <v>283</v>
      </c>
      <c r="F669" s="76">
        <f>F670</f>
        <v>2431</v>
      </c>
      <c r="G669" s="76">
        <f>G670</f>
        <v>1028</v>
      </c>
      <c r="H669" s="76">
        <f>H670</f>
        <v>308</v>
      </c>
    </row>
    <row r="670" spans="1:15" ht="20.45" customHeight="1">
      <c r="A670" s="74" t="s">
        <v>497</v>
      </c>
      <c r="B670" s="75" t="s">
        <v>257</v>
      </c>
      <c r="C670" s="75" t="s">
        <v>353</v>
      </c>
      <c r="D670" s="75" t="s">
        <v>660</v>
      </c>
      <c r="E670" s="75" t="s">
        <v>499</v>
      </c>
      <c r="F670" s="76">
        <f>'5'!D124</f>
        <v>2431</v>
      </c>
      <c r="G670" s="76">
        <f>'5'!E124</f>
        <v>1028</v>
      </c>
      <c r="H670" s="76">
        <f>'5'!F124</f>
        <v>308</v>
      </c>
    </row>
    <row r="671" spans="1:15" ht="81.75" customHeight="1">
      <c r="A671" s="78" t="s">
        <v>467</v>
      </c>
      <c r="B671" s="79" t="s">
        <v>257</v>
      </c>
      <c r="C671" s="79" t="s">
        <v>353</v>
      </c>
      <c r="D671" s="79" t="s">
        <v>468</v>
      </c>
      <c r="E671" s="79" t="s">
        <v>206</v>
      </c>
      <c r="F671" s="80">
        <f>F672+F674</f>
        <v>550</v>
      </c>
      <c r="G671" s="80">
        <f>G672+G674</f>
        <v>550</v>
      </c>
      <c r="H671" s="80">
        <f>H672+H674</f>
        <v>0</v>
      </c>
    </row>
    <row r="672" spans="1:15" ht="31.5" hidden="1" customHeight="1">
      <c r="A672" s="74" t="s">
        <v>223</v>
      </c>
      <c r="B672" s="75" t="s">
        <v>257</v>
      </c>
      <c r="C672" s="75" t="s">
        <v>353</v>
      </c>
      <c r="D672" s="75" t="s">
        <v>661</v>
      </c>
      <c r="E672" s="75" t="s">
        <v>224</v>
      </c>
      <c r="F672" s="76">
        <f>F673</f>
        <v>0</v>
      </c>
      <c r="G672" s="76">
        <f>G673</f>
        <v>0</v>
      </c>
      <c r="H672" s="76">
        <f>H673</f>
        <v>0</v>
      </c>
    </row>
    <row r="673" spans="1:8" ht="47.25" hidden="1" customHeight="1">
      <c r="A673" s="74" t="s">
        <v>225</v>
      </c>
      <c r="B673" s="75" t="s">
        <v>257</v>
      </c>
      <c r="C673" s="75" t="s">
        <v>353</v>
      </c>
      <c r="D673" s="75" t="s">
        <v>661</v>
      </c>
      <c r="E673" s="75" t="s">
        <v>226</v>
      </c>
      <c r="F673" s="76">
        <f>'5'!D222</f>
        <v>0</v>
      </c>
      <c r="G673" s="76">
        <f>'5'!E222</f>
        <v>0</v>
      </c>
      <c r="H673" s="76">
        <f>'5'!F222</f>
        <v>0</v>
      </c>
    </row>
    <row r="674" spans="1:8" ht="46.9" customHeight="1">
      <c r="A674" s="74" t="s">
        <v>284</v>
      </c>
      <c r="B674" s="75" t="s">
        <v>257</v>
      </c>
      <c r="C674" s="75" t="s">
        <v>353</v>
      </c>
      <c r="D674" s="75" t="s">
        <v>662</v>
      </c>
      <c r="E674" s="75" t="s">
        <v>283</v>
      </c>
      <c r="F674" s="76">
        <f>F675</f>
        <v>550</v>
      </c>
      <c r="G674" s="76">
        <f>G675</f>
        <v>550</v>
      </c>
      <c r="H674" s="76">
        <f>H675</f>
        <v>0</v>
      </c>
    </row>
    <row r="675" spans="1:8" ht="18" customHeight="1">
      <c r="A675" s="70" t="s">
        <v>497</v>
      </c>
      <c r="B675" s="71" t="s">
        <v>257</v>
      </c>
      <c r="C675" s="71" t="s">
        <v>353</v>
      </c>
      <c r="D675" s="71" t="s">
        <v>662</v>
      </c>
      <c r="E675" s="71" t="s">
        <v>499</v>
      </c>
      <c r="F675" s="72">
        <f>'5'!D219</f>
        <v>550</v>
      </c>
      <c r="G675" s="72">
        <f>'5'!E219</f>
        <v>550</v>
      </c>
      <c r="H675" s="72">
        <f>'5'!F219</f>
        <v>0</v>
      </c>
    </row>
    <row r="676" spans="1:8" ht="47.25" hidden="1" customHeight="1">
      <c r="A676" s="132" t="s">
        <v>333</v>
      </c>
      <c r="B676" s="71" t="s">
        <v>257</v>
      </c>
      <c r="C676" s="71" t="s">
        <v>353</v>
      </c>
      <c r="D676" s="127" t="s">
        <v>334</v>
      </c>
      <c r="E676" s="127" t="s">
        <v>206</v>
      </c>
      <c r="F676" s="129">
        <f>F677</f>
        <v>0</v>
      </c>
      <c r="G676" s="129">
        <f>G677</f>
        <v>0</v>
      </c>
      <c r="H676" s="129">
        <f>H677</f>
        <v>0</v>
      </c>
    </row>
    <row r="677" spans="1:8" ht="31.5" hidden="1" customHeight="1">
      <c r="A677" s="70" t="s">
        <v>223</v>
      </c>
      <c r="B677" s="71" t="s">
        <v>257</v>
      </c>
      <c r="C677" s="71" t="s">
        <v>353</v>
      </c>
      <c r="D677" s="71" t="s">
        <v>335</v>
      </c>
      <c r="E677" s="71" t="s">
        <v>224</v>
      </c>
      <c r="F677" s="72">
        <f>F678+F679</f>
        <v>0</v>
      </c>
      <c r="G677" s="72">
        <f>G678+G679</f>
        <v>0</v>
      </c>
      <c r="H677" s="72">
        <f>H678+H679</f>
        <v>0</v>
      </c>
    </row>
    <row r="678" spans="1:8" ht="63" hidden="1" customHeight="1">
      <c r="A678" s="70" t="s">
        <v>663</v>
      </c>
      <c r="B678" s="71" t="s">
        <v>257</v>
      </c>
      <c r="C678" s="71" t="s">
        <v>353</v>
      </c>
      <c r="D678" s="71" t="s">
        <v>664</v>
      </c>
      <c r="E678" s="71" t="s">
        <v>226</v>
      </c>
      <c r="F678" s="72"/>
      <c r="G678" s="72"/>
      <c r="H678" s="72"/>
    </row>
    <row r="679" spans="1:8" ht="47.25" hidden="1" customHeight="1">
      <c r="A679" s="70" t="s">
        <v>665</v>
      </c>
      <c r="B679" s="71" t="s">
        <v>257</v>
      </c>
      <c r="C679" s="71" t="s">
        <v>353</v>
      </c>
      <c r="D679" s="71" t="s">
        <v>666</v>
      </c>
      <c r="E679" s="71" t="s">
        <v>226</v>
      </c>
      <c r="F679" s="72"/>
      <c r="G679" s="72"/>
      <c r="H679" s="72"/>
    </row>
    <row r="680" spans="1:8" ht="47.25" hidden="1" customHeight="1">
      <c r="A680" s="141" t="s">
        <v>667</v>
      </c>
      <c r="B680" s="142" t="s">
        <v>257</v>
      </c>
      <c r="C680" s="142" t="s">
        <v>353</v>
      </c>
      <c r="D680" s="142" t="s">
        <v>668</v>
      </c>
      <c r="E680" s="142" t="s">
        <v>206</v>
      </c>
      <c r="F680" s="143">
        <f t="shared" ref="F680:H681" si="173">F681</f>
        <v>0</v>
      </c>
      <c r="G680" s="143">
        <f t="shared" si="173"/>
        <v>0</v>
      </c>
      <c r="H680" s="143">
        <f t="shared" si="173"/>
        <v>0</v>
      </c>
    </row>
    <row r="681" spans="1:8" ht="31.5" hidden="1" customHeight="1">
      <c r="A681" s="70" t="s">
        <v>223</v>
      </c>
      <c r="B681" s="71" t="s">
        <v>257</v>
      </c>
      <c r="C681" s="71" t="s">
        <v>353</v>
      </c>
      <c r="D681" s="71" t="s">
        <v>669</v>
      </c>
      <c r="E681" s="71" t="s">
        <v>224</v>
      </c>
      <c r="F681" s="72">
        <f t="shared" si="173"/>
        <v>0</v>
      </c>
      <c r="G681" s="72">
        <f t="shared" si="173"/>
        <v>0</v>
      </c>
      <c r="H681" s="72">
        <f t="shared" si="173"/>
        <v>0</v>
      </c>
    </row>
    <row r="682" spans="1:8" ht="47.25" hidden="1" customHeight="1">
      <c r="A682" s="70" t="s">
        <v>225</v>
      </c>
      <c r="B682" s="71" t="s">
        <v>257</v>
      </c>
      <c r="C682" s="71" t="s">
        <v>353</v>
      </c>
      <c r="D682" s="71" t="s">
        <v>669</v>
      </c>
      <c r="E682" s="71" t="s">
        <v>226</v>
      </c>
      <c r="F682" s="72">
        <f>'5'!D245</f>
        <v>0</v>
      </c>
      <c r="G682" s="72">
        <f>'5'!E245</f>
        <v>0</v>
      </c>
      <c r="H682" s="72">
        <f>'5'!F245</f>
        <v>0</v>
      </c>
    </row>
    <row r="683" spans="1:8" ht="47.25" hidden="1" customHeight="1">
      <c r="A683" s="152" t="s">
        <v>209</v>
      </c>
      <c r="B683" s="153" t="s">
        <v>257</v>
      </c>
      <c r="C683" s="153" t="s">
        <v>353</v>
      </c>
      <c r="D683" s="153" t="s">
        <v>210</v>
      </c>
      <c r="E683" s="153" t="s">
        <v>206</v>
      </c>
      <c r="F683" s="154">
        <f>F684+F690+F693</f>
        <v>0</v>
      </c>
      <c r="G683" s="154">
        <f>G684+G690+G693</f>
        <v>0</v>
      </c>
      <c r="H683" s="154">
        <f>H684+H690+H693</f>
        <v>0</v>
      </c>
    </row>
    <row r="684" spans="1:8" ht="47.25" hidden="1" customHeight="1">
      <c r="A684" s="70" t="s">
        <v>211</v>
      </c>
      <c r="B684" s="71" t="s">
        <v>257</v>
      </c>
      <c r="C684" s="71" t="s">
        <v>353</v>
      </c>
      <c r="D684" s="71" t="s">
        <v>212</v>
      </c>
      <c r="E684" s="71" t="s">
        <v>206</v>
      </c>
      <c r="F684" s="72">
        <f>F685</f>
        <v>0</v>
      </c>
      <c r="G684" s="72">
        <f>G685</f>
        <v>0</v>
      </c>
      <c r="H684" s="72">
        <f>H685</f>
        <v>0</v>
      </c>
    </row>
    <row r="685" spans="1:8" ht="47.25" hidden="1" customHeight="1">
      <c r="A685" s="70" t="s">
        <v>227</v>
      </c>
      <c r="B685" s="71" t="s">
        <v>257</v>
      </c>
      <c r="C685" s="71" t="s">
        <v>353</v>
      </c>
      <c r="D685" s="71" t="s">
        <v>228</v>
      </c>
      <c r="E685" s="71" t="s">
        <v>206</v>
      </c>
      <c r="F685" s="72">
        <f>F686+F688</f>
        <v>0</v>
      </c>
      <c r="G685" s="72">
        <f>G686+G688</f>
        <v>0</v>
      </c>
      <c r="H685" s="72">
        <f>H686+H688</f>
        <v>0</v>
      </c>
    </row>
    <row r="686" spans="1:8" ht="94.5" hidden="1" customHeight="1">
      <c r="A686" s="70" t="s">
        <v>215</v>
      </c>
      <c r="B686" s="71" t="s">
        <v>257</v>
      </c>
      <c r="C686" s="71" t="s">
        <v>353</v>
      </c>
      <c r="D686" s="71" t="s">
        <v>228</v>
      </c>
      <c r="E686" s="71" t="s">
        <v>216</v>
      </c>
      <c r="F686" s="72">
        <f>F687</f>
        <v>0</v>
      </c>
      <c r="G686" s="72">
        <f>G687</f>
        <v>0</v>
      </c>
      <c r="H686" s="72">
        <f>H687</f>
        <v>0</v>
      </c>
    </row>
    <row r="687" spans="1:8" ht="31.5" hidden="1" customHeight="1">
      <c r="A687" s="70" t="s">
        <v>217</v>
      </c>
      <c r="B687" s="71" t="s">
        <v>257</v>
      </c>
      <c r="C687" s="71" t="s">
        <v>353</v>
      </c>
      <c r="D687" s="71" t="s">
        <v>228</v>
      </c>
      <c r="E687" s="71" t="s">
        <v>218</v>
      </c>
      <c r="F687" s="72">
        <v>0</v>
      </c>
      <c r="G687" s="72">
        <v>0</v>
      </c>
      <c r="H687" s="72">
        <v>0</v>
      </c>
    </row>
    <row r="688" spans="1:8" ht="31.5" hidden="1" customHeight="1">
      <c r="A688" s="70" t="s">
        <v>223</v>
      </c>
      <c r="B688" s="71" t="s">
        <v>257</v>
      </c>
      <c r="C688" s="71" t="s">
        <v>353</v>
      </c>
      <c r="D688" s="71" t="s">
        <v>228</v>
      </c>
      <c r="E688" s="71" t="s">
        <v>224</v>
      </c>
      <c r="F688" s="72">
        <f>F689</f>
        <v>0</v>
      </c>
      <c r="G688" s="72">
        <f>G689</f>
        <v>0</v>
      </c>
      <c r="H688" s="72">
        <f>H689</f>
        <v>0</v>
      </c>
    </row>
    <row r="689" spans="1:15" ht="47.25" hidden="1" customHeight="1">
      <c r="A689" s="70" t="s">
        <v>225</v>
      </c>
      <c r="B689" s="71" t="s">
        <v>257</v>
      </c>
      <c r="C689" s="71" t="s">
        <v>353</v>
      </c>
      <c r="D689" s="71" t="s">
        <v>228</v>
      </c>
      <c r="E689" s="71" t="s">
        <v>226</v>
      </c>
      <c r="F689" s="72">
        <v>0</v>
      </c>
      <c r="G689" s="72">
        <v>0</v>
      </c>
      <c r="H689" s="72">
        <v>0</v>
      </c>
    </row>
    <row r="690" spans="1:15" ht="15.75" hidden="1" customHeight="1">
      <c r="A690" s="78" t="s">
        <v>670</v>
      </c>
      <c r="B690" s="79" t="s">
        <v>257</v>
      </c>
      <c r="C690" s="79" t="s">
        <v>353</v>
      </c>
      <c r="D690" s="79" t="s">
        <v>671</v>
      </c>
      <c r="E690" s="79" t="s">
        <v>206</v>
      </c>
      <c r="F690" s="80">
        <f t="shared" ref="F690:H691" si="174">F691</f>
        <v>0</v>
      </c>
      <c r="G690" s="80">
        <f t="shared" si="174"/>
        <v>0</v>
      </c>
      <c r="H690" s="80">
        <f t="shared" si="174"/>
        <v>0</v>
      </c>
    </row>
    <row r="691" spans="1:15" ht="31.5" hidden="1" customHeight="1">
      <c r="A691" s="74" t="s">
        <v>223</v>
      </c>
      <c r="B691" s="75" t="s">
        <v>257</v>
      </c>
      <c r="C691" s="75" t="s">
        <v>353</v>
      </c>
      <c r="D691" s="75" t="s">
        <v>671</v>
      </c>
      <c r="E691" s="75" t="s">
        <v>224</v>
      </c>
      <c r="F691" s="76">
        <f t="shared" si="174"/>
        <v>0</v>
      </c>
      <c r="G691" s="76">
        <f t="shared" si="174"/>
        <v>0</v>
      </c>
      <c r="H691" s="76">
        <f t="shared" si="174"/>
        <v>0</v>
      </c>
    </row>
    <row r="692" spans="1:15" ht="47.25" hidden="1" customHeight="1">
      <c r="A692" s="74" t="s">
        <v>225</v>
      </c>
      <c r="B692" s="75" t="s">
        <v>257</v>
      </c>
      <c r="C692" s="75" t="s">
        <v>353</v>
      </c>
      <c r="D692" s="75" t="s">
        <v>671</v>
      </c>
      <c r="E692" s="75" t="s">
        <v>226</v>
      </c>
      <c r="F692" s="76">
        <v>0</v>
      </c>
      <c r="G692" s="76">
        <v>0</v>
      </c>
      <c r="H692" s="76">
        <v>0</v>
      </c>
      <c r="O692" s="99"/>
    </row>
    <row r="693" spans="1:15" s="99" customFormat="1" ht="78.75" hidden="1" customHeight="1">
      <c r="A693" s="132" t="s">
        <v>672</v>
      </c>
      <c r="B693" s="127" t="s">
        <v>257</v>
      </c>
      <c r="C693" s="127" t="s">
        <v>353</v>
      </c>
      <c r="D693" s="127" t="s">
        <v>673</v>
      </c>
      <c r="E693" s="127" t="s">
        <v>206</v>
      </c>
      <c r="F693" s="129">
        <f>F694+F696</f>
        <v>0</v>
      </c>
      <c r="G693" s="129">
        <f>G694+G696</f>
        <v>0</v>
      </c>
      <c r="H693" s="129">
        <f>H694+H696</f>
        <v>0</v>
      </c>
      <c r="O693" s="50"/>
    </row>
    <row r="694" spans="1:15" ht="94.5" hidden="1" customHeight="1">
      <c r="A694" s="70" t="s">
        <v>215</v>
      </c>
      <c r="B694" s="71" t="s">
        <v>257</v>
      </c>
      <c r="C694" s="71" t="s">
        <v>353</v>
      </c>
      <c r="D694" s="71" t="s">
        <v>673</v>
      </c>
      <c r="E694" s="71" t="s">
        <v>216</v>
      </c>
      <c r="F694" s="72">
        <f>F695</f>
        <v>0</v>
      </c>
      <c r="G694" s="72">
        <f>G695</f>
        <v>0</v>
      </c>
      <c r="H694" s="72">
        <f>H695</f>
        <v>0</v>
      </c>
    </row>
    <row r="695" spans="1:15" ht="31.5" hidden="1" customHeight="1">
      <c r="A695" s="70" t="s">
        <v>217</v>
      </c>
      <c r="B695" s="71" t="s">
        <v>257</v>
      </c>
      <c r="C695" s="71" t="s">
        <v>353</v>
      </c>
      <c r="D695" s="71" t="s">
        <v>673</v>
      </c>
      <c r="E695" s="71" t="s">
        <v>218</v>
      </c>
      <c r="F695" s="76"/>
      <c r="G695" s="76"/>
      <c r="H695" s="76"/>
    </row>
    <row r="696" spans="1:15" ht="31.5" hidden="1" customHeight="1">
      <c r="A696" s="70" t="s">
        <v>223</v>
      </c>
      <c r="B696" s="71" t="s">
        <v>257</v>
      </c>
      <c r="C696" s="71" t="s">
        <v>353</v>
      </c>
      <c r="D696" s="71" t="s">
        <v>673</v>
      </c>
      <c r="E696" s="71" t="s">
        <v>224</v>
      </c>
      <c r="F696" s="72">
        <f>F697</f>
        <v>0</v>
      </c>
      <c r="G696" s="72">
        <f>G697</f>
        <v>0</v>
      </c>
      <c r="H696" s="72">
        <f>H697</f>
        <v>0</v>
      </c>
    </row>
    <row r="697" spans="1:15" ht="47.25" hidden="1" customHeight="1">
      <c r="A697" s="70" t="s">
        <v>225</v>
      </c>
      <c r="B697" s="71" t="s">
        <v>257</v>
      </c>
      <c r="C697" s="71" t="s">
        <v>353</v>
      </c>
      <c r="D697" s="71" t="s">
        <v>673</v>
      </c>
      <c r="E697" s="71" t="s">
        <v>226</v>
      </c>
      <c r="F697" s="72"/>
      <c r="G697" s="72"/>
      <c r="H697" s="72"/>
    </row>
    <row r="698" spans="1:15" ht="15.75" hidden="1" customHeight="1">
      <c r="A698" s="70"/>
      <c r="B698" s="71"/>
      <c r="C698" s="71"/>
      <c r="D698" s="71"/>
      <c r="E698" s="71"/>
      <c r="F698" s="72"/>
      <c r="G698" s="72"/>
      <c r="H698" s="72"/>
    </row>
    <row r="699" spans="1:15" ht="15.75" hidden="1" customHeight="1">
      <c r="A699" s="70"/>
      <c r="B699" s="71"/>
      <c r="C699" s="71"/>
      <c r="D699" s="71"/>
      <c r="E699" s="71"/>
      <c r="F699" s="72"/>
      <c r="G699" s="72"/>
      <c r="H699" s="72"/>
    </row>
    <row r="700" spans="1:15" ht="15.75" hidden="1" customHeight="1">
      <c r="A700" s="70"/>
      <c r="B700" s="71"/>
      <c r="C700" s="71"/>
      <c r="D700" s="71"/>
      <c r="E700" s="71"/>
      <c r="F700" s="72"/>
      <c r="G700" s="72"/>
      <c r="H700" s="72"/>
    </row>
    <row r="701" spans="1:15" ht="15.75" hidden="1" customHeight="1">
      <c r="A701" s="70"/>
      <c r="B701" s="71"/>
      <c r="C701" s="71"/>
      <c r="D701" s="71"/>
      <c r="E701" s="71"/>
      <c r="F701" s="72"/>
      <c r="G701" s="72"/>
      <c r="H701" s="72"/>
    </row>
    <row r="702" spans="1:15" ht="15.75" hidden="1" customHeight="1">
      <c r="A702" s="70"/>
      <c r="B702" s="71"/>
      <c r="C702" s="71"/>
      <c r="D702" s="71"/>
      <c r="E702" s="71"/>
      <c r="F702" s="72"/>
      <c r="G702" s="72"/>
      <c r="H702" s="72"/>
      <c r="O702" s="99"/>
    </row>
    <row r="703" spans="1:15" s="99" customFormat="1" ht="16.5" customHeight="1">
      <c r="A703" s="117" t="s">
        <v>674</v>
      </c>
      <c r="B703" s="62" t="s">
        <v>389</v>
      </c>
      <c r="C703" s="62" t="s">
        <v>204</v>
      </c>
      <c r="D703" s="62" t="s">
        <v>205</v>
      </c>
      <c r="E703" s="62" t="s">
        <v>206</v>
      </c>
      <c r="F703" s="63">
        <f>F704+F755</f>
        <v>26435.743690000003</v>
      </c>
      <c r="G703" s="63">
        <f>G704+G755</f>
        <v>27859.702020202021</v>
      </c>
      <c r="H703" s="63">
        <f>H704+H755</f>
        <v>31161.702020202021</v>
      </c>
      <c r="I703" s="131"/>
      <c r="J703" s="131"/>
      <c r="K703" s="131"/>
      <c r="O703" s="77"/>
    </row>
    <row r="704" spans="1:15" s="77" customFormat="1" ht="18" customHeight="1">
      <c r="A704" s="66" t="s">
        <v>675</v>
      </c>
      <c r="B704" s="67" t="s">
        <v>389</v>
      </c>
      <c r="C704" s="67" t="s">
        <v>203</v>
      </c>
      <c r="D704" s="67" t="s">
        <v>205</v>
      </c>
      <c r="E704" s="67" t="s">
        <v>206</v>
      </c>
      <c r="F704" s="68">
        <f>F706+F715+F718+F721+F728+F731+F753</f>
        <v>25270.043690000002</v>
      </c>
      <c r="G704" s="68">
        <f>G706+G715+G718+G721+G728+G731+G753</f>
        <v>24890.702020202021</v>
      </c>
      <c r="H704" s="68">
        <f>H706+H715+H718+H721+H728+H731+H753</f>
        <v>28202.702020202021</v>
      </c>
    </row>
    <row r="705" spans="1:15" s="77" customFormat="1" ht="52.5" customHeight="1">
      <c r="A705" s="78" t="s">
        <v>676</v>
      </c>
      <c r="B705" s="79" t="s">
        <v>389</v>
      </c>
      <c r="C705" s="79" t="s">
        <v>203</v>
      </c>
      <c r="D705" s="79" t="s">
        <v>592</v>
      </c>
      <c r="E705" s="79" t="s">
        <v>206</v>
      </c>
      <c r="F705" s="80">
        <f>F706+F720+F726+F752+F711+F738+F745+F723+F569+F733</f>
        <v>26304.646629999999</v>
      </c>
      <c r="G705" s="80">
        <f>G706+G720+G726+G752+G711+G738+G745+G723</f>
        <v>24890.702020202021</v>
      </c>
      <c r="H705" s="80">
        <f>H706+H720+H726+H752+H711+H738+H745+H723</f>
        <v>28202.702020202021</v>
      </c>
      <c r="O705" s="50"/>
    </row>
    <row r="706" spans="1:15" ht="72.75" customHeight="1">
      <c r="A706" s="108" t="s">
        <v>677</v>
      </c>
      <c r="B706" s="75" t="s">
        <v>389</v>
      </c>
      <c r="C706" s="75" t="s">
        <v>203</v>
      </c>
      <c r="D706" s="75" t="s">
        <v>678</v>
      </c>
      <c r="E706" s="75" t="s">
        <v>206</v>
      </c>
      <c r="F706" s="76">
        <f>F707+F709</f>
        <v>13980.956</v>
      </c>
      <c r="G706" s="76">
        <f>G707+G709</f>
        <v>14568</v>
      </c>
      <c r="H706" s="76">
        <f>H707+H709</f>
        <v>15518</v>
      </c>
    </row>
    <row r="707" spans="1:15" ht="52.5" customHeight="1">
      <c r="A707" s="74" t="s">
        <v>284</v>
      </c>
      <c r="B707" s="75" t="s">
        <v>389</v>
      </c>
      <c r="C707" s="75" t="s">
        <v>203</v>
      </c>
      <c r="D707" s="75" t="s">
        <v>679</v>
      </c>
      <c r="E707" s="75" t="s">
        <v>283</v>
      </c>
      <c r="F707" s="76">
        <f>F708</f>
        <v>13510.4</v>
      </c>
      <c r="G707" s="76">
        <f>G708</f>
        <v>14568</v>
      </c>
      <c r="H707" s="76">
        <f>H708</f>
        <v>15518</v>
      </c>
    </row>
    <row r="708" spans="1:15" ht="25.5" customHeight="1">
      <c r="A708" s="74" t="s">
        <v>497</v>
      </c>
      <c r="B708" s="75" t="s">
        <v>389</v>
      </c>
      <c r="C708" s="75" t="s">
        <v>203</v>
      </c>
      <c r="D708" s="75" t="s">
        <v>680</v>
      </c>
      <c r="E708" s="75" t="s">
        <v>499</v>
      </c>
      <c r="F708" s="76">
        <f>'5'!D156</f>
        <v>13510.4</v>
      </c>
      <c r="G708" s="76">
        <f>'5'!E156</f>
        <v>14568</v>
      </c>
      <c r="H708" s="76">
        <f>'5'!F156</f>
        <v>15518</v>
      </c>
    </row>
    <row r="709" spans="1:15" ht="110.25" customHeight="1">
      <c r="A709" s="74" t="s">
        <v>681</v>
      </c>
      <c r="B709" s="75" t="s">
        <v>389</v>
      </c>
      <c r="C709" s="75" t="s">
        <v>203</v>
      </c>
      <c r="D709" s="75" t="s">
        <v>682</v>
      </c>
      <c r="E709" s="75" t="s">
        <v>499</v>
      </c>
      <c r="F709" s="76">
        <f>F710</f>
        <v>470.55599999999998</v>
      </c>
      <c r="G709" s="76">
        <f>G710</f>
        <v>0</v>
      </c>
      <c r="H709" s="76">
        <f>H710</f>
        <v>0</v>
      </c>
    </row>
    <row r="710" spans="1:15" ht="15.75" customHeight="1">
      <c r="A710" s="74" t="s">
        <v>497</v>
      </c>
      <c r="B710" s="75" t="s">
        <v>389</v>
      </c>
      <c r="C710" s="75" t="s">
        <v>203</v>
      </c>
      <c r="D710" s="75" t="s">
        <v>682</v>
      </c>
      <c r="E710" s="75" t="s">
        <v>499</v>
      </c>
      <c r="F710" s="76">
        <f>'5'!D157</f>
        <v>470.55599999999998</v>
      </c>
      <c r="G710" s="76">
        <f>'5'!E157</f>
        <v>0</v>
      </c>
      <c r="H710" s="76">
        <f>'5'!F157</f>
        <v>0</v>
      </c>
    </row>
    <row r="711" spans="1:15" ht="110.25" hidden="1" customHeight="1">
      <c r="A711" s="74" t="s">
        <v>683</v>
      </c>
      <c r="B711" s="75" t="s">
        <v>389</v>
      </c>
      <c r="C711" s="75" t="s">
        <v>203</v>
      </c>
      <c r="D711" s="75" t="s">
        <v>684</v>
      </c>
      <c r="E711" s="75" t="s">
        <v>206</v>
      </c>
      <c r="F711" s="76">
        <f>F712</f>
        <v>0</v>
      </c>
      <c r="G711" s="76">
        <f>G712</f>
        <v>0</v>
      </c>
      <c r="H711" s="76">
        <f>H712</f>
        <v>0</v>
      </c>
    </row>
    <row r="712" spans="1:15" ht="15.75" hidden="1" customHeight="1">
      <c r="A712" s="74" t="s">
        <v>497</v>
      </c>
      <c r="B712" s="75" t="s">
        <v>389</v>
      </c>
      <c r="C712" s="75" t="s">
        <v>203</v>
      </c>
      <c r="D712" s="75" t="s">
        <v>684</v>
      </c>
      <c r="E712" s="75" t="s">
        <v>499</v>
      </c>
      <c r="F712" s="76"/>
      <c r="G712" s="76"/>
      <c r="H712" s="76"/>
    </row>
    <row r="713" spans="1:15" ht="77.25" customHeight="1">
      <c r="A713" s="100" t="s">
        <v>685</v>
      </c>
      <c r="B713" s="101" t="s">
        <v>389</v>
      </c>
      <c r="C713" s="101" t="s">
        <v>203</v>
      </c>
      <c r="D713" s="101" t="s">
        <v>678</v>
      </c>
      <c r="E713" s="101" t="s">
        <v>206</v>
      </c>
      <c r="F713" s="102">
        <f>F714+F717</f>
        <v>2021.3856700000001</v>
      </c>
      <c r="G713" s="102">
        <f>G714+G717</f>
        <v>0</v>
      </c>
      <c r="H713" s="102">
        <f>H714+H717</f>
        <v>0</v>
      </c>
    </row>
    <row r="714" spans="1:15" ht="79.5" customHeight="1">
      <c r="A714" s="78" t="s">
        <v>686</v>
      </c>
      <c r="B714" s="79" t="s">
        <v>389</v>
      </c>
      <c r="C714" s="79" t="s">
        <v>203</v>
      </c>
      <c r="D714" s="75" t="s">
        <v>687</v>
      </c>
      <c r="E714" s="79" t="s">
        <v>206</v>
      </c>
      <c r="F714" s="80">
        <f t="shared" ref="F714:H715" si="175">F715</f>
        <v>2001.1718100000001</v>
      </c>
      <c r="G714" s="80">
        <f t="shared" si="175"/>
        <v>0</v>
      </c>
      <c r="H714" s="80">
        <f t="shared" si="175"/>
        <v>0</v>
      </c>
    </row>
    <row r="715" spans="1:15" ht="48.75" customHeight="1">
      <c r="A715" s="74" t="s">
        <v>284</v>
      </c>
      <c r="B715" s="75" t="s">
        <v>389</v>
      </c>
      <c r="C715" s="75" t="s">
        <v>203</v>
      </c>
      <c r="D715" s="75" t="s">
        <v>687</v>
      </c>
      <c r="E715" s="75" t="s">
        <v>283</v>
      </c>
      <c r="F715" s="76">
        <f t="shared" si="175"/>
        <v>2001.1718100000001</v>
      </c>
      <c r="G715" s="76">
        <f t="shared" si="175"/>
        <v>0</v>
      </c>
      <c r="H715" s="76">
        <f t="shared" si="175"/>
        <v>0</v>
      </c>
    </row>
    <row r="716" spans="1:15" ht="20.25" customHeight="1">
      <c r="A716" s="74" t="s">
        <v>497</v>
      </c>
      <c r="B716" s="75" t="s">
        <v>389</v>
      </c>
      <c r="C716" s="75" t="s">
        <v>203</v>
      </c>
      <c r="D716" s="75" t="s">
        <v>687</v>
      </c>
      <c r="E716" s="75" t="s">
        <v>499</v>
      </c>
      <c r="F716" s="76">
        <f>'5'!D159</f>
        <v>2001.1718100000001</v>
      </c>
      <c r="G716" s="76">
        <f>'5'!E159</f>
        <v>0</v>
      </c>
      <c r="H716" s="76">
        <f>'5'!F159</f>
        <v>0</v>
      </c>
    </row>
    <row r="717" spans="1:15" ht="128.65" customHeight="1">
      <c r="A717" s="78" t="s">
        <v>688</v>
      </c>
      <c r="B717" s="79" t="s">
        <v>389</v>
      </c>
      <c r="C717" s="79" t="s">
        <v>203</v>
      </c>
      <c r="D717" s="75" t="s">
        <v>687</v>
      </c>
      <c r="E717" s="79" t="s">
        <v>206</v>
      </c>
      <c r="F717" s="80">
        <f t="shared" ref="F717:H718" si="176">F718</f>
        <v>20.21386</v>
      </c>
      <c r="G717" s="80">
        <f t="shared" si="176"/>
        <v>0</v>
      </c>
      <c r="H717" s="80">
        <f t="shared" si="176"/>
        <v>0</v>
      </c>
    </row>
    <row r="718" spans="1:15" ht="51.75" customHeight="1">
      <c r="A718" s="74" t="s">
        <v>284</v>
      </c>
      <c r="B718" s="75" t="s">
        <v>389</v>
      </c>
      <c r="C718" s="75" t="s">
        <v>203</v>
      </c>
      <c r="D718" s="75" t="s">
        <v>687</v>
      </c>
      <c r="E718" s="75" t="s">
        <v>283</v>
      </c>
      <c r="F718" s="76">
        <f t="shared" si="176"/>
        <v>20.21386</v>
      </c>
      <c r="G718" s="76">
        <f t="shared" si="176"/>
        <v>0</v>
      </c>
      <c r="H718" s="76">
        <f t="shared" si="176"/>
        <v>0</v>
      </c>
    </row>
    <row r="719" spans="1:15" ht="23.25" customHeight="1">
      <c r="A719" s="74" t="s">
        <v>497</v>
      </c>
      <c r="B719" s="75" t="s">
        <v>389</v>
      </c>
      <c r="C719" s="75" t="s">
        <v>203</v>
      </c>
      <c r="D719" s="75" t="s">
        <v>687</v>
      </c>
      <c r="E719" s="75" t="s">
        <v>499</v>
      </c>
      <c r="F719" s="76">
        <f>'5'!D160</f>
        <v>20.21386</v>
      </c>
      <c r="G719" s="76">
        <f>'5'!E160</f>
        <v>0</v>
      </c>
      <c r="H719" s="76">
        <f>'5'!F160</f>
        <v>0</v>
      </c>
    </row>
    <row r="720" spans="1:15" ht="72.75" customHeight="1">
      <c r="A720" s="108" t="s">
        <v>689</v>
      </c>
      <c r="B720" s="75" t="s">
        <v>389</v>
      </c>
      <c r="C720" s="75" t="s">
        <v>203</v>
      </c>
      <c r="D720" s="75" t="s">
        <v>690</v>
      </c>
      <c r="E720" s="75" t="s">
        <v>206</v>
      </c>
      <c r="F720" s="76">
        <f t="shared" ref="F720:H721" si="177">F721</f>
        <v>6048</v>
      </c>
      <c r="G720" s="76">
        <f t="shared" si="177"/>
        <v>6658</v>
      </c>
      <c r="H720" s="76">
        <f t="shared" si="177"/>
        <v>7807</v>
      </c>
    </row>
    <row r="721" spans="1:8" ht="54" customHeight="1">
      <c r="A721" s="74" t="s">
        <v>284</v>
      </c>
      <c r="B721" s="75" t="s">
        <v>389</v>
      </c>
      <c r="C721" s="75" t="s">
        <v>203</v>
      </c>
      <c r="D721" s="75" t="s">
        <v>690</v>
      </c>
      <c r="E721" s="75" t="s">
        <v>283</v>
      </c>
      <c r="F721" s="76">
        <f t="shared" si="177"/>
        <v>6048</v>
      </c>
      <c r="G721" s="76">
        <f t="shared" si="177"/>
        <v>6658</v>
      </c>
      <c r="H721" s="76">
        <f t="shared" si="177"/>
        <v>7807</v>
      </c>
    </row>
    <row r="722" spans="1:8" ht="22.5" customHeight="1">
      <c r="A722" s="74" t="s">
        <v>497</v>
      </c>
      <c r="B722" s="75" t="s">
        <v>389</v>
      </c>
      <c r="C722" s="75" t="s">
        <v>203</v>
      </c>
      <c r="D722" s="75" t="s">
        <v>690</v>
      </c>
      <c r="E722" s="75" t="s">
        <v>499</v>
      </c>
      <c r="F722" s="76">
        <f>'5'!D175</f>
        <v>6048</v>
      </c>
      <c r="G722" s="76">
        <f>'5'!E175</f>
        <v>6658</v>
      </c>
      <c r="H722" s="76">
        <f>'5'!F175</f>
        <v>7807</v>
      </c>
    </row>
    <row r="723" spans="1:8" ht="110.25" hidden="1" customHeight="1">
      <c r="A723" s="100" t="s">
        <v>691</v>
      </c>
      <c r="B723" s="101" t="s">
        <v>389</v>
      </c>
      <c r="C723" s="101" t="s">
        <v>203</v>
      </c>
      <c r="D723" s="101" t="s">
        <v>692</v>
      </c>
      <c r="E723" s="101" t="s">
        <v>206</v>
      </c>
      <c r="F723" s="102">
        <f>F724+F725</f>
        <v>0</v>
      </c>
      <c r="G723" s="102">
        <f>G724+G725</f>
        <v>0</v>
      </c>
      <c r="H723" s="102">
        <f>H724+H725</f>
        <v>0</v>
      </c>
    </row>
    <row r="724" spans="1:8" ht="110.25" hidden="1" customHeight="1">
      <c r="A724" s="74" t="s">
        <v>693</v>
      </c>
      <c r="B724" s="75" t="s">
        <v>389</v>
      </c>
      <c r="C724" s="75" t="s">
        <v>203</v>
      </c>
      <c r="D724" s="75" t="s">
        <v>694</v>
      </c>
      <c r="E724" s="75" t="s">
        <v>499</v>
      </c>
      <c r="F724" s="76">
        <f>'5'!D177</f>
        <v>0</v>
      </c>
      <c r="G724" s="76">
        <f>'5'!E177</f>
        <v>0</v>
      </c>
      <c r="H724" s="76">
        <f>'5'!F177</f>
        <v>0</v>
      </c>
    </row>
    <row r="725" spans="1:8" ht="141.75" hidden="1" customHeight="1">
      <c r="A725" s="74" t="s">
        <v>695</v>
      </c>
      <c r="B725" s="75" t="s">
        <v>389</v>
      </c>
      <c r="C725" s="75" t="s">
        <v>203</v>
      </c>
      <c r="D725" s="75" t="s">
        <v>694</v>
      </c>
      <c r="E725" s="75" t="s">
        <v>499</v>
      </c>
      <c r="F725" s="76">
        <f>'5'!D178</f>
        <v>0</v>
      </c>
      <c r="G725" s="76">
        <f>'5'!E178</f>
        <v>0</v>
      </c>
      <c r="H725" s="76">
        <f>'5'!F178</f>
        <v>0</v>
      </c>
    </row>
    <row r="726" spans="1:8" ht="72.75" customHeight="1">
      <c r="A726" s="100" t="s">
        <v>696</v>
      </c>
      <c r="B726" s="75" t="s">
        <v>389</v>
      </c>
      <c r="C726" s="75" t="s">
        <v>203</v>
      </c>
      <c r="D726" s="101" t="s">
        <v>697</v>
      </c>
      <c r="E726" s="101" t="s">
        <v>206</v>
      </c>
      <c r="F726" s="102">
        <f>F727+F730</f>
        <v>169.70202</v>
      </c>
      <c r="G726" s="102">
        <f>G727+G730</f>
        <v>169.70202020202021</v>
      </c>
      <c r="H726" s="102">
        <f>H727+H730</f>
        <v>169.70202020202021</v>
      </c>
    </row>
    <row r="727" spans="1:8" ht="85.5" customHeight="1">
      <c r="A727" s="74" t="s">
        <v>698</v>
      </c>
      <c r="B727" s="75" t="s">
        <v>389</v>
      </c>
      <c r="C727" s="75" t="s">
        <v>203</v>
      </c>
      <c r="D727" s="75" t="s">
        <v>699</v>
      </c>
      <c r="E727" s="75" t="s">
        <v>206</v>
      </c>
      <c r="F727" s="76">
        <f t="shared" ref="F727:H728" si="178">F728</f>
        <v>168.005</v>
      </c>
      <c r="G727" s="76">
        <f t="shared" si="178"/>
        <v>168.005</v>
      </c>
      <c r="H727" s="76">
        <f t="shared" si="178"/>
        <v>168.005</v>
      </c>
    </row>
    <row r="728" spans="1:8" ht="56.25" customHeight="1">
      <c r="A728" s="74" t="s">
        <v>284</v>
      </c>
      <c r="B728" s="75" t="s">
        <v>389</v>
      </c>
      <c r="C728" s="75" t="s">
        <v>203</v>
      </c>
      <c r="D728" s="75" t="s">
        <v>699</v>
      </c>
      <c r="E728" s="75" t="s">
        <v>283</v>
      </c>
      <c r="F728" s="76">
        <f t="shared" si="178"/>
        <v>168.005</v>
      </c>
      <c r="G728" s="76">
        <f t="shared" si="178"/>
        <v>168.005</v>
      </c>
      <c r="H728" s="76">
        <f t="shared" si="178"/>
        <v>168.005</v>
      </c>
    </row>
    <row r="729" spans="1:8" ht="24.75" customHeight="1">
      <c r="A729" s="74" t="s">
        <v>497</v>
      </c>
      <c r="B729" s="75" t="s">
        <v>389</v>
      </c>
      <c r="C729" s="75" t="s">
        <v>203</v>
      </c>
      <c r="D729" s="75" t="s">
        <v>699</v>
      </c>
      <c r="E729" s="75" t="s">
        <v>499</v>
      </c>
      <c r="F729" s="76">
        <f>'5'!D180</f>
        <v>168.005</v>
      </c>
      <c r="G729" s="76">
        <f>'5'!E180</f>
        <v>168.005</v>
      </c>
      <c r="H729" s="76">
        <f>'5'!F180</f>
        <v>168.005</v>
      </c>
    </row>
    <row r="730" spans="1:8" ht="99" customHeight="1">
      <c r="A730" s="74" t="s">
        <v>700</v>
      </c>
      <c r="B730" s="75" t="s">
        <v>389</v>
      </c>
      <c r="C730" s="75" t="s">
        <v>203</v>
      </c>
      <c r="D730" s="75" t="s">
        <v>701</v>
      </c>
      <c r="E730" s="75" t="s">
        <v>206</v>
      </c>
      <c r="F730" s="76">
        <f t="shared" ref="F730:H731" si="179">F731</f>
        <v>1.69702</v>
      </c>
      <c r="G730" s="76">
        <f t="shared" si="179"/>
        <v>1.6970202020202019</v>
      </c>
      <c r="H730" s="76">
        <f t="shared" si="179"/>
        <v>1.6970202020202019</v>
      </c>
    </row>
    <row r="731" spans="1:8" ht="53.25" customHeight="1">
      <c r="A731" s="74" t="s">
        <v>284</v>
      </c>
      <c r="B731" s="75" t="s">
        <v>389</v>
      </c>
      <c r="C731" s="75" t="s">
        <v>203</v>
      </c>
      <c r="D731" s="75" t="s">
        <v>701</v>
      </c>
      <c r="E731" s="75" t="s">
        <v>283</v>
      </c>
      <c r="F731" s="76">
        <f t="shared" si="179"/>
        <v>1.69702</v>
      </c>
      <c r="G731" s="76">
        <f t="shared" si="179"/>
        <v>1.6970202020202019</v>
      </c>
      <c r="H731" s="76">
        <f t="shared" si="179"/>
        <v>1.6970202020202019</v>
      </c>
    </row>
    <row r="732" spans="1:8" ht="23.25" customHeight="1">
      <c r="A732" s="74" t="s">
        <v>497</v>
      </c>
      <c r="B732" s="75" t="s">
        <v>389</v>
      </c>
      <c r="C732" s="75" t="s">
        <v>203</v>
      </c>
      <c r="D732" s="75" t="s">
        <v>701</v>
      </c>
      <c r="E732" s="75" t="s">
        <v>499</v>
      </c>
      <c r="F732" s="76">
        <f>'5'!D181</f>
        <v>1.69702</v>
      </c>
      <c r="G732" s="76">
        <f>'5'!E181</f>
        <v>1.6970202020202019</v>
      </c>
      <c r="H732" s="76">
        <f>'5'!F181</f>
        <v>1.6970202020202019</v>
      </c>
    </row>
    <row r="733" spans="1:8" ht="47.25" hidden="1" customHeight="1">
      <c r="A733" s="100" t="s">
        <v>702</v>
      </c>
      <c r="B733" s="75" t="s">
        <v>389</v>
      </c>
      <c r="C733" s="75" t="s">
        <v>203</v>
      </c>
      <c r="D733" s="101" t="s">
        <v>678</v>
      </c>
      <c r="E733" s="101" t="s">
        <v>206</v>
      </c>
      <c r="F733" s="102">
        <f>F734+F736</f>
        <v>0</v>
      </c>
      <c r="G733" s="102">
        <f>G734+G736</f>
        <v>0</v>
      </c>
      <c r="H733" s="102">
        <f>H734+H736</f>
        <v>0</v>
      </c>
    </row>
    <row r="734" spans="1:8" ht="78.75" hidden="1" customHeight="1">
      <c r="A734" s="78" t="s">
        <v>703</v>
      </c>
      <c r="B734" s="75" t="s">
        <v>389</v>
      </c>
      <c r="C734" s="75" t="s">
        <v>203</v>
      </c>
      <c r="D734" s="79" t="s">
        <v>704</v>
      </c>
      <c r="E734" s="79" t="s">
        <v>283</v>
      </c>
      <c r="F734" s="76">
        <f>F735</f>
        <v>0</v>
      </c>
      <c r="G734" s="76">
        <f>G735</f>
        <v>0</v>
      </c>
      <c r="H734" s="76">
        <f>H735</f>
        <v>0</v>
      </c>
    </row>
    <row r="735" spans="1:8" ht="15.75" hidden="1" customHeight="1">
      <c r="A735" s="74" t="s">
        <v>497</v>
      </c>
      <c r="B735" s="75" t="s">
        <v>389</v>
      </c>
      <c r="C735" s="75" t="s">
        <v>203</v>
      </c>
      <c r="D735" s="79" t="s">
        <v>704</v>
      </c>
      <c r="E735" s="75" t="s">
        <v>499</v>
      </c>
      <c r="F735" s="76">
        <f>'5'!D163</f>
        <v>0</v>
      </c>
      <c r="G735" s="76">
        <f>'5'!E163</f>
        <v>0</v>
      </c>
      <c r="H735" s="76">
        <f>'5'!F163</f>
        <v>0</v>
      </c>
    </row>
    <row r="736" spans="1:8" ht="94.5" hidden="1" customHeight="1">
      <c r="A736" s="78" t="s">
        <v>705</v>
      </c>
      <c r="B736" s="75" t="s">
        <v>389</v>
      </c>
      <c r="C736" s="75" t="s">
        <v>203</v>
      </c>
      <c r="D736" s="79" t="s">
        <v>706</v>
      </c>
      <c r="E736" s="79" t="s">
        <v>283</v>
      </c>
      <c r="F736" s="80">
        <f>F737</f>
        <v>0</v>
      </c>
      <c r="G736" s="80">
        <f>G737</f>
        <v>0</v>
      </c>
      <c r="H736" s="80">
        <f>H737</f>
        <v>0</v>
      </c>
    </row>
    <row r="737" spans="1:8" ht="15.75" hidden="1" customHeight="1">
      <c r="A737" s="74" t="s">
        <v>497</v>
      </c>
      <c r="B737" s="75" t="s">
        <v>389</v>
      </c>
      <c r="C737" s="75" t="s">
        <v>203</v>
      </c>
      <c r="D737" s="75" t="s">
        <v>706</v>
      </c>
      <c r="E737" s="75" t="s">
        <v>499</v>
      </c>
      <c r="F737" s="76">
        <f>'5'!D164</f>
        <v>0</v>
      </c>
      <c r="G737" s="76">
        <f>'5'!E164</f>
        <v>0</v>
      </c>
      <c r="H737" s="76">
        <f>'5'!F164</f>
        <v>0</v>
      </c>
    </row>
    <row r="738" spans="1:8" ht="47.25" hidden="1" customHeight="1">
      <c r="A738" s="100" t="s">
        <v>510</v>
      </c>
      <c r="B738" s="101" t="s">
        <v>389</v>
      </c>
      <c r="C738" s="101" t="s">
        <v>203</v>
      </c>
      <c r="D738" s="101" t="s">
        <v>678</v>
      </c>
      <c r="E738" s="101" t="s">
        <v>206</v>
      </c>
      <c r="F738" s="102">
        <f>F739+F742</f>
        <v>0</v>
      </c>
      <c r="G738" s="102">
        <f>G739+G742</f>
        <v>0</v>
      </c>
      <c r="H738" s="102">
        <f>H739+H742</f>
        <v>0</v>
      </c>
    </row>
    <row r="739" spans="1:8" ht="78.75" hidden="1" customHeight="1">
      <c r="A739" s="74" t="s">
        <v>133</v>
      </c>
      <c r="B739" s="75" t="s">
        <v>389</v>
      </c>
      <c r="C739" s="75" t="s">
        <v>203</v>
      </c>
      <c r="D739" s="75" t="s">
        <v>707</v>
      </c>
      <c r="E739" s="75" t="s">
        <v>206</v>
      </c>
      <c r="F739" s="76">
        <f t="shared" ref="F739:H743" si="180">F740</f>
        <v>0</v>
      </c>
      <c r="G739" s="76">
        <f t="shared" si="180"/>
        <v>0</v>
      </c>
      <c r="H739" s="76">
        <f t="shared" si="180"/>
        <v>0</v>
      </c>
    </row>
    <row r="740" spans="1:8" ht="47.25" hidden="1" customHeight="1">
      <c r="A740" s="74" t="s">
        <v>284</v>
      </c>
      <c r="B740" s="75" t="s">
        <v>389</v>
      </c>
      <c r="C740" s="75" t="s">
        <v>203</v>
      </c>
      <c r="D740" s="75" t="s">
        <v>707</v>
      </c>
      <c r="E740" s="75" t="s">
        <v>283</v>
      </c>
      <c r="F740" s="76">
        <f t="shared" si="180"/>
        <v>0</v>
      </c>
      <c r="G740" s="76">
        <f t="shared" si="180"/>
        <v>0</v>
      </c>
      <c r="H740" s="76">
        <f t="shared" si="180"/>
        <v>0</v>
      </c>
    </row>
    <row r="741" spans="1:8" ht="15.75" hidden="1" customHeight="1">
      <c r="A741" s="74" t="s">
        <v>497</v>
      </c>
      <c r="B741" s="75" t="s">
        <v>389</v>
      </c>
      <c r="C741" s="75" t="s">
        <v>203</v>
      </c>
      <c r="D741" s="75" t="s">
        <v>707</v>
      </c>
      <c r="E741" s="75" t="s">
        <v>499</v>
      </c>
      <c r="F741" s="76"/>
      <c r="G741" s="76"/>
      <c r="H741" s="76"/>
    </row>
    <row r="742" spans="1:8" ht="94.5" hidden="1" customHeight="1">
      <c r="A742" s="74" t="s">
        <v>708</v>
      </c>
      <c r="B742" s="75" t="s">
        <v>389</v>
      </c>
      <c r="C742" s="75" t="s">
        <v>203</v>
      </c>
      <c r="D742" s="75" t="s">
        <v>709</v>
      </c>
      <c r="E742" s="75" t="s">
        <v>206</v>
      </c>
      <c r="F742" s="76">
        <f t="shared" si="180"/>
        <v>0</v>
      </c>
      <c r="G742" s="76">
        <f t="shared" si="180"/>
        <v>0</v>
      </c>
      <c r="H742" s="76">
        <f t="shared" si="180"/>
        <v>0</v>
      </c>
    </row>
    <row r="743" spans="1:8" ht="47.25" hidden="1" customHeight="1">
      <c r="A743" s="74" t="s">
        <v>284</v>
      </c>
      <c r="B743" s="75" t="s">
        <v>389</v>
      </c>
      <c r="C743" s="75" t="s">
        <v>203</v>
      </c>
      <c r="D743" s="75" t="s">
        <v>709</v>
      </c>
      <c r="E743" s="75" t="s">
        <v>283</v>
      </c>
      <c r="F743" s="76">
        <f t="shared" si="180"/>
        <v>0</v>
      </c>
      <c r="G743" s="76">
        <f t="shared" si="180"/>
        <v>0</v>
      </c>
      <c r="H743" s="76">
        <f t="shared" si="180"/>
        <v>0</v>
      </c>
    </row>
    <row r="744" spans="1:8" ht="15.75" hidden="1" customHeight="1">
      <c r="A744" s="74" t="s">
        <v>497</v>
      </c>
      <c r="B744" s="75" t="s">
        <v>389</v>
      </c>
      <c r="C744" s="75" t="s">
        <v>203</v>
      </c>
      <c r="D744" s="75" t="s">
        <v>709</v>
      </c>
      <c r="E744" s="75" t="s">
        <v>499</v>
      </c>
      <c r="F744" s="76"/>
      <c r="G744" s="76"/>
      <c r="H744" s="76"/>
    </row>
    <row r="745" spans="1:8" ht="63" hidden="1" customHeight="1">
      <c r="A745" s="104" t="s">
        <v>710</v>
      </c>
      <c r="B745" s="105" t="s">
        <v>389</v>
      </c>
      <c r="C745" s="105" t="s">
        <v>203</v>
      </c>
      <c r="D745" s="105" t="s">
        <v>711</v>
      </c>
      <c r="E745" s="105" t="s">
        <v>206</v>
      </c>
      <c r="F745" s="106">
        <f>F746+F749</f>
        <v>0</v>
      </c>
      <c r="G745" s="106">
        <f>G746+G749</f>
        <v>0</v>
      </c>
      <c r="H745" s="106">
        <f>H746+H749</f>
        <v>0</v>
      </c>
    </row>
    <row r="746" spans="1:8" ht="94.5" hidden="1" customHeight="1">
      <c r="A746" s="74" t="s">
        <v>712</v>
      </c>
      <c r="B746" s="75" t="s">
        <v>389</v>
      </c>
      <c r="C746" s="75" t="s">
        <v>203</v>
      </c>
      <c r="D746" s="75" t="s">
        <v>713</v>
      </c>
      <c r="E746" s="75" t="s">
        <v>206</v>
      </c>
      <c r="F746" s="76">
        <f t="shared" ref="F746:H747" si="181">F747</f>
        <v>0</v>
      </c>
      <c r="G746" s="76">
        <f t="shared" si="181"/>
        <v>0</v>
      </c>
      <c r="H746" s="76">
        <f t="shared" si="181"/>
        <v>0</v>
      </c>
    </row>
    <row r="747" spans="1:8" ht="47.25" hidden="1" customHeight="1">
      <c r="A747" s="74" t="s">
        <v>284</v>
      </c>
      <c r="B747" s="75" t="s">
        <v>389</v>
      </c>
      <c r="C747" s="75" t="s">
        <v>203</v>
      </c>
      <c r="D747" s="75" t="s">
        <v>713</v>
      </c>
      <c r="E747" s="75" t="s">
        <v>283</v>
      </c>
      <c r="F747" s="76">
        <f t="shared" si="181"/>
        <v>0</v>
      </c>
      <c r="G747" s="76">
        <f t="shared" si="181"/>
        <v>0</v>
      </c>
      <c r="H747" s="76">
        <f t="shared" si="181"/>
        <v>0</v>
      </c>
    </row>
    <row r="748" spans="1:8" ht="15.75" hidden="1" customHeight="1">
      <c r="A748" s="74" t="s">
        <v>497</v>
      </c>
      <c r="B748" s="75" t="s">
        <v>389</v>
      </c>
      <c r="C748" s="75" t="s">
        <v>203</v>
      </c>
      <c r="D748" s="75" t="s">
        <v>713</v>
      </c>
      <c r="E748" s="75" t="s">
        <v>499</v>
      </c>
      <c r="F748" s="76">
        <f>'5'!D169</f>
        <v>0</v>
      </c>
      <c r="G748" s="76">
        <f>'5'!E169</f>
        <v>0</v>
      </c>
      <c r="H748" s="76">
        <f>'5'!F169</f>
        <v>0</v>
      </c>
    </row>
    <row r="749" spans="1:8" ht="110.25" hidden="1" customHeight="1">
      <c r="A749" s="74" t="s">
        <v>714</v>
      </c>
      <c r="B749" s="75" t="s">
        <v>389</v>
      </c>
      <c r="C749" s="75" t="s">
        <v>203</v>
      </c>
      <c r="D749" s="75" t="s">
        <v>713</v>
      </c>
      <c r="E749" s="75" t="s">
        <v>206</v>
      </c>
      <c r="F749" s="76">
        <f t="shared" ref="F749:H750" si="182">F750</f>
        <v>0</v>
      </c>
      <c r="G749" s="76">
        <f t="shared" si="182"/>
        <v>0</v>
      </c>
      <c r="H749" s="76">
        <f t="shared" si="182"/>
        <v>0</v>
      </c>
    </row>
    <row r="750" spans="1:8" ht="47.25" hidden="1" customHeight="1">
      <c r="A750" s="74" t="s">
        <v>284</v>
      </c>
      <c r="B750" s="75" t="s">
        <v>389</v>
      </c>
      <c r="C750" s="75" t="s">
        <v>203</v>
      </c>
      <c r="D750" s="75" t="s">
        <v>713</v>
      </c>
      <c r="E750" s="75" t="s">
        <v>283</v>
      </c>
      <c r="F750" s="76">
        <f t="shared" si="182"/>
        <v>0</v>
      </c>
      <c r="G750" s="76">
        <f t="shared" si="182"/>
        <v>0</v>
      </c>
      <c r="H750" s="76">
        <f t="shared" si="182"/>
        <v>0</v>
      </c>
    </row>
    <row r="751" spans="1:8" ht="15.75" hidden="1" customHeight="1">
      <c r="A751" s="74" t="s">
        <v>497</v>
      </c>
      <c r="B751" s="75" t="s">
        <v>389</v>
      </c>
      <c r="C751" s="75" t="s">
        <v>203</v>
      </c>
      <c r="D751" s="75" t="s">
        <v>713</v>
      </c>
      <c r="E751" s="75" t="s">
        <v>499</v>
      </c>
      <c r="F751" s="76">
        <f>'5'!D170</f>
        <v>0</v>
      </c>
      <c r="G751" s="76">
        <f>'5'!E170</f>
        <v>0</v>
      </c>
      <c r="H751" s="76">
        <f>'5'!F170</f>
        <v>0</v>
      </c>
    </row>
    <row r="752" spans="1:8" ht="124.5" customHeight="1">
      <c r="A752" s="108" t="s">
        <v>715</v>
      </c>
      <c r="B752" s="75" t="s">
        <v>389</v>
      </c>
      <c r="C752" s="75" t="s">
        <v>203</v>
      </c>
      <c r="D752" s="75" t="s">
        <v>716</v>
      </c>
      <c r="E752" s="75" t="s">
        <v>206</v>
      </c>
      <c r="F752" s="76">
        <f t="shared" ref="F752:H753" si="183">F753</f>
        <v>3050</v>
      </c>
      <c r="G752" s="76">
        <f t="shared" si="183"/>
        <v>3495</v>
      </c>
      <c r="H752" s="76">
        <f t="shared" si="183"/>
        <v>4708</v>
      </c>
    </row>
    <row r="753" spans="1:15" ht="52.9" customHeight="1">
      <c r="A753" s="74" t="s">
        <v>284</v>
      </c>
      <c r="B753" s="75" t="s">
        <v>389</v>
      </c>
      <c r="C753" s="75" t="s">
        <v>203</v>
      </c>
      <c r="D753" s="75" t="s">
        <v>716</v>
      </c>
      <c r="E753" s="75" t="s">
        <v>283</v>
      </c>
      <c r="F753" s="76">
        <f t="shared" si="183"/>
        <v>3050</v>
      </c>
      <c r="G753" s="76">
        <f t="shared" si="183"/>
        <v>3495</v>
      </c>
      <c r="H753" s="76">
        <f t="shared" si="183"/>
        <v>4708</v>
      </c>
    </row>
    <row r="754" spans="1:15" ht="16.5" customHeight="1">
      <c r="A754" s="70" t="s">
        <v>497</v>
      </c>
      <c r="B754" s="71" t="s">
        <v>389</v>
      </c>
      <c r="C754" s="71" t="s">
        <v>203</v>
      </c>
      <c r="D754" s="71" t="s">
        <v>716</v>
      </c>
      <c r="E754" s="71" t="s">
        <v>499</v>
      </c>
      <c r="F754" s="76">
        <f>'5'!D183</f>
        <v>3050</v>
      </c>
      <c r="G754" s="76">
        <f>'5'!E183</f>
        <v>3495</v>
      </c>
      <c r="H754" s="76">
        <f>'5'!F183</f>
        <v>4708</v>
      </c>
      <c r="O754" s="97"/>
    </row>
    <row r="755" spans="1:15" s="97" customFormat="1" ht="34.5" customHeight="1">
      <c r="A755" s="66" t="s">
        <v>717</v>
      </c>
      <c r="B755" s="67" t="s">
        <v>389</v>
      </c>
      <c r="C755" s="67" t="s">
        <v>234</v>
      </c>
      <c r="D755" s="67" t="s">
        <v>205</v>
      </c>
      <c r="E755" s="67" t="s">
        <v>206</v>
      </c>
      <c r="F755" s="68">
        <f>F757+F780+F783+F785+F789</f>
        <v>1165.7</v>
      </c>
      <c r="G755" s="68">
        <f t="shared" ref="G755:H755" si="184">G757+G780+G783+G785+G789</f>
        <v>2969</v>
      </c>
      <c r="H755" s="68">
        <f t="shared" si="184"/>
        <v>2959</v>
      </c>
      <c r="O755" s="50"/>
    </row>
    <row r="756" spans="1:15" ht="50.25" customHeight="1">
      <c r="A756" s="78" t="s">
        <v>676</v>
      </c>
      <c r="B756" s="79" t="s">
        <v>389</v>
      </c>
      <c r="C756" s="79" t="s">
        <v>234</v>
      </c>
      <c r="D756" s="79" t="s">
        <v>592</v>
      </c>
      <c r="E756" s="79" t="s">
        <v>206</v>
      </c>
      <c r="F756" s="80">
        <f>F757+F760+F774+F777+F767</f>
        <v>1041.7</v>
      </c>
      <c r="G756" s="80">
        <f>G757+G760+G774+G777+G767</f>
        <v>2845</v>
      </c>
      <c r="H756" s="80">
        <f>H757+H760+H774+H777+H767</f>
        <v>2895</v>
      </c>
    </row>
    <row r="757" spans="1:15" ht="55.5" customHeight="1">
      <c r="A757" s="108" t="s">
        <v>718</v>
      </c>
      <c r="B757" s="75" t="s">
        <v>389</v>
      </c>
      <c r="C757" s="75" t="s">
        <v>234</v>
      </c>
      <c r="D757" s="75" t="s">
        <v>719</v>
      </c>
      <c r="E757" s="75" t="s">
        <v>206</v>
      </c>
      <c r="F757" s="76">
        <f t="shared" ref="F757:H758" si="185">F758</f>
        <v>1041.7</v>
      </c>
      <c r="G757" s="76">
        <f t="shared" si="185"/>
        <v>2845</v>
      </c>
      <c r="H757" s="76">
        <f t="shared" si="185"/>
        <v>2895</v>
      </c>
    </row>
    <row r="758" spans="1:15" ht="50.25" customHeight="1">
      <c r="A758" s="74" t="s">
        <v>284</v>
      </c>
      <c r="B758" s="75" t="s">
        <v>389</v>
      </c>
      <c r="C758" s="75" t="s">
        <v>234</v>
      </c>
      <c r="D758" s="75" t="s">
        <v>719</v>
      </c>
      <c r="E758" s="75" t="s">
        <v>283</v>
      </c>
      <c r="F758" s="76">
        <f t="shared" si="185"/>
        <v>1041.7</v>
      </c>
      <c r="G758" s="76">
        <f t="shared" si="185"/>
        <v>2845</v>
      </c>
      <c r="H758" s="76">
        <f t="shared" si="185"/>
        <v>2895</v>
      </c>
    </row>
    <row r="759" spans="1:15" ht="24.75" customHeight="1">
      <c r="A759" s="74" t="s">
        <v>497</v>
      </c>
      <c r="B759" s="75" t="s">
        <v>389</v>
      </c>
      <c r="C759" s="75" t="s">
        <v>234</v>
      </c>
      <c r="D759" s="75" t="s">
        <v>719</v>
      </c>
      <c r="E759" s="75" t="s">
        <v>499</v>
      </c>
      <c r="F759" s="76">
        <f>'5'!D188</f>
        <v>1041.7</v>
      </c>
      <c r="G759" s="76">
        <f>'5'!E188</f>
        <v>2845</v>
      </c>
      <c r="H759" s="76">
        <f>'5'!F188</f>
        <v>2895</v>
      </c>
    </row>
    <row r="760" spans="1:15" ht="47.25" hidden="1" customHeight="1">
      <c r="A760" s="100" t="s">
        <v>720</v>
      </c>
      <c r="B760" s="75" t="s">
        <v>389</v>
      </c>
      <c r="C760" s="75" t="s">
        <v>234</v>
      </c>
      <c r="D760" s="101" t="s">
        <v>678</v>
      </c>
      <c r="E760" s="101" t="s">
        <v>206</v>
      </c>
      <c r="F760" s="102">
        <f t="shared" ref="F760:H765" si="186">F761</f>
        <v>0</v>
      </c>
      <c r="G760" s="102">
        <f t="shared" ref="G760:H762" si="187">G761</f>
        <v>0</v>
      </c>
      <c r="H760" s="102">
        <f t="shared" si="187"/>
        <v>0</v>
      </c>
    </row>
    <row r="761" spans="1:15" ht="63" hidden="1" customHeight="1">
      <c r="A761" s="74" t="s">
        <v>721</v>
      </c>
      <c r="B761" s="75" t="s">
        <v>389</v>
      </c>
      <c r="C761" s="75" t="s">
        <v>234</v>
      </c>
      <c r="D761" s="75" t="s">
        <v>704</v>
      </c>
      <c r="E761" s="75" t="s">
        <v>206</v>
      </c>
      <c r="F761" s="76">
        <f t="shared" si="186"/>
        <v>0</v>
      </c>
      <c r="G761" s="76">
        <f t="shared" si="187"/>
        <v>0</v>
      </c>
      <c r="H761" s="76">
        <f t="shared" si="187"/>
        <v>0</v>
      </c>
    </row>
    <row r="762" spans="1:15" ht="47.25" hidden="1" customHeight="1">
      <c r="A762" s="74" t="s">
        <v>284</v>
      </c>
      <c r="B762" s="75" t="s">
        <v>389</v>
      </c>
      <c r="C762" s="75" t="s">
        <v>234</v>
      </c>
      <c r="D762" s="75" t="s">
        <v>704</v>
      </c>
      <c r="E762" s="75" t="s">
        <v>283</v>
      </c>
      <c r="F762" s="76">
        <f t="shared" si="186"/>
        <v>0</v>
      </c>
      <c r="G762" s="76">
        <f t="shared" si="187"/>
        <v>0</v>
      </c>
      <c r="H762" s="76">
        <f t="shared" si="187"/>
        <v>0</v>
      </c>
    </row>
    <row r="763" spans="1:15" ht="15.75" hidden="1" customHeight="1">
      <c r="A763" s="74" t="s">
        <v>497</v>
      </c>
      <c r="B763" s="75" t="s">
        <v>389</v>
      </c>
      <c r="C763" s="75" t="s">
        <v>234</v>
      </c>
      <c r="D763" s="75" t="s">
        <v>704</v>
      </c>
      <c r="E763" s="75" t="s">
        <v>499</v>
      </c>
      <c r="F763" s="76"/>
      <c r="G763" s="76"/>
      <c r="H763" s="76"/>
    </row>
    <row r="764" spans="1:15" ht="94.5" hidden="1" customHeight="1">
      <c r="A764" s="74" t="s">
        <v>705</v>
      </c>
      <c r="B764" s="75" t="s">
        <v>389</v>
      </c>
      <c r="C764" s="75" t="s">
        <v>234</v>
      </c>
      <c r="D764" s="75" t="s">
        <v>706</v>
      </c>
      <c r="E764" s="75" t="s">
        <v>206</v>
      </c>
      <c r="F764" s="76">
        <f t="shared" si="186"/>
        <v>0</v>
      </c>
      <c r="G764" s="76">
        <f t="shared" si="186"/>
        <v>0</v>
      </c>
      <c r="H764" s="76">
        <f t="shared" si="186"/>
        <v>0</v>
      </c>
    </row>
    <row r="765" spans="1:15" ht="47.25" hidden="1" customHeight="1">
      <c r="A765" s="74" t="s">
        <v>284</v>
      </c>
      <c r="B765" s="75" t="s">
        <v>389</v>
      </c>
      <c r="C765" s="75" t="s">
        <v>234</v>
      </c>
      <c r="D765" s="75" t="s">
        <v>706</v>
      </c>
      <c r="E765" s="75" t="s">
        <v>283</v>
      </c>
      <c r="F765" s="76">
        <f t="shared" si="186"/>
        <v>0</v>
      </c>
      <c r="G765" s="76">
        <f t="shared" si="186"/>
        <v>0</v>
      </c>
      <c r="H765" s="76">
        <f t="shared" si="186"/>
        <v>0</v>
      </c>
    </row>
    <row r="766" spans="1:15" ht="15.75" hidden="1" customHeight="1">
      <c r="A766" s="74" t="s">
        <v>497</v>
      </c>
      <c r="B766" s="75" t="s">
        <v>389</v>
      </c>
      <c r="C766" s="75" t="s">
        <v>234</v>
      </c>
      <c r="D766" s="75" t="s">
        <v>706</v>
      </c>
      <c r="E766" s="75" t="s">
        <v>499</v>
      </c>
      <c r="F766" s="76"/>
      <c r="G766" s="76"/>
      <c r="H766" s="76"/>
    </row>
    <row r="767" spans="1:15" ht="94.5" hidden="1" customHeight="1">
      <c r="A767" s="100" t="s">
        <v>722</v>
      </c>
      <c r="B767" s="101" t="s">
        <v>389</v>
      </c>
      <c r="C767" s="101" t="s">
        <v>234</v>
      </c>
      <c r="D767" s="101" t="s">
        <v>723</v>
      </c>
      <c r="E767" s="101" t="s">
        <v>206</v>
      </c>
      <c r="F767" s="102">
        <f>F768+F771</f>
        <v>0</v>
      </c>
      <c r="G767" s="102">
        <f>G768+G771</f>
        <v>0</v>
      </c>
      <c r="H767" s="102">
        <f>H768+H771</f>
        <v>0</v>
      </c>
    </row>
    <row r="768" spans="1:15" ht="94.5" hidden="1" customHeight="1">
      <c r="A768" s="74" t="s">
        <v>724</v>
      </c>
      <c r="B768" s="75" t="s">
        <v>389</v>
      </c>
      <c r="C768" s="75" t="s">
        <v>234</v>
      </c>
      <c r="D768" s="75" t="s">
        <v>725</v>
      </c>
      <c r="E768" s="75" t="s">
        <v>206</v>
      </c>
      <c r="F768" s="76">
        <f t="shared" ref="F768:H769" si="188">F769</f>
        <v>0</v>
      </c>
      <c r="G768" s="76">
        <f t="shared" si="188"/>
        <v>0</v>
      </c>
      <c r="H768" s="76">
        <f t="shared" si="188"/>
        <v>0</v>
      </c>
    </row>
    <row r="769" spans="1:15" ht="47.25" hidden="1" customHeight="1">
      <c r="A769" s="74" t="s">
        <v>284</v>
      </c>
      <c r="B769" s="75" t="s">
        <v>389</v>
      </c>
      <c r="C769" s="75" t="s">
        <v>234</v>
      </c>
      <c r="D769" s="75" t="s">
        <v>725</v>
      </c>
      <c r="E769" s="75" t="s">
        <v>283</v>
      </c>
      <c r="F769" s="76">
        <f t="shared" si="188"/>
        <v>0</v>
      </c>
      <c r="G769" s="76">
        <f t="shared" si="188"/>
        <v>0</v>
      </c>
      <c r="H769" s="76">
        <f t="shared" si="188"/>
        <v>0</v>
      </c>
    </row>
    <row r="770" spans="1:15" ht="15.75" hidden="1" customHeight="1">
      <c r="A770" s="74" t="s">
        <v>497</v>
      </c>
      <c r="B770" s="75" t="s">
        <v>389</v>
      </c>
      <c r="C770" s="75" t="s">
        <v>234</v>
      </c>
      <c r="D770" s="75" t="s">
        <v>725</v>
      </c>
      <c r="E770" s="75" t="s">
        <v>499</v>
      </c>
      <c r="F770" s="76">
        <f>'5'!D202</f>
        <v>0</v>
      </c>
      <c r="G770" s="76">
        <f>'5'!E202</f>
        <v>0</v>
      </c>
      <c r="H770" s="76">
        <f>'5'!F202</f>
        <v>0</v>
      </c>
    </row>
    <row r="771" spans="1:15" ht="126" hidden="1" customHeight="1">
      <c r="A771" s="74" t="s">
        <v>726</v>
      </c>
      <c r="B771" s="75" t="s">
        <v>389</v>
      </c>
      <c r="C771" s="75" t="s">
        <v>234</v>
      </c>
      <c r="D771" s="75" t="s">
        <v>727</v>
      </c>
      <c r="E771" s="75" t="s">
        <v>206</v>
      </c>
      <c r="F771" s="155">
        <f t="shared" ref="F771:H772" si="189">F772</f>
        <v>0</v>
      </c>
      <c r="G771" s="155">
        <f t="shared" si="189"/>
        <v>0</v>
      </c>
      <c r="H771" s="155">
        <f t="shared" si="189"/>
        <v>0</v>
      </c>
    </row>
    <row r="772" spans="1:15" ht="47.25" hidden="1" customHeight="1">
      <c r="A772" s="74" t="s">
        <v>284</v>
      </c>
      <c r="B772" s="75" t="s">
        <v>389</v>
      </c>
      <c r="C772" s="75" t="s">
        <v>234</v>
      </c>
      <c r="D772" s="75" t="s">
        <v>727</v>
      </c>
      <c r="E772" s="75" t="s">
        <v>283</v>
      </c>
      <c r="F772" s="155">
        <f t="shared" si="189"/>
        <v>0</v>
      </c>
      <c r="G772" s="155">
        <f t="shared" si="189"/>
        <v>0</v>
      </c>
      <c r="H772" s="155">
        <f t="shared" si="189"/>
        <v>0</v>
      </c>
    </row>
    <row r="773" spans="1:15" ht="15.75" hidden="1" customHeight="1">
      <c r="A773" s="74" t="s">
        <v>497</v>
      </c>
      <c r="B773" s="75" t="s">
        <v>389</v>
      </c>
      <c r="C773" s="75" t="s">
        <v>234</v>
      </c>
      <c r="D773" s="75" t="s">
        <v>727</v>
      </c>
      <c r="E773" s="75" t="s">
        <v>499</v>
      </c>
      <c r="F773" s="155">
        <f>'5'!D203</f>
        <v>0</v>
      </c>
      <c r="G773" s="155">
        <f>'5'!E203</f>
        <v>0</v>
      </c>
      <c r="H773" s="155">
        <f>'5'!F203</f>
        <v>0</v>
      </c>
    </row>
    <row r="774" spans="1:15" ht="31.5" hidden="1" customHeight="1">
      <c r="A774" s="108" t="s">
        <v>728</v>
      </c>
      <c r="B774" s="75" t="s">
        <v>389</v>
      </c>
      <c r="C774" s="75" t="s">
        <v>234</v>
      </c>
      <c r="D774" s="75" t="s">
        <v>595</v>
      </c>
      <c r="E774" s="75" t="s">
        <v>206</v>
      </c>
      <c r="F774" s="76">
        <f t="shared" ref="F774:H781" si="190">F775</f>
        <v>0</v>
      </c>
      <c r="G774" s="76">
        <f t="shared" si="190"/>
        <v>0</v>
      </c>
      <c r="H774" s="76">
        <f t="shared" si="190"/>
        <v>0</v>
      </c>
    </row>
    <row r="775" spans="1:15" ht="47.25" hidden="1" customHeight="1">
      <c r="A775" s="74" t="s">
        <v>284</v>
      </c>
      <c r="B775" s="75" t="s">
        <v>389</v>
      </c>
      <c r="C775" s="75" t="s">
        <v>234</v>
      </c>
      <c r="D775" s="75" t="s">
        <v>595</v>
      </c>
      <c r="E775" s="75" t="s">
        <v>283</v>
      </c>
      <c r="F775" s="76">
        <f t="shared" si="190"/>
        <v>0</v>
      </c>
      <c r="G775" s="76">
        <f t="shared" si="190"/>
        <v>0</v>
      </c>
      <c r="H775" s="76">
        <f t="shared" si="190"/>
        <v>0</v>
      </c>
    </row>
    <row r="776" spans="1:15" ht="15.75" hidden="1" customHeight="1">
      <c r="A776" s="74" t="s">
        <v>497</v>
      </c>
      <c r="B776" s="75" t="s">
        <v>389</v>
      </c>
      <c r="C776" s="75" t="s">
        <v>234</v>
      </c>
      <c r="D776" s="75" t="s">
        <v>595</v>
      </c>
      <c r="E776" s="75" t="s">
        <v>499</v>
      </c>
      <c r="F776" s="76"/>
      <c r="G776" s="76"/>
      <c r="H776" s="76"/>
    </row>
    <row r="777" spans="1:15" ht="31.5" hidden="1" customHeight="1">
      <c r="A777" s="108" t="s">
        <v>596</v>
      </c>
      <c r="B777" s="75" t="s">
        <v>389</v>
      </c>
      <c r="C777" s="75" t="s">
        <v>234</v>
      </c>
      <c r="D777" s="75" t="s">
        <v>597</v>
      </c>
      <c r="E777" s="75" t="s">
        <v>206</v>
      </c>
      <c r="F777" s="76">
        <f t="shared" si="190"/>
        <v>0</v>
      </c>
      <c r="G777" s="76">
        <f t="shared" si="190"/>
        <v>0</v>
      </c>
      <c r="H777" s="76">
        <f t="shared" si="190"/>
        <v>0</v>
      </c>
    </row>
    <row r="778" spans="1:15" ht="47.25" hidden="1" customHeight="1">
      <c r="A778" s="74" t="s">
        <v>284</v>
      </c>
      <c r="B778" s="75" t="s">
        <v>389</v>
      </c>
      <c r="C778" s="75" t="s">
        <v>234</v>
      </c>
      <c r="D778" s="75" t="s">
        <v>597</v>
      </c>
      <c r="E778" s="75" t="s">
        <v>283</v>
      </c>
      <c r="F778" s="76">
        <f t="shared" si="190"/>
        <v>0</v>
      </c>
      <c r="G778" s="76">
        <f t="shared" si="190"/>
        <v>0</v>
      </c>
      <c r="H778" s="76">
        <f t="shared" si="190"/>
        <v>0</v>
      </c>
    </row>
    <row r="779" spans="1:15" ht="15.75" hidden="1" customHeight="1">
      <c r="A779" s="74" t="s">
        <v>497</v>
      </c>
      <c r="B779" s="75" t="s">
        <v>389</v>
      </c>
      <c r="C779" s="75" t="s">
        <v>234</v>
      </c>
      <c r="D779" s="75" t="s">
        <v>597</v>
      </c>
      <c r="E779" s="75" t="s">
        <v>499</v>
      </c>
      <c r="F779" s="76"/>
      <c r="G779" s="76"/>
      <c r="H779" s="76"/>
      <c r="O779" s="77"/>
    </row>
    <row r="780" spans="1:15" s="77" customFormat="1" ht="52.9" customHeight="1">
      <c r="A780" s="78" t="s">
        <v>315</v>
      </c>
      <c r="B780" s="79" t="s">
        <v>389</v>
      </c>
      <c r="C780" s="79" t="s">
        <v>234</v>
      </c>
      <c r="D780" s="79" t="s">
        <v>493</v>
      </c>
      <c r="E780" s="79" t="s">
        <v>206</v>
      </c>
      <c r="F780" s="80">
        <f t="shared" si="190"/>
        <v>39</v>
      </c>
      <c r="G780" s="80">
        <f t="shared" si="190"/>
        <v>39</v>
      </c>
      <c r="H780" s="80">
        <f t="shared" si="190"/>
        <v>39</v>
      </c>
      <c r="O780" s="50"/>
    </row>
    <row r="781" spans="1:15" ht="37.9" customHeight="1">
      <c r="A781" s="108" t="s">
        <v>729</v>
      </c>
      <c r="B781" s="75" t="s">
        <v>389</v>
      </c>
      <c r="C781" s="75" t="s">
        <v>234</v>
      </c>
      <c r="D781" s="75" t="s">
        <v>730</v>
      </c>
      <c r="E781" s="75" t="s">
        <v>206</v>
      </c>
      <c r="F781" s="76">
        <f t="shared" si="190"/>
        <v>39</v>
      </c>
      <c r="G781" s="76">
        <f t="shared" si="190"/>
        <v>39</v>
      </c>
      <c r="H781" s="76">
        <f t="shared" si="190"/>
        <v>39</v>
      </c>
    </row>
    <row r="782" spans="1:15" ht="17.25" customHeight="1">
      <c r="A782" s="74" t="s">
        <v>497</v>
      </c>
      <c r="B782" s="75" t="s">
        <v>389</v>
      </c>
      <c r="C782" s="75" t="s">
        <v>234</v>
      </c>
      <c r="D782" s="75" t="s">
        <v>731</v>
      </c>
      <c r="E782" s="75" t="s">
        <v>499</v>
      </c>
      <c r="F782" s="76">
        <f>'5'!D102</f>
        <v>39</v>
      </c>
      <c r="G782" s="76">
        <f>'5'!E102</f>
        <v>39</v>
      </c>
      <c r="H782" s="76">
        <f>'5'!F102</f>
        <v>39</v>
      </c>
      <c r="O782" s="77"/>
    </row>
    <row r="783" spans="1:15" s="77" customFormat="1" ht="64.5" customHeight="1">
      <c r="A783" s="78" t="s">
        <v>652</v>
      </c>
      <c r="B783" s="79" t="s">
        <v>389</v>
      </c>
      <c r="C783" s="79" t="s">
        <v>234</v>
      </c>
      <c r="D783" s="79" t="s">
        <v>570</v>
      </c>
      <c r="E783" s="79" t="s">
        <v>206</v>
      </c>
      <c r="F783" s="80">
        <f>F784</f>
        <v>5</v>
      </c>
      <c r="G783" s="80">
        <f>G784</f>
        <v>5</v>
      </c>
      <c r="H783" s="80">
        <f>H784</f>
        <v>5</v>
      </c>
      <c r="O783" s="99"/>
    </row>
    <row r="784" spans="1:15" s="99" customFormat="1" ht="33.75" customHeight="1">
      <c r="A784" s="74" t="s">
        <v>732</v>
      </c>
      <c r="B784" s="75" t="s">
        <v>389</v>
      </c>
      <c r="C784" s="75" t="s">
        <v>234</v>
      </c>
      <c r="D784" s="75" t="s">
        <v>733</v>
      </c>
      <c r="E784" s="75" t="s">
        <v>499</v>
      </c>
      <c r="F784" s="76">
        <f>'5'!D118</f>
        <v>5</v>
      </c>
      <c r="G784" s="76">
        <f>'5'!E118</f>
        <v>5</v>
      </c>
      <c r="H784" s="76">
        <f>'5'!F118</f>
        <v>5</v>
      </c>
    </row>
    <row r="785" spans="1:15" s="99" customFormat="1" ht="69" customHeight="1">
      <c r="A785" s="78" t="s">
        <v>329</v>
      </c>
      <c r="B785" s="79" t="s">
        <v>389</v>
      </c>
      <c r="C785" s="79" t="s">
        <v>234</v>
      </c>
      <c r="D785" s="79" t="s">
        <v>330</v>
      </c>
      <c r="E785" s="79" t="s">
        <v>206</v>
      </c>
      <c r="F785" s="80">
        <f t="shared" ref="F785:H786" si="191">F786</f>
        <v>60</v>
      </c>
      <c r="G785" s="80">
        <f t="shared" si="191"/>
        <v>60</v>
      </c>
      <c r="H785" s="80">
        <f t="shared" si="191"/>
        <v>20</v>
      </c>
      <c r="O785" s="50"/>
    </row>
    <row r="786" spans="1:15" ht="51" customHeight="1">
      <c r="A786" s="74" t="s">
        <v>284</v>
      </c>
      <c r="B786" s="75" t="s">
        <v>389</v>
      </c>
      <c r="C786" s="75" t="s">
        <v>234</v>
      </c>
      <c r="D786" s="98" t="s">
        <v>734</v>
      </c>
      <c r="E786" s="75" t="s">
        <v>283</v>
      </c>
      <c r="F786" s="76">
        <f t="shared" si="191"/>
        <v>60</v>
      </c>
      <c r="G786" s="76">
        <f t="shared" si="191"/>
        <v>60</v>
      </c>
      <c r="H786" s="76">
        <f t="shared" si="191"/>
        <v>20</v>
      </c>
    </row>
    <row r="787" spans="1:15" ht="35.25" customHeight="1">
      <c r="A787" s="74" t="s">
        <v>732</v>
      </c>
      <c r="B787" s="75" t="s">
        <v>389</v>
      </c>
      <c r="C787" s="75" t="s">
        <v>234</v>
      </c>
      <c r="D787" s="98" t="s">
        <v>734</v>
      </c>
      <c r="E787" s="75" t="s">
        <v>499</v>
      </c>
      <c r="F787" s="76">
        <f>'5'!D126</f>
        <v>60</v>
      </c>
      <c r="G787" s="76">
        <f>'5'!E126</f>
        <v>60</v>
      </c>
      <c r="H787" s="76">
        <f>'5'!F126</f>
        <v>20</v>
      </c>
    </row>
    <row r="788" spans="1:15" ht="85.5" customHeight="1">
      <c r="A788" s="78" t="s">
        <v>467</v>
      </c>
      <c r="B788" s="79" t="s">
        <v>389</v>
      </c>
      <c r="C788" s="79" t="s">
        <v>234</v>
      </c>
      <c r="D788" s="79" t="s">
        <v>468</v>
      </c>
      <c r="E788" s="79" t="s">
        <v>206</v>
      </c>
      <c r="F788" s="80">
        <f t="shared" ref="F788:H789" si="192">F789</f>
        <v>20</v>
      </c>
      <c r="G788" s="80">
        <f t="shared" si="192"/>
        <v>20</v>
      </c>
      <c r="H788" s="80">
        <f t="shared" si="192"/>
        <v>0</v>
      </c>
    </row>
    <row r="789" spans="1:15" ht="49.9" customHeight="1">
      <c r="A789" s="74" t="s">
        <v>284</v>
      </c>
      <c r="B789" s="75" t="s">
        <v>389</v>
      </c>
      <c r="C789" s="75" t="s">
        <v>234</v>
      </c>
      <c r="D789" s="75" t="s">
        <v>735</v>
      </c>
      <c r="E789" s="75" t="s">
        <v>283</v>
      </c>
      <c r="F789" s="76">
        <f t="shared" si="192"/>
        <v>20</v>
      </c>
      <c r="G789" s="76">
        <f t="shared" si="192"/>
        <v>20</v>
      </c>
      <c r="H789" s="76">
        <f t="shared" si="192"/>
        <v>0</v>
      </c>
    </row>
    <row r="790" spans="1:15" ht="24.6" customHeight="1">
      <c r="A790" s="74" t="s">
        <v>497</v>
      </c>
      <c r="B790" s="75" t="s">
        <v>389</v>
      </c>
      <c r="C790" s="75" t="s">
        <v>234</v>
      </c>
      <c r="D790" s="75" t="s">
        <v>735</v>
      </c>
      <c r="E790" s="75" t="s">
        <v>499</v>
      </c>
      <c r="F790" s="76">
        <f>'5'!D221</f>
        <v>20</v>
      </c>
      <c r="G790" s="76">
        <f>'5'!E221</f>
        <v>20</v>
      </c>
      <c r="H790" s="76">
        <f>'5'!F221</f>
        <v>0</v>
      </c>
    </row>
    <row r="791" spans="1:15" ht="47.25" hidden="1" customHeight="1">
      <c r="A791" s="132" t="s">
        <v>736</v>
      </c>
      <c r="B791" s="127" t="s">
        <v>389</v>
      </c>
      <c r="C791" s="127" t="s">
        <v>234</v>
      </c>
      <c r="D791" s="127" t="s">
        <v>592</v>
      </c>
      <c r="E791" s="127" t="s">
        <v>206</v>
      </c>
      <c r="F791" s="129">
        <f>F792</f>
        <v>0</v>
      </c>
      <c r="G791" s="129">
        <f>G792</f>
        <v>0</v>
      </c>
      <c r="H791" s="129">
        <f>H792</f>
        <v>0</v>
      </c>
    </row>
    <row r="792" spans="1:15" ht="78.75" hidden="1" customHeight="1">
      <c r="A792" s="134" t="s">
        <v>737</v>
      </c>
      <c r="B792" s="71" t="s">
        <v>389</v>
      </c>
      <c r="C792" s="71" t="s">
        <v>234</v>
      </c>
      <c r="D792" s="71" t="s">
        <v>738</v>
      </c>
      <c r="E792" s="71" t="s">
        <v>206</v>
      </c>
      <c r="F792" s="72">
        <f>F793+F795</f>
        <v>0</v>
      </c>
      <c r="G792" s="72">
        <f>G793+G795</f>
        <v>0</v>
      </c>
      <c r="H792" s="72">
        <f>H793+H795</f>
        <v>0</v>
      </c>
    </row>
    <row r="793" spans="1:15" ht="94.5" hidden="1" customHeight="1">
      <c r="A793" s="70" t="s">
        <v>215</v>
      </c>
      <c r="B793" s="71" t="s">
        <v>389</v>
      </c>
      <c r="C793" s="71" t="s">
        <v>234</v>
      </c>
      <c r="D793" s="71" t="s">
        <v>738</v>
      </c>
      <c r="E793" s="71" t="s">
        <v>216</v>
      </c>
      <c r="F793" s="72">
        <f>F794</f>
        <v>0</v>
      </c>
      <c r="G793" s="72">
        <f>G794</f>
        <v>0</v>
      </c>
      <c r="H793" s="72">
        <f>H794</f>
        <v>0</v>
      </c>
    </row>
    <row r="794" spans="1:15" ht="31.5" hidden="1" customHeight="1">
      <c r="A794" s="70" t="s">
        <v>647</v>
      </c>
      <c r="B794" s="71" t="s">
        <v>389</v>
      </c>
      <c r="C794" s="71" t="s">
        <v>234</v>
      </c>
      <c r="D794" s="71" t="s">
        <v>738</v>
      </c>
      <c r="E794" s="71" t="s">
        <v>648</v>
      </c>
      <c r="F794" s="72"/>
      <c r="G794" s="72"/>
      <c r="H794" s="72"/>
    </row>
    <row r="795" spans="1:15" ht="31.5" hidden="1" customHeight="1">
      <c r="A795" s="70" t="s">
        <v>223</v>
      </c>
      <c r="B795" s="71" t="s">
        <v>389</v>
      </c>
      <c r="C795" s="71" t="s">
        <v>234</v>
      </c>
      <c r="D795" s="71" t="s">
        <v>738</v>
      </c>
      <c r="E795" s="71" t="s">
        <v>224</v>
      </c>
      <c r="F795" s="72">
        <f>F796</f>
        <v>0</v>
      </c>
      <c r="G795" s="72">
        <f>G796</f>
        <v>0</v>
      </c>
      <c r="H795" s="72">
        <f>H796</f>
        <v>0</v>
      </c>
    </row>
    <row r="796" spans="1:15" ht="47.25" hidden="1" customHeight="1">
      <c r="A796" s="70" t="s">
        <v>225</v>
      </c>
      <c r="B796" s="71" t="s">
        <v>389</v>
      </c>
      <c r="C796" s="71" t="s">
        <v>234</v>
      </c>
      <c r="D796" s="71" t="s">
        <v>738</v>
      </c>
      <c r="E796" s="71" t="s">
        <v>226</v>
      </c>
      <c r="F796" s="72"/>
      <c r="G796" s="72"/>
      <c r="H796" s="72"/>
    </row>
    <row r="797" spans="1:15" ht="15.75" hidden="1" customHeight="1">
      <c r="A797" s="152" t="s">
        <v>739</v>
      </c>
      <c r="B797" s="153" t="s">
        <v>353</v>
      </c>
      <c r="C797" s="153" t="s">
        <v>204</v>
      </c>
      <c r="D797" s="153" t="s">
        <v>205</v>
      </c>
      <c r="E797" s="153" t="s">
        <v>206</v>
      </c>
      <c r="F797" s="154">
        <f t="shared" ref="F797:F800" si="193">F798</f>
        <v>0</v>
      </c>
      <c r="G797" s="154">
        <f t="shared" ref="G797:H800" si="194">G798</f>
        <v>0</v>
      </c>
      <c r="H797" s="154">
        <f t="shared" si="194"/>
        <v>0</v>
      </c>
    </row>
    <row r="798" spans="1:15" ht="31.5" hidden="1" customHeight="1">
      <c r="A798" s="141" t="s">
        <v>740</v>
      </c>
      <c r="B798" s="142" t="s">
        <v>353</v>
      </c>
      <c r="C798" s="142" t="s">
        <v>353</v>
      </c>
      <c r="D798" s="142" t="s">
        <v>205</v>
      </c>
      <c r="E798" s="142" t="s">
        <v>206</v>
      </c>
      <c r="F798" s="143">
        <f t="shared" si="193"/>
        <v>0</v>
      </c>
      <c r="G798" s="143">
        <f t="shared" si="194"/>
        <v>0</v>
      </c>
      <c r="H798" s="143">
        <f t="shared" si="194"/>
        <v>0</v>
      </c>
    </row>
    <row r="799" spans="1:15" ht="31.5" hidden="1" customHeight="1">
      <c r="A799" s="70" t="s">
        <v>741</v>
      </c>
      <c r="B799" s="127" t="s">
        <v>353</v>
      </c>
      <c r="C799" s="127" t="s">
        <v>353</v>
      </c>
      <c r="D799" s="127" t="s">
        <v>668</v>
      </c>
      <c r="E799" s="71" t="s">
        <v>206</v>
      </c>
      <c r="F799" s="129">
        <f t="shared" si="193"/>
        <v>0</v>
      </c>
      <c r="G799" s="129">
        <f t="shared" si="194"/>
        <v>0</v>
      </c>
      <c r="H799" s="129">
        <f t="shared" si="194"/>
        <v>0</v>
      </c>
    </row>
    <row r="800" spans="1:15" ht="31.5" hidden="1" customHeight="1">
      <c r="A800" s="70" t="s">
        <v>223</v>
      </c>
      <c r="B800" s="127" t="s">
        <v>353</v>
      </c>
      <c r="C800" s="127" t="s">
        <v>353</v>
      </c>
      <c r="D800" s="71" t="s">
        <v>742</v>
      </c>
      <c r="E800" s="71" t="s">
        <v>224</v>
      </c>
      <c r="F800" s="72">
        <f t="shared" si="193"/>
        <v>0</v>
      </c>
      <c r="G800" s="72">
        <f t="shared" si="194"/>
        <v>0</v>
      </c>
      <c r="H800" s="72">
        <f t="shared" si="194"/>
        <v>0</v>
      </c>
    </row>
    <row r="801" spans="1:15" ht="47.25" hidden="1" customHeight="1">
      <c r="A801" s="70" t="s">
        <v>225</v>
      </c>
      <c r="B801" s="127" t="s">
        <v>353</v>
      </c>
      <c r="C801" s="127" t="s">
        <v>353</v>
      </c>
      <c r="D801" s="71" t="s">
        <v>669</v>
      </c>
      <c r="E801" s="71" t="s">
        <v>226</v>
      </c>
      <c r="F801" s="72"/>
      <c r="G801" s="72"/>
      <c r="H801" s="72"/>
    </row>
    <row r="802" spans="1:15" ht="18.75" customHeight="1">
      <c r="A802" s="117" t="s">
        <v>743</v>
      </c>
      <c r="B802" s="62" t="s">
        <v>367</v>
      </c>
      <c r="C802" s="62" t="s">
        <v>204</v>
      </c>
      <c r="D802" s="62" t="s">
        <v>205</v>
      </c>
      <c r="E802" s="62" t="s">
        <v>206</v>
      </c>
      <c r="F802" s="63">
        <f>F803+F808+F823+F886</f>
        <v>54574.155179999994</v>
      </c>
      <c r="G802" s="63">
        <f t="shared" ref="G802:H802" si="195">G803+G808+G823+G886</f>
        <v>60009.291833709533</v>
      </c>
      <c r="H802" s="63">
        <f t="shared" si="195"/>
        <v>63036.908459379883</v>
      </c>
      <c r="I802" s="73"/>
      <c r="J802" s="73"/>
      <c r="K802" s="73"/>
      <c r="O802" s="77"/>
    </row>
    <row r="803" spans="1:15" s="77" customFormat="1" ht="17.25" customHeight="1">
      <c r="A803" s="66" t="s">
        <v>744</v>
      </c>
      <c r="B803" s="67" t="s">
        <v>367</v>
      </c>
      <c r="C803" s="67" t="s">
        <v>203</v>
      </c>
      <c r="D803" s="67" t="s">
        <v>205</v>
      </c>
      <c r="E803" s="67" t="s">
        <v>206</v>
      </c>
      <c r="F803" s="68">
        <f>F805</f>
        <v>2172</v>
      </c>
      <c r="G803" s="68">
        <f t="shared" ref="G803:H803" si="196">G805</f>
        <v>2097.7973499999998</v>
      </c>
      <c r="H803" s="68">
        <f t="shared" si="196"/>
        <v>1420.8112100000001</v>
      </c>
      <c r="O803" s="50"/>
    </row>
    <row r="804" spans="1:15" ht="33" customHeight="1">
      <c r="A804" s="74" t="s">
        <v>745</v>
      </c>
      <c r="B804" s="75" t="s">
        <v>367</v>
      </c>
      <c r="C804" s="75" t="s">
        <v>203</v>
      </c>
      <c r="D804" s="75" t="s">
        <v>746</v>
      </c>
      <c r="E804" s="75" t="s">
        <v>206</v>
      </c>
      <c r="F804" s="76">
        <f t="shared" ref="F804:F806" si="197">F805</f>
        <v>2172</v>
      </c>
      <c r="G804" s="76">
        <f t="shared" ref="G804:H806" si="198">G805</f>
        <v>2097.7973499999998</v>
      </c>
      <c r="H804" s="76">
        <f t="shared" si="198"/>
        <v>1420.8112100000001</v>
      </c>
    </row>
    <row r="805" spans="1:15" ht="50.25" customHeight="1">
      <c r="A805" s="74" t="s">
        <v>747</v>
      </c>
      <c r="B805" s="75" t="s">
        <v>367</v>
      </c>
      <c r="C805" s="75" t="s">
        <v>203</v>
      </c>
      <c r="D805" s="75" t="s">
        <v>746</v>
      </c>
      <c r="E805" s="75" t="s">
        <v>206</v>
      </c>
      <c r="F805" s="76">
        <f t="shared" si="197"/>
        <v>2172</v>
      </c>
      <c r="G805" s="76">
        <f t="shared" si="198"/>
        <v>2097.7973499999998</v>
      </c>
      <c r="H805" s="76">
        <f t="shared" si="198"/>
        <v>1420.8112100000001</v>
      </c>
    </row>
    <row r="806" spans="1:15" ht="31.5" customHeight="1">
      <c r="A806" s="74" t="s">
        <v>242</v>
      </c>
      <c r="B806" s="75" t="s">
        <v>367</v>
      </c>
      <c r="C806" s="75" t="s">
        <v>203</v>
      </c>
      <c r="D806" s="75" t="s">
        <v>746</v>
      </c>
      <c r="E806" s="75" t="s">
        <v>243</v>
      </c>
      <c r="F806" s="76">
        <f t="shared" si="197"/>
        <v>2172</v>
      </c>
      <c r="G806" s="76">
        <f t="shared" si="198"/>
        <v>2097.7973499999998</v>
      </c>
      <c r="H806" s="76">
        <f t="shared" si="198"/>
        <v>1420.8112100000001</v>
      </c>
      <c r="O806" s="99"/>
    </row>
    <row r="807" spans="1:15" s="99" customFormat="1" ht="32.25" customHeight="1">
      <c r="A807" s="70" t="s">
        <v>630</v>
      </c>
      <c r="B807" s="71" t="s">
        <v>367</v>
      </c>
      <c r="C807" s="71" t="s">
        <v>203</v>
      </c>
      <c r="D807" s="71" t="s">
        <v>746</v>
      </c>
      <c r="E807" s="71" t="s">
        <v>631</v>
      </c>
      <c r="F807" s="76">
        <f>'5'!D288</f>
        <v>2172</v>
      </c>
      <c r="G807" s="76">
        <f>'5'!E288</f>
        <v>2097.7973499999998</v>
      </c>
      <c r="H807" s="76">
        <f>'5'!F288</f>
        <v>1420.8112100000001</v>
      </c>
    </row>
    <row r="808" spans="1:15" s="99" customFormat="1" ht="18.75" customHeight="1">
      <c r="A808" s="66" t="s">
        <v>748</v>
      </c>
      <c r="B808" s="67" t="s">
        <v>367</v>
      </c>
      <c r="C808" s="67" t="s">
        <v>220</v>
      </c>
      <c r="D808" s="67" t="s">
        <v>205</v>
      </c>
      <c r="E808" s="67" t="s">
        <v>206</v>
      </c>
      <c r="F808" s="68">
        <f>F809+F813+F820</f>
        <v>1320</v>
      </c>
      <c r="G808" s="68">
        <f t="shared" ref="G808:H808" si="199">G809+G813</f>
        <v>300</v>
      </c>
      <c r="H808" s="68">
        <f t="shared" si="199"/>
        <v>300</v>
      </c>
    </row>
    <row r="809" spans="1:15" s="99" customFormat="1" ht="99.75" customHeight="1">
      <c r="A809" s="78" t="s">
        <v>749</v>
      </c>
      <c r="B809" s="79" t="s">
        <v>367</v>
      </c>
      <c r="C809" s="79" t="s">
        <v>220</v>
      </c>
      <c r="D809" s="79" t="s">
        <v>516</v>
      </c>
      <c r="E809" s="79" t="s">
        <v>206</v>
      </c>
      <c r="F809" s="80">
        <f t="shared" ref="F809:H810" si="200">F810</f>
        <v>530</v>
      </c>
      <c r="G809" s="80">
        <f t="shared" si="200"/>
        <v>0</v>
      </c>
      <c r="H809" s="80">
        <f t="shared" si="200"/>
        <v>0</v>
      </c>
    </row>
    <row r="810" spans="1:15" s="99" customFormat="1" ht="33" customHeight="1">
      <c r="A810" s="74" t="s">
        <v>242</v>
      </c>
      <c r="B810" s="75" t="s">
        <v>367</v>
      </c>
      <c r="C810" s="75" t="s">
        <v>220</v>
      </c>
      <c r="D810" s="75" t="s">
        <v>750</v>
      </c>
      <c r="E810" s="75" t="s">
        <v>243</v>
      </c>
      <c r="F810" s="76">
        <f t="shared" si="200"/>
        <v>530</v>
      </c>
      <c r="G810" s="76">
        <f t="shared" si="200"/>
        <v>0</v>
      </c>
      <c r="H810" s="76">
        <f t="shared" si="200"/>
        <v>0</v>
      </c>
    </row>
    <row r="811" spans="1:15" s="99" customFormat="1" ht="36" customHeight="1">
      <c r="A811" s="70" t="s">
        <v>630</v>
      </c>
      <c r="B811" s="75" t="s">
        <v>367</v>
      </c>
      <c r="C811" s="75" t="s">
        <v>220</v>
      </c>
      <c r="D811" s="75" t="s">
        <v>750</v>
      </c>
      <c r="E811" s="75" t="s">
        <v>631</v>
      </c>
      <c r="F811" s="76">
        <f>'5'!D51</f>
        <v>530</v>
      </c>
      <c r="G811" s="76">
        <f>'5'!E51</f>
        <v>0</v>
      </c>
      <c r="H811" s="76">
        <f>'5'!F51</f>
        <v>0</v>
      </c>
      <c r="O811" s="77"/>
    </row>
    <row r="812" spans="1:15" s="77" customFormat="1" ht="66" customHeight="1">
      <c r="A812" s="78" t="s">
        <v>751</v>
      </c>
      <c r="B812" s="79" t="s">
        <v>367</v>
      </c>
      <c r="C812" s="79" t="s">
        <v>220</v>
      </c>
      <c r="D812" s="79" t="s">
        <v>752</v>
      </c>
      <c r="E812" s="79" t="s">
        <v>206</v>
      </c>
      <c r="F812" s="80">
        <f t="shared" ref="F812:H813" si="201">F813</f>
        <v>300</v>
      </c>
      <c r="G812" s="80">
        <f t="shared" si="201"/>
        <v>300</v>
      </c>
      <c r="H812" s="80">
        <f t="shared" si="201"/>
        <v>300</v>
      </c>
    </row>
    <row r="813" spans="1:15" s="77" customFormat="1" ht="34.5" customHeight="1">
      <c r="A813" s="74" t="s">
        <v>242</v>
      </c>
      <c r="B813" s="75" t="s">
        <v>367</v>
      </c>
      <c r="C813" s="75" t="s">
        <v>220</v>
      </c>
      <c r="D813" s="75" t="s">
        <v>753</v>
      </c>
      <c r="E813" s="75" t="s">
        <v>243</v>
      </c>
      <c r="F813" s="76">
        <f t="shared" si="201"/>
        <v>300</v>
      </c>
      <c r="G813" s="76">
        <f t="shared" si="201"/>
        <v>300</v>
      </c>
      <c r="H813" s="76">
        <f t="shared" si="201"/>
        <v>300</v>
      </c>
      <c r="O813" s="50"/>
    </row>
    <row r="814" spans="1:15" ht="36" customHeight="1">
      <c r="A814" s="70" t="s">
        <v>244</v>
      </c>
      <c r="B814" s="71" t="s">
        <v>367</v>
      </c>
      <c r="C814" s="71" t="s">
        <v>220</v>
      </c>
      <c r="D814" s="71" t="s">
        <v>753</v>
      </c>
      <c r="E814" s="71" t="s">
        <v>245</v>
      </c>
      <c r="F814" s="72">
        <f>'5'!D152</f>
        <v>300</v>
      </c>
      <c r="G814" s="72">
        <f>'5'!E152</f>
        <v>300</v>
      </c>
      <c r="H814" s="72">
        <f>'5'!F152</f>
        <v>300</v>
      </c>
    </row>
    <row r="815" spans="1:15" ht="31.5" customHeight="1">
      <c r="A815" s="70" t="s">
        <v>209</v>
      </c>
      <c r="B815" s="71" t="s">
        <v>367</v>
      </c>
      <c r="C815" s="71" t="s">
        <v>220</v>
      </c>
      <c r="D815" s="71" t="s">
        <v>205</v>
      </c>
      <c r="E815" s="71" t="s">
        <v>206</v>
      </c>
      <c r="F815" s="72">
        <f>F816</f>
        <v>490</v>
      </c>
      <c r="G815" s="72">
        <f t="shared" ref="G815:H818" si="202">G816</f>
        <v>0</v>
      </c>
      <c r="H815" s="72">
        <f t="shared" si="202"/>
        <v>0</v>
      </c>
    </row>
    <row r="816" spans="1:15" ht="47.25" customHeight="1">
      <c r="A816" s="70" t="s">
        <v>211</v>
      </c>
      <c r="B816" s="71" t="s">
        <v>367</v>
      </c>
      <c r="C816" s="71" t="s">
        <v>220</v>
      </c>
      <c r="D816" s="71" t="s">
        <v>205</v>
      </c>
      <c r="E816" s="71" t="s">
        <v>206</v>
      </c>
      <c r="F816" s="72">
        <f>F817+F820</f>
        <v>490</v>
      </c>
      <c r="G816" s="72">
        <f>G817+G820</f>
        <v>0</v>
      </c>
      <c r="H816" s="72">
        <f>H817+H820</f>
        <v>0</v>
      </c>
    </row>
    <row r="817" spans="1:15" ht="267.75" hidden="1" customHeight="1">
      <c r="A817" s="132" t="s">
        <v>754</v>
      </c>
      <c r="B817" s="71" t="s">
        <v>367</v>
      </c>
      <c r="C817" s="71" t="s">
        <v>220</v>
      </c>
      <c r="D817" s="127" t="s">
        <v>755</v>
      </c>
      <c r="E817" s="127" t="s">
        <v>206</v>
      </c>
      <c r="F817" s="129">
        <f t="shared" ref="F817:H821" si="203">F818</f>
        <v>0</v>
      </c>
      <c r="G817" s="129">
        <f t="shared" si="202"/>
        <v>0</v>
      </c>
      <c r="H817" s="129">
        <f t="shared" si="202"/>
        <v>0</v>
      </c>
    </row>
    <row r="818" spans="1:15" ht="15.75" hidden="1" customHeight="1">
      <c r="A818" s="70" t="s">
        <v>229</v>
      </c>
      <c r="B818" s="71" t="s">
        <v>367</v>
      </c>
      <c r="C818" s="71" t="s">
        <v>220</v>
      </c>
      <c r="D818" s="71" t="s">
        <v>755</v>
      </c>
      <c r="E818" s="71" t="s">
        <v>230</v>
      </c>
      <c r="F818" s="72">
        <f t="shared" si="203"/>
        <v>0</v>
      </c>
      <c r="G818" s="72">
        <f t="shared" si="202"/>
        <v>0</v>
      </c>
      <c r="H818" s="72">
        <f t="shared" si="202"/>
        <v>0</v>
      </c>
    </row>
    <row r="819" spans="1:15" ht="78.75" hidden="1" customHeight="1">
      <c r="A819" s="70" t="s">
        <v>756</v>
      </c>
      <c r="B819" s="71" t="s">
        <v>367</v>
      </c>
      <c r="C819" s="71" t="s">
        <v>220</v>
      </c>
      <c r="D819" s="71" t="s">
        <v>755</v>
      </c>
      <c r="E819" s="71" t="s">
        <v>396</v>
      </c>
      <c r="F819" s="156"/>
      <c r="G819" s="156"/>
      <c r="H819" s="156"/>
    </row>
    <row r="820" spans="1:15" ht="63" customHeight="1">
      <c r="A820" s="78" t="s">
        <v>757</v>
      </c>
      <c r="B820" s="79" t="s">
        <v>367</v>
      </c>
      <c r="C820" s="79" t="s">
        <v>220</v>
      </c>
      <c r="D820" s="79" t="s">
        <v>758</v>
      </c>
      <c r="E820" s="79" t="s">
        <v>206</v>
      </c>
      <c r="F820" s="47">
        <f t="shared" si="203"/>
        <v>490</v>
      </c>
      <c r="G820" s="47">
        <f t="shared" si="203"/>
        <v>0</v>
      </c>
      <c r="H820" s="47">
        <f t="shared" si="203"/>
        <v>0</v>
      </c>
    </row>
    <row r="821" spans="1:15" ht="31.5" customHeight="1">
      <c r="A821" s="74" t="s">
        <v>242</v>
      </c>
      <c r="B821" s="75" t="s">
        <v>367</v>
      </c>
      <c r="C821" s="75" t="s">
        <v>220</v>
      </c>
      <c r="D821" s="75" t="s">
        <v>758</v>
      </c>
      <c r="E821" s="75" t="s">
        <v>243</v>
      </c>
      <c r="F821" s="36">
        <f t="shared" si="203"/>
        <v>490</v>
      </c>
      <c r="G821" s="36">
        <f t="shared" si="203"/>
        <v>0</v>
      </c>
      <c r="H821" s="36">
        <f t="shared" si="203"/>
        <v>0</v>
      </c>
    </row>
    <row r="822" spans="1:15" ht="47.25" customHeight="1">
      <c r="A822" s="74" t="s">
        <v>244</v>
      </c>
      <c r="B822" s="75" t="s">
        <v>367</v>
      </c>
      <c r="C822" s="75" t="s">
        <v>220</v>
      </c>
      <c r="D822" s="75" t="s">
        <v>758</v>
      </c>
      <c r="E822" s="75" t="s">
        <v>245</v>
      </c>
      <c r="F822" s="36">
        <f>'5'!D302</f>
        <v>490</v>
      </c>
      <c r="G822" s="36">
        <f>'5'!E302</f>
        <v>0</v>
      </c>
      <c r="H822" s="36">
        <f>'5'!F302</f>
        <v>0</v>
      </c>
    </row>
    <row r="823" spans="1:15" ht="18.75" customHeight="1">
      <c r="A823" s="66" t="s">
        <v>759</v>
      </c>
      <c r="B823" s="67" t="s">
        <v>367</v>
      </c>
      <c r="C823" s="67" t="s">
        <v>234</v>
      </c>
      <c r="D823" s="67" t="s">
        <v>205</v>
      </c>
      <c r="E823" s="67" t="s">
        <v>206</v>
      </c>
      <c r="F823" s="68">
        <f>F825+F829+F836+F841+F854+F866+F869+F874+F880</f>
        <v>48471.865179999993</v>
      </c>
      <c r="G823" s="68">
        <f t="shared" ref="G823:H823" si="204">G825+G829+G836+G841+G854+G866+G869+G874+G880</f>
        <v>54894.021483709534</v>
      </c>
      <c r="H823" s="68">
        <f t="shared" si="204"/>
        <v>58496.229249379881</v>
      </c>
      <c r="O823" s="77"/>
    </row>
    <row r="824" spans="1:15" s="77" customFormat="1" ht="54.75" customHeight="1">
      <c r="A824" s="104" t="s">
        <v>556</v>
      </c>
      <c r="B824" s="79" t="s">
        <v>367</v>
      </c>
      <c r="C824" s="79" t="s">
        <v>234</v>
      </c>
      <c r="D824" s="79" t="s">
        <v>493</v>
      </c>
      <c r="E824" s="79" t="s">
        <v>206</v>
      </c>
      <c r="F824" s="80">
        <f>F828+F832+F825</f>
        <v>6461.0889999999999</v>
      </c>
      <c r="G824" s="80">
        <f>G828+G832+G825</f>
        <v>6694.683</v>
      </c>
      <c r="H824" s="80">
        <f>H828+H832+H825</f>
        <v>6938.8950000000004</v>
      </c>
      <c r="O824" s="50"/>
    </row>
    <row r="825" spans="1:15" ht="47.25" customHeight="1">
      <c r="A825" s="108" t="s">
        <v>760</v>
      </c>
      <c r="B825" s="75" t="s">
        <v>367</v>
      </c>
      <c r="C825" s="75" t="s">
        <v>234</v>
      </c>
      <c r="D825" s="79" t="s">
        <v>558</v>
      </c>
      <c r="E825" s="79" t="s">
        <v>206</v>
      </c>
      <c r="F825" s="76">
        <f t="shared" ref="F825:H826" si="205">F826</f>
        <v>300</v>
      </c>
      <c r="G825" s="76">
        <f t="shared" si="205"/>
        <v>300</v>
      </c>
      <c r="H825" s="76">
        <f t="shared" si="205"/>
        <v>300</v>
      </c>
    </row>
    <row r="826" spans="1:15" ht="33.75" customHeight="1">
      <c r="A826" s="74" t="s">
        <v>242</v>
      </c>
      <c r="B826" s="75" t="s">
        <v>367</v>
      </c>
      <c r="C826" s="75" t="s">
        <v>234</v>
      </c>
      <c r="D826" s="79" t="s">
        <v>558</v>
      </c>
      <c r="E826" s="79" t="s">
        <v>243</v>
      </c>
      <c r="F826" s="76">
        <f t="shared" si="205"/>
        <v>300</v>
      </c>
      <c r="G826" s="76">
        <f t="shared" si="205"/>
        <v>300</v>
      </c>
      <c r="H826" s="76">
        <f t="shared" si="205"/>
        <v>300</v>
      </c>
    </row>
    <row r="827" spans="1:15" ht="34.9" customHeight="1">
      <c r="A827" s="74" t="s">
        <v>244</v>
      </c>
      <c r="B827" s="75" t="s">
        <v>367</v>
      </c>
      <c r="C827" s="75" t="s">
        <v>234</v>
      </c>
      <c r="D827" s="79" t="s">
        <v>558</v>
      </c>
      <c r="E827" s="79" t="s">
        <v>245</v>
      </c>
      <c r="F827" s="76">
        <f>'5'!D50</f>
        <v>300</v>
      </c>
      <c r="G827" s="76">
        <f>'5'!E50</f>
        <v>300</v>
      </c>
      <c r="H827" s="76">
        <f>'5'!F50</f>
        <v>300</v>
      </c>
    </row>
    <row r="828" spans="1:15" ht="40.5" customHeight="1">
      <c r="A828" s="108" t="s">
        <v>761</v>
      </c>
      <c r="B828" s="75" t="s">
        <v>367</v>
      </c>
      <c r="C828" s="75" t="s">
        <v>234</v>
      </c>
      <c r="D828" s="75" t="s">
        <v>495</v>
      </c>
      <c r="E828" s="75" t="s">
        <v>206</v>
      </c>
      <c r="F828" s="76">
        <f>F829</f>
        <v>5861.0889999999999</v>
      </c>
      <c r="G828" s="76">
        <f>G829</f>
        <v>6094.683</v>
      </c>
      <c r="H828" s="76">
        <f>H829</f>
        <v>6338.8950000000004</v>
      </c>
    </row>
    <row r="829" spans="1:15" ht="82.5" customHeight="1">
      <c r="A829" s="78" t="s">
        <v>762</v>
      </c>
      <c r="B829" s="75" t="s">
        <v>367</v>
      </c>
      <c r="C829" s="75" t="s">
        <v>234</v>
      </c>
      <c r="D829" s="75" t="s">
        <v>763</v>
      </c>
      <c r="E829" s="75" t="s">
        <v>206</v>
      </c>
      <c r="F829" s="76">
        <f>'2  '!D87</f>
        <v>5861.0889999999999</v>
      </c>
      <c r="G829" s="76">
        <f>'2  '!E87</f>
        <v>6094.683</v>
      </c>
      <c r="H829" s="76">
        <f>'2  '!F87</f>
        <v>6338.8950000000004</v>
      </c>
    </row>
    <row r="830" spans="1:15" ht="55.5" customHeight="1">
      <c r="A830" s="74" t="s">
        <v>225</v>
      </c>
      <c r="B830" s="75" t="s">
        <v>367</v>
      </c>
      <c r="C830" s="75" t="s">
        <v>234</v>
      </c>
      <c r="D830" s="75" t="s">
        <v>763</v>
      </c>
      <c r="E830" s="75" t="s">
        <v>226</v>
      </c>
      <c r="F830" s="76">
        <f>F829*1.5/100</f>
        <v>87.916335000000004</v>
      </c>
      <c r="G830" s="76">
        <f t="shared" ref="G830:H830" si="206">G829*1.5/100</f>
        <v>91.420244999999994</v>
      </c>
      <c r="H830" s="76">
        <f t="shared" si="206"/>
        <v>95.083425000000005</v>
      </c>
    </row>
    <row r="831" spans="1:15" ht="35.25" customHeight="1">
      <c r="A831" s="70" t="s">
        <v>630</v>
      </c>
      <c r="B831" s="71" t="s">
        <v>367</v>
      </c>
      <c r="C831" s="71" t="s">
        <v>234</v>
      </c>
      <c r="D831" s="71" t="s">
        <v>763</v>
      </c>
      <c r="E831" s="71" t="s">
        <v>631</v>
      </c>
      <c r="F831" s="76">
        <f>F829-F830</f>
        <v>5773.1726650000001</v>
      </c>
      <c r="G831" s="76">
        <f t="shared" ref="G831:H831" si="207">G829-G830</f>
        <v>6003.2627549999997</v>
      </c>
      <c r="H831" s="76">
        <f t="shared" si="207"/>
        <v>6243.8115750000006</v>
      </c>
    </row>
    <row r="832" spans="1:15" ht="51" customHeight="1">
      <c r="A832" s="132" t="s">
        <v>556</v>
      </c>
      <c r="B832" s="127" t="s">
        <v>367</v>
      </c>
      <c r="C832" s="127" t="s">
        <v>234</v>
      </c>
      <c r="D832" s="127" t="s">
        <v>493</v>
      </c>
      <c r="E832" s="127" t="s">
        <v>206</v>
      </c>
      <c r="F832" s="129">
        <f t="shared" ref="F832:F835" si="208">F833</f>
        <v>300</v>
      </c>
      <c r="G832" s="129">
        <f t="shared" ref="G832:H835" si="209">G833</f>
        <v>300</v>
      </c>
      <c r="H832" s="129">
        <f t="shared" si="209"/>
        <v>300</v>
      </c>
    </row>
    <row r="833" spans="1:8" ht="39" customHeight="1">
      <c r="A833" s="157" t="s">
        <v>626</v>
      </c>
      <c r="B833" s="79" t="s">
        <v>367</v>
      </c>
      <c r="C833" s="79" t="s">
        <v>234</v>
      </c>
      <c r="D833" s="79" t="s">
        <v>627</v>
      </c>
      <c r="E833" s="79" t="s">
        <v>206</v>
      </c>
      <c r="F833" s="80">
        <f t="shared" si="208"/>
        <v>300</v>
      </c>
      <c r="G833" s="80">
        <f t="shared" si="209"/>
        <v>300</v>
      </c>
      <c r="H833" s="80">
        <f t="shared" si="209"/>
        <v>300</v>
      </c>
    </row>
    <row r="834" spans="1:8" ht="66" customHeight="1">
      <c r="A834" s="78" t="s">
        <v>628</v>
      </c>
      <c r="B834" s="79" t="s">
        <v>367</v>
      </c>
      <c r="C834" s="79" t="s">
        <v>234</v>
      </c>
      <c r="D834" s="79" t="s">
        <v>627</v>
      </c>
      <c r="E834" s="79" t="s">
        <v>206</v>
      </c>
      <c r="F834" s="80">
        <f t="shared" si="208"/>
        <v>300</v>
      </c>
      <c r="G834" s="80">
        <f t="shared" si="209"/>
        <v>300</v>
      </c>
      <c r="H834" s="80">
        <f t="shared" si="209"/>
        <v>300</v>
      </c>
    </row>
    <row r="835" spans="1:8" ht="35.25" hidden="1" customHeight="1">
      <c r="A835" s="74" t="s">
        <v>242</v>
      </c>
      <c r="B835" s="75" t="s">
        <v>367</v>
      </c>
      <c r="C835" s="75" t="s">
        <v>234</v>
      </c>
      <c r="D835" s="75" t="s">
        <v>629</v>
      </c>
      <c r="E835" s="75" t="s">
        <v>243</v>
      </c>
      <c r="F835" s="76">
        <f t="shared" si="208"/>
        <v>300</v>
      </c>
      <c r="G835" s="76">
        <f t="shared" si="209"/>
        <v>300</v>
      </c>
      <c r="H835" s="76">
        <f t="shared" si="209"/>
        <v>300</v>
      </c>
    </row>
    <row r="836" spans="1:8" ht="36.75" customHeight="1">
      <c r="A836" s="74" t="s">
        <v>630</v>
      </c>
      <c r="B836" s="75" t="s">
        <v>367</v>
      </c>
      <c r="C836" s="75" t="s">
        <v>234</v>
      </c>
      <c r="D836" s="75" t="s">
        <v>629</v>
      </c>
      <c r="E836" s="75" t="s">
        <v>631</v>
      </c>
      <c r="F836" s="76">
        <f>300</f>
        <v>300</v>
      </c>
      <c r="G836" s="76">
        <v>300</v>
      </c>
      <c r="H836" s="76">
        <v>300</v>
      </c>
    </row>
    <row r="837" spans="1:8" ht="15.75" hidden="1" customHeight="1">
      <c r="A837" s="158"/>
      <c r="B837" s="159"/>
      <c r="C837" s="159"/>
      <c r="D837" s="159"/>
      <c r="E837" s="159"/>
      <c r="F837" s="159"/>
      <c r="G837" s="76"/>
      <c r="H837" s="76"/>
    </row>
    <row r="838" spans="1:8" ht="15.75" hidden="1" customHeight="1">
      <c r="A838" s="158"/>
      <c r="B838" s="159"/>
      <c r="C838" s="159"/>
      <c r="D838" s="159"/>
      <c r="E838" s="159"/>
      <c r="F838" s="159"/>
      <c r="G838" s="76"/>
      <c r="H838" s="76"/>
    </row>
    <row r="839" spans="1:8" ht="15.75" hidden="1" customHeight="1">
      <c r="A839" s="158"/>
      <c r="B839" s="159"/>
      <c r="C839" s="159"/>
      <c r="D839" s="159"/>
      <c r="E839" s="159"/>
      <c r="F839" s="159"/>
      <c r="G839" s="76"/>
      <c r="H839" s="76"/>
    </row>
    <row r="840" spans="1:8" ht="149.25" customHeight="1">
      <c r="A840" s="104" t="s">
        <v>764</v>
      </c>
      <c r="B840" s="105" t="s">
        <v>367</v>
      </c>
      <c r="C840" s="105" t="s">
        <v>234</v>
      </c>
      <c r="D840" s="105" t="s">
        <v>765</v>
      </c>
      <c r="E840" s="105" t="s">
        <v>206</v>
      </c>
      <c r="F840" s="106">
        <f>F841+F846+F854</f>
        <v>39971.467229999995</v>
      </c>
      <c r="G840" s="106">
        <f>G841+G846+G854</f>
        <v>0</v>
      </c>
      <c r="H840" s="106">
        <f>H841+H846+H854</f>
        <v>0</v>
      </c>
    </row>
    <row r="841" spans="1:8" ht="99" customHeight="1">
      <c r="A841" s="78" t="s">
        <v>766</v>
      </c>
      <c r="B841" s="79" t="s">
        <v>367</v>
      </c>
      <c r="C841" s="79" t="s">
        <v>234</v>
      </c>
      <c r="D841" s="75" t="s">
        <v>767</v>
      </c>
      <c r="E841" s="79" t="s">
        <v>206</v>
      </c>
      <c r="F841" s="80">
        <f>F842+F844</f>
        <v>17335.097999999994</v>
      </c>
      <c r="G841" s="80">
        <f t="shared" ref="G841:H841" si="210">G842+G844</f>
        <v>0</v>
      </c>
      <c r="H841" s="80">
        <f t="shared" si="210"/>
        <v>0</v>
      </c>
    </row>
    <row r="842" spans="1:8" ht="31.5" hidden="1" customHeight="1">
      <c r="A842" s="74" t="s">
        <v>242</v>
      </c>
      <c r="B842" s="75" t="s">
        <v>367</v>
      </c>
      <c r="C842" s="75" t="s">
        <v>234</v>
      </c>
      <c r="D842" s="75" t="s">
        <v>767</v>
      </c>
      <c r="E842" s="75" t="s">
        <v>243</v>
      </c>
      <c r="F842" s="76">
        <f>F843</f>
        <v>0</v>
      </c>
      <c r="G842" s="76">
        <f>G843</f>
        <v>0</v>
      </c>
      <c r="H842" s="76">
        <f>H843</f>
        <v>0</v>
      </c>
    </row>
    <row r="843" spans="1:8" ht="47.25" hidden="1" customHeight="1">
      <c r="A843" s="74" t="s">
        <v>244</v>
      </c>
      <c r="B843" s="75" t="s">
        <v>367</v>
      </c>
      <c r="C843" s="75" t="s">
        <v>234</v>
      </c>
      <c r="D843" s="75" t="s">
        <v>767</v>
      </c>
      <c r="E843" s="75" t="s">
        <v>245</v>
      </c>
      <c r="F843" s="76">
        <f>'5'!D242</f>
        <v>0</v>
      </c>
      <c r="G843" s="76">
        <f>'5'!E242</f>
        <v>0</v>
      </c>
      <c r="H843" s="76">
        <f>'5'!F242</f>
        <v>0</v>
      </c>
    </row>
    <row r="844" spans="1:8" ht="33" customHeight="1">
      <c r="A844" s="160" t="s">
        <v>242</v>
      </c>
      <c r="B844" s="75" t="s">
        <v>367</v>
      </c>
      <c r="C844" s="75" t="s">
        <v>234</v>
      </c>
      <c r="D844" s="75" t="s">
        <v>767</v>
      </c>
      <c r="E844" s="75" t="s">
        <v>243</v>
      </c>
      <c r="F844" s="76">
        <f>F845</f>
        <v>17335.097999999994</v>
      </c>
      <c r="G844" s="76">
        <f>G845</f>
        <v>0</v>
      </c>
      <c r="H844" s="76">
        <f>H845</f>
        <v>0</v>
      </c>
    </row>
    <row r="845" spans="1:8" ht="37.5" customHeight="1">
      <c r="A845" s="160" t="s">
        <v>244</v>
      </c>
      <c r="B845" s="75" t="s">
        <v>367</v>
      </c>
      <c r="C845" s="75" t="s">
        <v>234</v>
      </c>
      <c r="D845" s="75" t="s">
        <v>767</v>
      </c>
      <c r="E845" s="75" t="s">
        <v>245</v>
      </c>
      <c r="F845" s="76">
        <f>'5'!D241</f>
        <v>17335.097999999994</v>
      </c>
      <c r="G845" s="76">
        <f>'5'!E241</f>
        <v>0</v>
      </c>
      <c r="H845" s="76">
        <f>'5'!F241</f>
        <v>0</v>
      </c>
    </row>
    <row r="846" spans="1:8" ht="94.5" hidden="1" customHeight="1">
      <c r="A846" s="78" t="s">
        <v>768</v>
      </c>
      <c r="B846" s="75" t="s">
        <v>367</v>
      </c>
      <c r="C846" s="75" t="s">
        <v>234</v>
      </c>
      <c r="D846" s="79" t="s">
        <v>769</v>
      </c>
      <c r="E846" s="79" t="s">
        <v>206</v>
      </c>
      <c r="F846" s="80">
        <f t="shared" ref="F846:H847" si="211">F847</f>
        <v>0</v>
      </c>
      <c r="G846" s="80">
        <f t="shared" si="211"/>
        <v>0</v>
      </c>
      <c r="H846" s="80">
        <f t="shared" si="211"/>
        <v>0</v>
      </c>
    </row>
    <row r="847" spans="1:8" ht="47.25" hidden="1" customHeight="1">
      <c r="A847" s="74" t="s">
        <v>320</v>
      </c>
      <c r="B847" s="75" t="s">
        <v>367</v>
      </c>
      <c r="C847" s="75" t="s">
        <v>234</v>
      </c>
      <c r="D847" s="75" t="s">
        <v>769</v>
      </c>
      <c r="E847" s="75" t="s">
        <v>321</v>
      </c>
      <c r="F847" s="76">
        <f t="shared" si="211"/>
        <v>0</v>
      </c>
      <c r="G847" s="76">
        <f t="shared" si="211"/>
        <v>0</v>
      </c>
      <c r="H847" s="76">
        <f t="shared" si="211"/>
        <v>0</v>
      </c>
    </row>
    <row r="848" spans="1:8" ht="15.75" hidden="1" customHeight="1">
      <c r="A848" s="74" t="s">
        <v>322</v>
      </c>
      <c r="B848" s="75" t="s">
        <v>367</v>
      </c>
      <c r="C848" s="75" t="s">
        <v>234</v>
      </c>
      <c r="D848" s="75" t="s">
        <v>769</v>
      </c>
      <c r="E848" s="75" t="s">
        <v>323</v>
      </c>
      <c r="F848" s="76">
        <f>'5'!D243</f>
        <v>0</v>
      </c>
      <c r="G848" s="76">
        <f>'5'!E243</f>
        <v>0</v>
      </c>
      <c r="H848" s="76">
        <f>'5'!F243</f>
        <v>0</v>
      </c>
    </row>
    <row r="849" spans="1:15" ht="15.75" hidden="1" customHeight="1">
      <c r="A849" s="74"/>
      <c r="B849" s="75"/>
      <c r="C849" s="75"/>
      <c r="D849" s="75"/>
      <c r="E849" s="75"/>
      <c r="F849" s="76"/>
      <c r="G849" s="76"/>
      <c r="H849" s="76"/>
    </row>
    <row r="850" spans="1:15" ht="15.75" hidden="1" customHeight="1">
      <c r="A850" s="74"/>
      <c r="B850" s="75"/>
      <c r="C850" s="75"/>
      <c r="D850" s="75"/>
      <c r="E850" s="75"/>
      <c r="F850" s="76"/>
      <c r="G850" s="76"/>
      <c r="H850" s="76"/>
    </row>
    <row r="851" spans="1:15" ht="15.75" hidden="1" customHeight="1">
      <c r="A851" s="74"/>
      <c r="B851" s="75"/>
      <c r="C851" s="75"/>
      <c r="D851" s="75"/>
      <c r="E851" s="75"/>
      <c r="F851" s="76"/>
      <c r="G851" s="76"/>
      <c r="H851" s="76"/>
    </row>
    <row r="852" spans="1:15" ht="15.75" hidden="1" customHeight="1">
      <c r="A852" s="74"/>
      <c r="B852" s="75"/>
      <c r="C852" s="75"/>
      <c r="D852" s="75"/>
      <c r="E852" s="75"/>
      <c r="F852" s="76"/>
      <c r="G852" s="76"/>
      <c r="H852" s="76"/>
    </row>
    <row r="853" spans="1:15" ht="15.75" hidden="1" customHeight="1">
      <c r="A853" s="74"/>
      <c r="B853" s="75"/>
      <c r="C853" s="75"/>
      <c r="D853" s="75"/>
      <c r="E853" s="75"/>
      <c r="F853" s="76"/>
      <c r="G853" s="76"/>
      <c r="H853" s="76"/>
    </row>
    <row r="854" spans="1:15" ht="114" customHeight="1">
      <c r="A854" s="78" t="s">
        <v>770</v>
      </c>
      <c r="B854" s="79" t="s">
        <v>367</v>
      </c>
      <c r="C854" s="79" t="s">
        <v>234</v>
      </c>
      <c r="D854" s="75" t="s">
        <v>771</v>
      </c>
      <c r="E854" s="79" t="s">
        <v>206</v>
      </c>
      <c r="F854" s="80">
        <f>F855+F857</f>
        <v>22636.36923</v>
      </c>
      <c r="G854" s="80">
        <f t="shared" ref="G854:H854" si="212">G855+G857</f>
        <v>0</v>
      </c>
      <c r="H854" s="80">
        <f t="shared" si="212"/>
        <v>0</v>
      </c>
      <c r="I854" s="73"/>
    </row>
    <row r="855" spans="1:15" ht="37.15" customHeight="1">
      <c r="A855" s="74" t="s">
        <v>223</v>
      </c>
      <c r="B855" s="75" t="s">
        <v>367</v>
      </c>
      <c r="C855" s="75" t="s">
        <v>234</v>
      </c>
      <c r="D855" s="75" t="s">
        <v>771</v>
      </c>
      <c r="E855" s="75" t="s">
        <v>224</v>
      </c>
      <c r="F855" s="76">
        <f>F856</f>
        <v>500</v>
      </c>
      <c r="G855" s="76">
        <f t="shared" ref="G855:H858" si="213">G856</f>
        <v>0</v>
      </c>
      <c r="H855" s="76">
        <f>H856</f>
        <v>0</v>
      </c>
    </row>
    <row r="856" spans="1:15" ht="50.65" customHeight="1">
      <c r="A856" s="74" t="s">
        <v>225</v>
      </c>
      <c r="B856" s="75" t="s">
        <v>367</v>
      </c>
      <c r="C856" s="75" t="s">
        <v>234</v>
      </c>
      <c r="D856" s="75" t="s">
        <v>771</v>
      </c>
      <c r="E856" s="75" t="s">
        <v>226</v>
      </c>
      <c r="F856" s="76">
        <v>500</v>
      </c>
      <c r="G856" s="76">
        <f t="shared" si="213"/>
        <v>0</v>
      </c>
      <c r="H856" s="76">
        <f t="shared" si="213"/>
        <v>0</v>
      </c>
    </row>
    <row r="857" spans="1:15" ht="30.6" customHeight="1">
      <c r="A857" s="74" t="s">
        <v>242</v>
      </c>
      <c r="B857" s="75" t="s">
        <v>367</v>
      </c>
      <c r="C857" s="75" t="s">
        <v>234</v>
      </c>
      <c r="D857" s="75" t="s">
        <v>771</v>
      </c>
      <c r="E857" s="75" t="s">
        <v>243</v>
      </c>
      <c r="F857" s="76">
        <f>F858+F859</f>
        <v>22136.36923</v>
      </c>
      <c r="G857" s="76">
        <f t="shared" si="213"/>
        <v>0</v>
      </c>
      <c r="H857" s="76">
        <f t="shared" si="213"/>
        <v>0</v>
      </c>
    </row>
    <row r="858" spans="1:15" ht="31.15" customHeight="1">
      <c r="A858" s="74" t="s">
        <v>630</v>
      </c>
      <c r="B858" s="75" t="s">
        <v>367</v>
      </c>
      <c r="C858" s="75" t="s">
        <v>234</v>
      </c>
      <c r="D858" s="75" t="s">
        <v>771</v>
      </c>
      <c r="E858" s="75" t="s">
        <v>631</v>
      </c>
      <c r="F858" s="76">
        <f>19896.28209+25.08714</f>
        <v>19921.36923</v>
      </c>
      <c r="G858" s="76">
        <f t="shared" si="213"/>
        <v>0</v>
      </c>
      <c r="H858" s="76">
        <f t="shared" si="213"/>
        <v>0</v>
      </c>
    </row>
    <row r="859" spans="1:15" ht="39" customHeight="1">
      <c r="A859" s="74" t="s">
        <v>244</v>
      </c>
      <c r="B859" s="75" t="s">
        <v>367</v>
      </c>
      <c r="C859" s="75" t="s">
        <v>234</v>
      </c>
      <c r="D859" s="75" t="s">
        <v>771</v>
      </c>
      <c r="E859" s="75" t="s">
        <v>245</v>
      </c>
      <c r="F859" s="76">
        <v>2215</v>
      </c>
      <c r="G859" s="76">
        <f>'5'!E239</f>
        <v>0</v>
      </c>
      <c r="H859" s="76">
        <f>'5'!F239</f>
        <v>0</v>
      </c>
    </row>
    <row r="860" spans="1:15" ht="94.5" hidden="1" customHeight="1">
      <c r="A860" s="132" t="s">
        <v>772</v>
      </c>
      <c r="B860" s="127" t="s">
        <v>367</v>
      </c>
      <c r="C860" s="127" t="s">
        <v>234</v>
      </c>
      <c r="D860" s="71" t="s">
        <v>773</v>
      </c>
      <c r="E860" s="127" t="s">
        <v>206</v>
      </c>
      <c r="F860" s="129"/>
      <c r="G860" s="129"/>
      <c r="H860" s="129"/>
    </row>
    <row r="861" spans="1:15" ht="31.5" hidden="1" customHeight="1">
      <c r="A861" s="70" t="s">
        <v>223</v>
      </c>
      <c r="B861" s="71" t="s">
        <v>367</v>
      </c>
      <c r="C861" s="71" t="s">
        <v>234</v>
      </c>
      <c r="D861" s="71" t="s">
        <v>773</v>
      </c>
      <c r="E861" s="71" t="s">
        <v>224</v>
      </c>
      <c r="F861" s="72"/>
      <c r="G861" s="72"/>
      <c r="H861" s="72"/>
    </row>
    <row r="862" spans="1:15" ht="47.25" hidden="1" customHeight="1">
      <c r="A862" s="70" t="s">
        <v>225</v>
      </c>
      <c r="B862" s="71" t="s">
        <v>367</v>
      </c>
      <c r="C862" s="71" t="s">
        <v>234</v>
      </c>
      <c r="D862" s="71" t="s">
        <v>773</v>
      </c>
      <c r="E862" s="71" t="s">
        <v>226</v>
      </c>
      <c r="F862" s="72"/>
      <c r="G862" s="72"/>
      <c r="H862" s="72"/>
    </row>
    <row r="863" spans="1:15" ht="31.5" hidden="1" customHeight="1">
      <c r="A863" s="70" t="s">
        <v>242</v>
      </c>
      <c r="B863" s="71" t="s">
        <v>367</v>
      </c>
      <c r="C863" s="71" t="s">
        <v>234</v>
      </c>
      <c r="D863" s="71" t="s">
        <v>773</v>
      </c>
      <c r="E863" s="71" t="s">
        <v>243</v>
      </c>
      <c r="F863" s="72"/>
      <c r="G863" s="72"/>
      <c r="H863" s="72"/>
    </row>
    <row r="864" spans="1:15" ht="31.5" hidden="1" customHeight="1">
      <c r="A864" s="70" t="s">
        <v>630</v>
      </c>
      <c r="B864" s="71" t="s">
        <v>367</v>
      </c>
      <c r="C864" s="71" t="s">
        <v>234</v>
      </c>
      <c r="D864" s="71" t="s">
        <v>773</v>
      </c>
      <c r="E864" s="71" t="s">
        <v>631</v>
      </c>
      <c r="F864" s="72"/>
      <c r="G864" s="72"/>
      <c r="H864" s="72"/>
      <c r="O864" s="77"/>
    </row>
    <row r="865" spans="1:15" s="77" customFormat="1" ht="63">
      <c r="A865" s="104" t="s">
        <v>774</v>
      </c>
      <c r="B865" s="105" t="s">
        <v>367</v>
      </c>
      <c r="C865" s="105" t="s">
        <v>234</v>
      </c>
      <c r="D865" s="105" t="s">
        <v>775</v>
      </c>
      <c r="E865" s="105" t="s">
        <v>206</v>
      </c>
      <c r="F865" s="106">
        <f>F870+F866</f>
        <v>2039.3089499999999</v>
      </c>
      <c r="G865" s="106">
        <f t="shared" ref="G865:H865" si="214">G870+G866</f>
        <v>1652.9814337095372</v>
      </c>
      <c r="H865" s="106">
        <f t="shared" si="214"/>
        <v>2206.234999379883</v>
      </c>
      <c r="O865" s="50"/>
    </row>
    <row r="866" spans="1:15" ht="63">
      <c r="A866" s="161" t="s">
        <v>776</v>
      </c>
      <c r="B866" s="75" t="s">
        <v>367</v>
      </c>
      <c r="C866" s="75" t="s">
        <v>234</v>
      </c>
      <c r="D866" s="75" t="s">
        <v>777</v>
      </c>
      <c r="E866" s="75" t="s">
        <v>206</v>
      </c>
      <c r="F866" s="76">
        <f t="shared" ref="F866:H867" si="215">F867</f>
        <v>1018.1385399999999</v>
      </c>
      <c r="G866" s="76">
        <f t="shared" si="215"/>
        <v>1332.7989299999999</v>
      </c>
      <c r="H866" s="76">
        <f t="shared" si="215"/>
        <v>1778.8872799999997</v>
      </c>
    </row>
    <row r="867" spans="1:15" ht="31.5">
      <c r="A867" s="161" t="s">
        <v>242</v>
      </c>
      <c r="B867" s="75" t="s">
        <v>367</v>
      </c>
      <c r="C867" s="75" t="s">
        <v>234</v>
      </c>
      <c r="D867" s="75" t="s">
        <v>777</v>
      </c>
      <c r="E867" s="75" t="s">
        <v>243</v>
      </c>
      <c r="F867" s="76">
        <f t="shared" si="215"/>
        <v>1018.1385399999999</v>
      </c>
      <c r="G867" s="76">
        <f t="shared" si="215"/>
        <v>1332.7989299999999</v>
      </c>
      <c r="H867" s="76">
        <f t="shared" si="215"/>
        <v>1778.8872799999997</v>
      </c>
    </row>
    <row r="868" spans="1:15" ht="47.25">
      <c r="A868" s="74" t="s">
        <v>244</v>
      </c>
      <c r="B868" s="75" t="s">
        <v>367</v>
      </c>
      <c r="C868" s="75" t="s">
        <v>234</v>
      </c>
      <c r="D868" s="75" t="s">
        <v>777</v>
      </c>
      <c r="E868" s="75" t="s">
        <v>245</v>
      </c>
      <c r="F868" s="76">
        <f>'5'!D250</f>
        <v>1018.1385399999999</v>
      </c>
      <c r="G868" s="76">
        <f>'5'!E250</f>
        <v>1332.7989299999999</v>
      </c>
      <c r="H868" s="76">
        <f>'5'!F250</f>
        <v>1778.8872799999997</v>
      </c>
    </row>
    <row r="869" spans="1:15" ht="63">
      <c r="A869" s="161" t="s">
        <v>778</v>
      </c>
      <c r="B869" s="75" t="s">
        <v>367</v>
      </c>
      <c r="C869" s="75" t="s">
        <v>234</v>
      </c>
      <c r="D869" s="75" t="s">
        <v>777</v>
      </c>
      <c r="E869" s="75" t="s">
        <v>206</v>
      </c>
      <c r="F869" s="76">
        <f t="shared" ref="F869:H870" si="216">F870</f>
        <v>1021.1704099999999</v>
      </c>
      <c r="G869" s="76">
        <f t="shared" si="216"/>
        <v>320.1825037095374</v>
      </c>
      <c r="H869" s="76">
        <f t="shared" si="216"/>
        <v>427.34771937988342</v>
      </c>
    </row>
    <row r="870" spans="1:15" ht="31.5">
      <c r="A870" s="161" t="s">
        <v>242</v>
      </c>
      <c r="B870" s="75" t="s">
        <v>367</v>
      </c>
      <c r="C870" s="75" t="s">
        <v>234</v>
      </c>
      <c r="D870" s="75" t="s">
        <v>777</v>
      </c>
      <c r="E870" s="75" t="s">
        <v>243</v>
      </c>
      <c r="F870" s="76">
        <f t="shared" si="216"/>
        <v>1021.1704099999999</v>
      </c>
      <c r="G870" s="76">
        <f t="shared" si="216"/>
        <v>320.1825037095374</v>
      </c>
      <c r="H870" s="76">
        <f t="shared" si="216"/>
        <v>427.34771937988342</v>
      </c>
    </row>
    <row r="871" spans="1:15" ht="34.5" customHeight="1">
      <c r="A871" s="74" t="s">
        <v>244</v>
      </c>
      <c r="B871" s="75" t="s">
        <v>367</v>
      </c>
      <c r="C871" s="75" t="s">
        <v>234</v>
      </c>
      <c r="D871" s="75" t="s">
        <v>777</v>
      </c>
      <c r="E871" s="75" t="s">
        <v>245</v>
      </c>
      <c r="F871" s="76">
        <f>'5'!D251</f>
        <v>1021.1704099999999</v>
      </c>
      <c r="G871" s="76">
        <f>'5'!E251</f>
        <v>320.1825037095374</v>
      </c>
      <c r="H871" s="76">
        <f>'5'!F251</f>
        <v>427.34771937988342</v>
      </c>
      <c r="O871" s="99"/>
    </row>
    <row r="872" spans="1:15" s="99" customFormat="1" ht="47.25">
      <c r="A872" s="100" t="s">
        <v>209</v>
      </c>
      <c r="B872" s="101" t="s">
        <v>367</v>
      </c>
      <c r="C872" s="101" t="s">
        <v>234</v>
      </c>
      <c r="D872" s="101" t="s">
        <v>212</v>
      </c>
      <c r="E872" s="101" t="s">
        <v>206</v>
      </c>
      <c r="F872" s="29">
        <f>F873</f>
        <v>0</v>
      </c>
      <c r="G872" s="29">
        <f t="shared" ref="G872:H872" si="217">G873</f>
        <v>46546.357049999999</v>
      </c>
      <c r="H872" s="29">
        <f t="shared" si="217"/>
        <v>49351.099249999999</v>
      </c>
      <c r="O872" s="50"/>
    </row>
    <row r="873" spans="1:15" ht="47.25">
      <c r="A873" s="78" t="s">
        <v>211</v>
      </c>
      <c r="B873" s="79" t="s">
        <v>367</v>
      </c>
      <c r="C873" s="79" t="s">
        <v>234</v>
      </c>
      <c r="D873" s="79" t="s">
        <v>212</v>
      </c>
      <c r="E873" s="79" t="s">
        <v>206</v>
      </c>
      <c r="F873" s="80">
        <f>F874+F877+F880</f>
        <v>0</v>
      </c>
      <c r="G873" s="80">
        <f>G874+G877+G880</f>
        <v>46546.357049999999</v>
      </c>
      <c r="H873" s="80">
        <f>H874+H877+H880</f>
        <v>49351.099249999999</v>
      </c>
      <c r="O873" s="77"/>
    </row>
    <row r="874" spans="1:15" s="77" customFormat="1" ht="78.75">
      <c r="A874" s="78" t="s">
        <v>779</v>
      </c>
      <c r="B874" s="79" t="s">
        <v>367</v>
      </c>
      <c r="C874" s="79" t="s">
        <v>234</v>
      </c>
      <c r="D874" s="79" t="s">
        <v>305</v>
      </c>
      <c r="E874" s="79" t="s">
        <v>206</v>
      </c>
      <c r="F874" s="80">
        <f t="shared" ref="F874:F878" si="218">F875</f>
        <v>0</v>
      </c>
      <c r="G874" s="80">
        <f t="shared" ref="G874:H878" si="219">G875</f>
        <v>20890.3344</v>
      </c>
      <c r="H874" s="80">
        <f>H875</f>
        <v>20890.3344</v>
      </c>
      <c r="O874" s="50"/>
    </row>
    <row r="875" spans="1:15" ht="47.25">
      <c r="A875" s="74" t="s">
        <v>320</v>
      </c>
      <c r="B875" s="79" t="s">
        <v>367</v>
      </c>
      <c r="C875" s="79" t="s">
        <v>234</v>
      </c>
      <c r="D875" s="75" t="s">
        <v>305</v>
      </c>
      <c r="E875" s="75" t="s">
        <v>321</v>
      </c>
      <c r="F875" s="76">
        <f t="shared" si="218"/>
        <v>0</v>
      </c>
      <c r="G875" s="76">
        <f t="shared" si="219"/>
        <v>20890.3344</v>
      </c>
      <c r="H875" s="76">
        <f t="shared" si="219"/>
        <v>20890.3344</v>
      </c>
    </row>
    <row r="876" spans="1:15">
      <c r="A876" s="74" t="s">
        <v>322</v>
      </c>
      <c r="B876" s="79" t="s">
        <v>367</v>
      </c>
      <c r="C876" s="79" t="s">
        <v>234</v>
      </c>
      <c r="D876" s="75" t="s">
        <v>305</v>
      </c>
      <c r="E876" s="75" t="s">
        <v>323</v>
      </c>
      <c r="F876" s="76">
        <v>0</v>
      </c>
      <c r="G876" s="76">
        <v>20890.3344</v>
      </c>
      <c r="H876" s="76">
        <v>20890.3344</v>
      </c>
      <c r="O876" s="77"/>
    </row>
    <row r="877" spans="1:15" s="77" customFormat="1" ht="94.5" hidden="1">
      <c r="A877" s="78" t="s">
        <v>780</v>
      </c>
      <c r="B877" s="79" t="s">
        <v>367</v>
      </c>
      <c r="C877" s="79" t="s">
        <v>234</v>
      </c>
      <c r="D877" s="79" t="s">
        <v>306</v>
      </c>
      <c r="E877" s="79" t="s">
        <v>206</v>
      </c>
      <c r="F877" s="80">
        <f t="shared" si="218"/>
        <v>0</v>
      </c>
      <c r="G877" s="80">
        <f t="shared" si="219"/>
        <v>0</v>
      </c>
      <c r="H877" s="80">
        <f t="shared" si="219"/>
        <v>0</v>
      </c>
      <c r="O877" s="50"/>
    </row>
    <row r="878" spans="1:15" ht="47.25" hidden="1">
      <c r="A878" s="74" t="s">
        <v>320</v>
      </c>
      <c r="B878" s="75" t="s">
        <v>367</v>
      </c>
      <c r="C878" s="75" t="s">
        <v>234</v>
      </c>
      <c r="D878" s="75" t="s">
        <v>306</v>
      </c>
      <c r="E878" s="75" t="s">
        <v>321</v>
      </c>
      <c r="F878" s="76">
        <f t="shared" si="218"/>
        <v>0</v>
      </c>
      <c r="G878" s="76">
        <f t="shared" si="219"/>
        <v>0</v>
      </c>
      <c r="H878" s="76">
        <f t="shared" si="219"/>
        <v>0</v>
      </c>
    </row>
    <row r="879" spans="1:15" hidden="1">
      <c r="A879" s="74" t="s">
        <v>322</v>
      </c>
      <c r="B879" s="75" t="s">
        <v>367</v>
      </c>
      <c r="C879" s="75" t="s">
        <v>234</v>
      </c>
      <c r="D879" s="75" t="s">
        <v>306</v>
      </c>
      <c r="E879" s="75" t="s">
        <v>323</v>
      </c>
      <c r="F879" s="76">
        <v>0</v>
      </c>
      <c r="G879" s="76">
        <v>0</v>
      </c>
      <c r="H879" s="76">
        <v>0</v>
      </c>
      <c r="O879" s="77"/>
    </row>
    <row r="880" spans="1:15" s="77" customFormat="1" ht="110.25">
      <c r="A880" s="78" t="s">
        <v>770</v>
      </c>
      <c r="B880" s="79" t="s">
        <v>367</v>
      </c>
      <c r="C880" s="79" t="s">
        <v>234</v>
      </c>
      <c r="D880" s="79" t="s">
        <v>781</v>
      </c>
      <c r="E880" s="79" t="s">
        <v>206</v>
      </c>
      <c r="F880" s="80">
        <f>F881+F883</f>
        <v>0</v>
      </c>
      <c r="G880" s="80">
        <f>G881+G883</f>
        <v>25656.022649999999</v>
      </c>
      <c r="H880" s="80">
        <f>H881+H883</f>
        <v>28460.76485</v>
      </c>
      <c r="O880" s="50"/>
    </row>
    <row r="881" spans="1:15" ht="31.5">
      <c r="A881" s="74" t="s">
        <v>223</v>
      </c>
      <c r="B881" s="75" t="s">
        <v>367</v>
      </c>
      <c r="C881" s="75" t="s">
        <v>234</v>
      </c>
      <c r="D881" s="75" t="s">
        <v>781</v>
      </c>
      <c r="E881" s="75" t="s">
        <v>224</v>
      </c>
      <c r="F881" s="76">
        <f>F882</f>
        <v>0</v>
      </c>
      <c r="G881" s="76">
        <f t="shared" ref="G881:H881" si="220">G882</f>
        <v>700</v>
      </c>
      <c r="H881" s="76">
        <f t="shared" si="220"/>
        <v>700</v>
      </c>
    </row>
    <row r="882" spans="1:15" ht="47.25">
      <c r="A882" s="74" t="s">
        <v>225</v>
      </c>
      <c r="B882" s="75" t="s">
        <v>367</v>
      </c>
      <c r="C882" s="75" t="s">
        <v>234</v>
      </c>
      <c r="D882" s="75" t="s">
        <v>781</v>
      </c>
      <c r="E882" s="75" t="s">
        <v>226</v>
      </c>
      <c r="F882" s="76">
        <v>0</v>
      </c>
      <c r="G882" s="76">
        <v>700</v>
      </c>
      <c r="H882" s="76">
        <v>700</v>
      </c>
    </row>
    <row r="883" spans="1:15" ht="31.5">
      <c r="A883" s="74" t="s">
        <v>242</v>
      </c>
      <c r="B883" s="75" t="s">
        <v>367</v>
      </c>
      <c r="C883" s="75" t="s">
        <v>234</v>
      </c>
      <c r="D883" s="75" t="s">
        <v>781</v>
      </c>
      <c r="E883" s="75" t="s">
        <v>243</v>
      </c>
      <c r="F883" s="76">
        <f>F884+F885</f>
        <v>0</v>
      </c>
      <c r="G883" s="76">
        <f>G884+G885</f>
        <v>24956.022649999999</v>
      </c>
      <c r="H883" s="76">
        <f>H884+H885</f>
        <v>27760.76485</v>
      </c>
    </row>
    <row r="884" spans="1:15" ht="31.5">
      <c r="A884" s="74" t="s">
        <v>630</v>
      </c>
      <c r="B884" s="75" t="s">
        <v>367</v>
      </c>
      <c r="C884" s="75" t="s">
        <v>234</v>
      </c>
      <c r="D884" s="75" t="s">
        <v>781</v>
      </c>
      <c r="E884" s="75" t="s">
        <v>631</v>
      </c>
      <c r="F884" s="76">
        <v>0</v>
      </c>
      <c r="G884" s="76">
        <f>23258.98636-652.96371</f>
        <v>22606.022649999999</v>
      </c>
      <c r="H884" s="76">
        <f>26542.45163-1281.68678</f>
        <v>25260.76485</v>
      </c>
    </row>
    <row r="885" spans="1:15" ht="36.75" customHeight="1">
      <c r="A885" s="74" t="s">
        <v>244</v>
      </c>
      <c r="B885" s="75" t="s">
        <v>367</v>
      </c>
      <c r="C885" s="75" t="s">
        <v>234</v>
      </c>
      <c r="D885" s="75" t="s">
        <v>781</v>
      </c>
      <c r="E885" s="75" t="s">
        <v>245</v>
      </c>
      <c r="F885" s="76">
        <v>0</v>
      </c>
      <c r="G885" s="76">
        <v>2350</v>
      </c>
      <c r="H885" s="76">
        <v>2500</v>
      </c>
    </row>
    <row r="886" spans="1:15" ht="30.75" customHeight="1">
      <c r="A886" s="162" t="s">
        <v>782</v>
      </c>
      <c r="B886" s="163" t="s">
        <v>367</v>
      </c>
      <c r="C886" s="163" t="s">
        <v>239</v>
      </c>
      <c r="D886" s="163" t="s">
        <v>783</v>
      </c>
      <c r="E886" s="163" t="s">
        <v>206</v>
      </c>
      <c r="F886" s="164">
        <f>F888</f>
        <v>2610.29</v>
      </c>
      <c r="G886" s="164">
        <f t="shared" ref="G886:H886" si="221">G888</f>
        <v>2717.473</v>
      </c>
      <c r="H886" s="164">
        <f t="shared" si="221"/>
        <v>2819.8680000000004</v>
      </c>
      <c r="O886" s="165"/>
    </row>
    <row r="887" spans="1:15" s="165" customFormat="1" ht="51" customHeight="1">
      <c r="A887" s="100" t="s">
        <v>209</v>
      </c>
      <c r="B887" s="101" t="s">
        <v>367</v>
      </c>
      <c r="C887" s="101" t="s">
        <v>239</v>
      </c>
      <c r="D887" s="101" t="s">
        <v>210</v>
      </c>
      <c r="E887" s="101" t="s">
        <v>206</v>
      </c>
      <c r="F887" s="102">
        <f>F888</f>
        <v>2610.29</v>
      </c>
      <c r="G887" s="102">
        <f t="shared" ref="G887:H887" si="222">G888</f>
        <v>2717.473</v>
      </c>
      <c r="H887" s="102">
        <f t="shared" si="222"/>
        <v>2819.8680000000004</v>
      </c>
    </row>
    <row r="888" spans="1:15" s="165" customFormat="1" ht="83.25" customHeight="1">
      <c r="A888" s="78" t="s">
        <v>672</v>
      </c>
      <c r="B888" s="101" t="s">
        <v>367</v>
      </c>
      <c r="C888" s="101" t="s">
        <v>239</v>
      </c>
      <c r="D888" s="79" t="s">
        <v>673</v>
      </c>
      <c r="E888" s="79" t="s">
        <v>206</v>
      </c>
      <c r="F888" s="80">
        <f>F889+F891</f>
        <v>2610.29</v>
      </c>
      <c r="G888" s="80">
        <f t="shared" ref="G888:H888" si="223">G889+G891</f>
        <v>2717.473</v>
      </c>
      <c r="H888" s="80">
        <f t="shared" si="223"/>
        <v>2819.8680000000004</v>
      </c>
    </row>
    <row r="889" spans="1:15" s="165" customFormat="1" ht="105.75" customHeight="1">
      <c r="A889" s="74" t="s">
        <v>215</v>
      </c>
      <c r="B889" s="101" t="s">
        <v>367</v>
      </c>
      <c r="C889" s="101" t="s">
        <v>239</v>
      </c>
      <c r="D889" s="75" t="s">
        <v>673</v>
      </c>
      <c r="E889" s="75" t="s">
        <v>216</v>
      </c>
      <c r="F889" s="76">
        <f>F890</f>
        <v>2314.6950000000002</v>
      </c>
      <c r="G889" s="76">
        <f>G890</f>
        <v>2314.6959999999999</v>
      </c>
      <c r="H889" s="76">
        <f>H890</f>
        <v>2314.6950000000002</v>
      </c>
      <c r="O889" s="50"/>
    </row>
    <row r="890" spans="1:15" ht="32.25" customHeight="1">
      <c r="A890" s="74" t="s">
        <v>217</v>
      </c>
      <c r="B890" s="101" t="s">
        <v>367</v>
      </c>
      <c r="C890" s="101" t="s">
        <v>239</v>
      </c>
      <c r="D890" s="75" t="s">
        <v>673</v>
      </c>
      <c r="E890" s="75" t="s">
        <v>218</v>
      </c>
      <c r="F890" s="76">
        <f>2163.38+151.315</f>
        <v>2314.6950000000002</v>
      </c>
      <c r="G890" s="76">
        <f>2163.381+151.315</f>
        <v>2314.6959999999999</v>
      </c>
      <c r="H890" s="76">
        <f>2163.38+151.315</f>
        <v>2314.6950000000002</v>
      </c>
    </row>
    <row r="891" spans="1:15" ht="40.15" customHeight="1">
      <c r="A891" s="74" t="s">
        <v>223</v>
      </c>
      <c r="B891" s="101" t="s">
        <v>367</v>
      </c>
      <c r="C891" s="101" t="s">
        <v>239</v>
      </c>
      <c r="D891" s="75" t="s">
        <v>673</v>
      </c>
      <c r="E891" s="75" t="s">
        <v>224</v>
      </c>
      <c r="F891" s="76">
        <f>F892</f>
        <v>295.59500000000003</v>
      </c>
      <c r="G891" s="76">
        <f>G892</f>
        <v>402.77699999999993</v>
      </c>
      <c r="H891" s="76">
        <f>H892</f>
        <v>505.173</v>
      </c>
    </row>
    <row r="892" spans="1:15" ht="55.5" customHeight="1">
      <c r="A892" s="74" t="s">
        <v>225</v>
      </c>
      <c r="B892" s="101" t="s">
        <v>367</v>
      </c>
      <c r="C892" s="101" t="s">
        <v>239</v>
      </c>
      <c r="D892" s="75" t="s">
        <v>673</v>
      </c>
      <c r="E892" s="75" t="s">
        <v>226</v>
      </c>
      <c r="F892" s="76">
        <f>443.757-148.162</f>
        <v>295.59500000000003</v>
      </c>
      <c r="G892" s="76">
        <f>541.737-138.96</f>
        <v>402.77699999999993</v>
      </c>
      <c r="H892" s="76">
        <f>101.902+541.737-138.466</f>
        <v>505.173</v>
      </c>
      <c r="O892" s="99"/>
    </row>
    <row r="893" spans="1:15" s="99" customFormat="1" ht="19.149999999999999" customHeight="1">
      <c r="A893" s="117" t="s">
        <v>784</v>
      </c>
      <c r="B893" s="62" t="s">
        <v>250</v>
      </c>
      <c r="C893" s="62" t="s">
        <v>204</v>
      </c>
      <c r="D893" s="62" t="s">
        <v>205</v>
      </c>
      <c r="E893" s="62" t="s">
        <v>206</v>
      </c>
      <c r="F893" s="63">
        <f>F894</f>
        <v>366.25202999999999</v>
      </c>
      <c r="G893" s="63">
        <f t="shared" ref="G893:H893" si="224">G894</f>
        <v>250</v>
      </c>
      <c r="H893" s="63">
        <f t="shared" si="224"/>
        <v>300</v>
      </c>
      <c r="I893" s="131"/>
      <c r="J893" s="131"/>
      <c r="K893" s="131"/>
      <c r="O893" s="50"/>
    </row>
    <row r="894" spans="1:15" ht="15.75" customHeight="1">
      <c r="A894" s="66" t="s">
        <v>785</v>
      </c>
      <c r="B894" s="67" t="s">
        <v>250</v>
      </c>
      <c r="C894" s="67" t="s">
        <v>208</v>
      </c>
      <c r="D894" s="67" t="s">
        <v>205</v>
      </c>
      <c r="E894" s="67" t="s">
        <v>206</v>
      </c>
      <c r="F894" s="68">
        <f>F896+F937+F940+F951+F954</f>
        <v>366.25202999999999</v>
      </c>
      <c r="G894" s="68">
        <f t="shared" ref="G894:H894" si="225">G896+G937+G940+G951+G954</f>
        <v>250</v>
      </c>
      <c r="H894" s="68">
        <f t="shared" si="225"/>
        <v>300</v>
      </c>
    </row>
    <row r="895" spans="1:15" ht="53.25" customHeight="1">
      <c r="A895" s="78" t="s">
        <v>786</v>
      </c>
      <c r="B895" s="79" t="s">
        <v>250</v>
      </c>
      <c r="C895" s="79" t="s">
        <v>208</v>
      </c>
      <c r="D895" s="79" t="s">
        <v>787</v>
      </c>
      <c r="E895" s="79" t="s">
        <v>206</v>
      </c>
      <c r="F895" s="80">
        <f>F896+F916+F925+F929+F936+F943+F950</f>
        <v>366.25202999999999</v>
      </c>
      <c r="G895" s="80">
        <f>G896+G916+G925+G929+G936+G943</f>
        <v>250</v>
      </c>
      <c r="H895" s="80">
        <f>H896+H916+H925+H929+H936+H943</f>
        <v>300</v>
      </c>
    </row>
    <row r="896" spans="1:15" ht="36" customHeight="1">
      <c r="A896" s="74" t="s">
        <v>788</v>
      </c>
      <c r="B896" s="75" t="s">
        <v>250</v>
      </c>
      <c r="C896" s="75" t="s">
        <v>208</v>
      </c>
      <c r="D896" s="75" t="s">
        <v>789</v>
      </c>
      <c r="E896" s="75" t="s">
        <v>206</v>
      </c>
      <c r="F896" s="76">
        <f>F897+F914</f>
        <v>250</v>
      </c>
      <c r="G896" s="76">
        <f>G897+G914</f>
        <v>250</v>
      </c>
      <c r="H896" s="76">
        <f>H897+H914</f>
        <v>300</v>
      </c>
    </row>
    <row r="897" spans="1:8" ht="39.75" customHeight="1">
      <c r="A897" s="74" t="s">
        <v>223</v>
      </c>
      <c r="B897" s="75" t="s">
        <v>250</v>
      </c>
      <c r="C897" s="75" t="s">
        <v>208</v>
      </c>
      <c r="D897" s="75" t="s">
        <v>789</v>
      </c>
      <c r="E897" s="75" t="s">
        <v>224</v>
      </c>
      <c r="F897" s="76">
        <f>F898</f>
        <v>250</v>
      </c>
      <c r="G897" s="76">
        <f>G898</f>
        <v>250</v>
      </c>
      <c r="H897" s="76">
        <f>H898</f>
        <v>300</v>
      </c>
    </row>
    <row r="898" spans="1:8" ht="52.5" customHeight="1">
      <c r="A898" s="74" t="s">
        <v>225</v>
      </c>
      <c r="B898" s="75" t="s">
        <v>250</v>
      </c>
      <c r="C898" s="75" t="s">
        <v>208</v>
      </c>
      <c r="D898" s="75" t="s">
        <v>789</v>
      </c>
      <c r="E898" s="75" t="s">
        <v>226</v>
      </c>
      <c r="F898" s="76">
        <f>'5'!D130</f>
        <v>250</v>
      </c>
      <c r="G898" s="76">
        <f>'5'!E130</f>
        <v>250</v>
      </c>
      <c r="H898" s="76">
        <f>'5'!F130</f>
        <v>300</v>
      </c>
    </row>
    <row r="899" spans="1:8" ht="47.25" hidden="1" customHeight="1">
      <c r="A899" s="100" t="s">
        <v>790</v>
      </c>
      <c r="B899" s="75" t="s">
        <v>250</v>
      </c>
      <c r="C899" s="75" t="s">
        <v>208</v>
      </c>
      <c r="D899" s="75" t="s">
        <v>789</v>
      </c>
      <c r="E899" s="101" t="s">
        <v>206</v>
      </c>
      <c r="F899" s="102"/>
      <c r="G899" s="102"/>
      <c r="H899" s="102"/>
    </row>
    <row r="900" spans="1:8" ht="78.75" hidden="1" customHeight="1">
      <c r="A900" s="78" t="s">
        <v>791</v>
      </c>
      <c r="B900" s="75" t="s">
        <v>250</v>
      </c>
      <c r="C900" s="75" t="s">
        <v>208</v>
      </c>
      <c r="D900" s="75" t="s">
        <v>789</v>
      </c>
      <c r="E900" s="79" t="s">
        <v>206</v>
      </c>
      <c r="F900" s="80"/>
      <c r="G900" s="80"/>
      <c r="H900" s="80"/>
    </row>
    <row r="901" spans="1:8" ht="31.5" hidden="1" customHeight="1">
      <c r="A901" s="74" t="s">
        <v>223</v>
      </c>
      <c r="B901" s="75" t="s">
        <v>250</v>
      </c>
      <c r="C901" s="75" t="s">
        <v>208</v>
      </c>
      <c r="D901" s="75" t="s">
        <v>789</v>
      </c>
      <c r="E901" s="75" t="s">
        <v>224</v>
      </c>
      <c r="F901" s="76"/>
      <c r="G901" s="76"/>
      <c r="H901" s="76"/>
    </row>
    <row r="902" spans="1:8" ht="63" hidden="1" customHeight="1">
      <c r="A902" s="74" t="s">
        <v>792</v>
      </c>
      <c r="B902" s="75" t="s">
        <v>250</v>
      </c>
      <c r="C902" s="75" t="s">
        <v>208</v>
      </c>
      <c r="D902" s="75" t="s">
        <v>789</v>
      </c>
      <c r="E902" s="75" t="s">
        <v>226</v>
      </c>
      <c r="F902" s="76"/>
      <c r="G902" s="76"/>
      <c r="H902" s="76"/>
    </row>
    <row r="903" spans="1:8" ht="47.25" hidden="1" customHeight="1">
      <c r="A903" s="74" t="s">
        <v>320</v>
      </c>
      <c r="B903" s="75" t="s">
        <v>250</v>
      </c>
      <c r="C903" s="75" t="s">
        <v>208</v>
      </c>
      <c r="D903" s="75" t="s">
        <v>789</v>
      </c>
      <c r="E903" s="75" t="s">
        <v>321</v>
      </c>
      <c r="F903" s="76"/>
      <c r="G903" s="76"/>
      <c r="H903" s="76"/>
    </row>
    <row r="904" spans="1:8" ht="15.75" hidden="1" customHeight="1">
      <c r="A904" s="74" t="s">
        <v>322</v>
      </c>
      <c r="B904" s="75" t="s">
        <v>250</v>
      </c>
      <c r="C904" s="75" t="s">
        <v>208</v>
      </c>
      <c r="D904" s="75" t="s">
        <v>789</v>
      </c>
      <c r="E904" s="75" t="s">
        <v>323</v>
      </c>
      <c r="F904" s="76"/>
      <c r="G904" s="76"/>
      <c r="H904" s="76"/>
    </row>
    <row r="905" spans="1:8" ht="47.25" hidden="1" customHeight="1">
      <c r="A905" s="74" t="s">
        <v>793</v>
      </c>
      <c r="B905" s="75" t="s">
        <v>250</v>
      </c>
      <c r="C905" s="75" t="s">
        <v>208</v>
      </c>
      <c r="D905" s="75" t="s">
        <v>789</v>
      </c>
      <c r="E905" s="75" t="s">
        <v>283</v>
      </c>
      <c r="F905" s="76"/>
      <c r="G905" s="76"/>
      <c r="H905" s="76"/>
    </row>
    <row r="906" spans="1:8" ht="15.75" hidden="1" customHeight="1">
      <c r="A906" s="74" t="s">
        <v>504</v>
      </c>
      <c r="B906" s="75" t="s">
        <v>250</v>
      </c>
      <c r="C906" s="75" t="s">
        <v>208</v>
      </c>
      <c r="D906" s="75" t="s">
        <v>789</v>
      </c>
      <c r="E906" s="75" t="s">
        <v>499</v>
      </c>
      <c r="F906" s="76"/>
      <c r="G906" s="76"/>
      <c r="H906" s="76"/>
    </row>
    <row r="907" spans="1:8" ht="110.25" hidden="1" customHeight="1">
      <c r="A907" s="78" t="s">
        <v>794</v>
      </c>
      <c r="B907" s="75" t="s">
        <v>250</v>
      </c>
      <c r="C907" s="75" t="s">
        <v>208</v>
      </c>
      <c r="D907" s="75" t="s">
        <v>789</v>
      </c>
      <c r="E907" s="79" t="s">
        <v>206</v>
      </c>
      <c r="F907" s="80"/>
      <c r="G907" s="80"/>
      <c r="H907" s="80"/>
    </row>
    <row r="908" spans="1:8" ht="31.5" hidden="1" customHeight="1">
      <c r="A908" s="74" t="s">
        <v>223</v>
      </c>
      <c r="B908" s="75" t="s">
        <v>250</v>
      </c>
      <c r="C908" s="75" t="s">
        <v>208</v>
      </c>
      <c r="D908" s="75" t="s">
        <v>789</v>
      </c>
      <c r="E908" s="75" t="s">
        <v>224</v>
      </c>
      <c r="F908" s="76"/>
      <c r="G908" s="76"/>
      <c r="H908" s="76"/>
    </row>
    <row r="909" spans="1:8" ht="63" hidden="1" customHeight="1">
      <c r="A909" s="74" t="s">
        <v>792</v>
      </c>
      <c r="B909" s="75" t="s">
        <v>250</v>
      </c>
      <c r="C909" s="75" t="s">
        <v>208</v>
      </c>
      <c r="D909" s="75" t="s">
        <v>789</v>
      </c>
      <c r="E909" s="75" t="s">
        <v>226</v>
      </c>
      <c r="F909" s="76"/>
      <c r="G909" s="76"/>
      <c r="H909" s="76"/>
    </row>
    <row r="910" spans="1:8" ht="47.25" hidden="1" customHeight="1">
      <c r="A910" s="74" t="s">
        <v>320</v>
      </c>
      <c r="B910" s="75" t="s">
        <v>250</v>
      </c>
      <c r="C910" s="75" t="s">
        <v>208</v>
      </c>
      <c r="D910" s="75" t="s">
        <v>789</v>
      </c>
      <c r="E910" s="75" t="s">
        <v>321</v>
      </c>
      <c r="F910" s="76"/>
      <c r="G910" s="76"/>
      <c r="H910" s="76"/>
    </row>
    <row r="911" spans="1:8" ht="15.75" hidden="1" customHeight="1">
      <c r="A911" s="74" t="s">
        <v>322</v>
      </c>
      <c r="B911" s="75" t="s">
        <v>250</v>
      </c>
      <c r="C911" s="75" t="s">
        <v>208</v>
      </c>
      <c r="D911" s="75" t="s">
        <v>789</v>
      </c>
      <c r="E911" s="75" t="s">
        <v>323</v>
      </c>
      <c r="F911" s="76"/>
      <c r="G911" s="76"/>
      <c r="H911" s="76"/>
    </row>
    <row r="912" spans="1:8" ht="47.25" hidden="1" customHeight="1">
      <c r="A912" s="74" t="s">
        <v>793</v>
      </c>
      <c r="B912" s="75" t="s">
        <v>250</v>
      </c>
      <c r="C912" s="75" t="s">
        <v>208</v>
      </c>
      <c r="D912" s="75" t="s">
        <v>789</v>
      </c>
      <c r="E912" s="75" t="s">
        <v>283</v>
      </c>
      <c r="F912" s="76">
        <f t="shared" ref="F912:H914" si="226">F913</f>
        <v>0</v>
      </c>
      <c r="G912" s="76">
        <f t="shared" si="226"/>
        <v>0</v>
      </c>
      <c r="H912" s="76">
        <f t="shared" si="226"/>
        <v>0</v>
      </c>
    </row>
    <row r="913" spans="1:8" ht="15.75" hidden="1" customHeight="1">
      <c r="A913" s="74" t="s">
        <v>504</v>
      </c>
      <c r="B913" s="75" t="s">
        <v>250</v>
      </c>
      <c r="C913" s="75" t="s">
        <v>208</v>
      </c>
      <c r="D913" s="75" t="s">
        <v>789</v>
      </c>
      <c r="E913" s="75" t="s">
        <v>499</v>
      </c>
      <c r="F913" s="76">
        <f t="shared" si="226"/>
        <v>0</v>
      </c>
      <c r="G913" s="76">
        <f t="shared" si="226"/>
        <v>0</v>
      </c>
      <c r="H913" s="76">
        <f t="shared" si="226"/>
        <v>0</v>
      </c>
    </row>
    <row r="914" spans="1:8" ht="47.25" hidden="1" customHeight="1">
      <c r="A914" s="74" t="s">
        <v>793</v>
      </c>
      <c r="B914" s="75" t="s">
        <v>250</v>
      </c>
      <c r="C914" s="75" t="s">
        <v>208</v>
      </c>
      <c r="D914" s="75" t="s">
        <v>789</v>
      </c>
      <c r="E914" s="75" t="s">
        <v>283</v>
      </c>
      <c r="F914" s="76">
        <f t="shared" si="226"/>
        <v>0</v>
      </c>
      <c r="G914" s="76">
        <f t="shared" si="226"/>
        <v>0</v>
      </c>
      <c r="H914" s="76">
        <f t="shared" si="226"/>
        <v>0</v>
      </c>
    </row>
    <row r="915" spans="1:8" ht="15.75" hidden="1" customHeight="1">
      <c r="A915" s="74" t="s">
        <v>504</v>
      </c>
      <c r="B915" s="75" t="s">
        <v>250</v>
      </c>
      <c r="C915" s="75" t="s">
        <v>208</v>
      </c>
      <c r="D915" s="75" t="s">
        <v>789</v>
      </c>
      <c r="E915" s="75" t="s">
        <v>499</v>
      </c>
      <c r="F915" s="76">
        <v>0</v>
      </c>
      <c r="G915" s="76">
        <v>0</v>
      </c>
      <c r="H915" s="76">
        <v>0</v>
      </c>
    </row>
    <row r="916" spans="1:8" ht="47.25" hidden="1" customHeight="1">
      <c r="A916" s="78" t="s">
        <v>795</v>
      </c>
      <c r="B916" s="79" t="s">
        <v>250</v>
      </c>
      <c r="C916" s="79" t="s">
        <v>208</v>
      </c>
      <c r="D916" s="79" t="s">
        <v>796</v>
      </c>
      <c r="E916" s="79" t="s">
        <v>206</v>
      </c>
      <c r="F916" s="80">
        <f>F917+F919</f>
        <v>0</v>
      </c>
      <c r="G916" s="80">
        <f>G917+G919</f>
        <v>0</v>
      </c>
      <c r="H916" s="80">
        <f>H917+H919</f>
        <v>0</v>
      </c>
    </row>
    <row r="917" spans="1:8" ht="31.5" hidden="1" customHeight="1">
      <c r="A917" s="74" t="s">
        <v>223</v>
      </c>
      <c r="B917" s="75" t="s">
        <v>250</v>
      </c>
      <c r="C917" s="75" t="s">
        <v>208</v>
      </c>
      <c r="D917" s="75" t="s">
        <v>796</v>
      </c>
      <c r="E917" s="75" t="s">
        <v>224</v>
      </c>
      <c r="F917" s="76">
        <f>F918</f>
        <v>0</v>
      </c>
      <c r="G917" s="76">
        <f>G918</f>
        <v>0</v>
      </c>
      <c r="H917" s="76">
        <f>H918</f>
        <v>0</v>
      </c>
    </row>
    <row r="918" spans="1:8" ht="47.25" hidden="1" customHeight="1">
      <c r="A918" s="74" t="s">
        <v>225</v>
      </c>
      <c r="B918" s="75" t="s">
        <v>250</v>
      </c>
      <c r="C918" s="75" t="s">
        <v>208</v>
      </c>
      <c r="D918" s="75" t="s">
        <v>796</v>
      </c>
      <c r="E918" s="75" t="s">
        <v>226</v>
      </c>
      <c r="F918" s="76">
        <v>0</v>
      </c>
      <c r="G918" s="76">
        <v>0</v>
      </c>
      <c r="H918" s="76">
        <v>0</v>
      </c>
    </row>
    <row r="919" spans="1:8" ht="47.25" hidden="1" customHeight="1">
      <c r="A919" s="74" t="s">
        <v>320</v>
      </c>
      <c r="B919" s="75" t="s">
        <v>250</v>
      </c>
      <c r="C919" s="75" t="s">
        <v>208</v>
      </c>
      <c r="D919" s="75" t="s">
        <v>796</v>
      </c>
      <c r="E919" s="75" t="s">
        <v>321</v>
      </c>
      <c r="F919" s="76">
        <f>F920</f>
        <v>0</v>
      </c>
      <c r="G919" s="76">
        <f>G920</f>
        <v>0</v>
      </c>
      <c r="H919" s="76">
        <f>H920</f>
        <v>0</v>
      </c>
    </row>
    <row r="920" spans="1:8" ht="15.75" hidden="1" customHeight="1">
      <c r="A920" s="74" t="s">
        <v>322</v>
      </c>
      <c r="B920" s="75" t="s">
        <v>250</v>
      </c>
      <c r="C920" s="75" t="s">
        <v>208</v>
      </c>
      <c r="D920" s="75" t="s">
        <v>796</v>
      </c>
      <c r="E920" s="75" t="s">
        <v>323</v>
      </c>
      <c r="F920" s="76">
        <v>0</v>
      </c>
      <c r="G920" s="76">
        <v>0</v>
      </c>
      <c r="H920" s="76">
        <v>0</v>
      </c>
    </row>
    <row r="921" spans="1:8" ht="15.75" hidden="1" customHeight="1">
      <c r="A921" s="74"/>
      <c r="B921" s="75"/>
      <c r="C921" s="75"/>
      <c r="D921" s="75"/>
      <c r="E921" s="75"/>
      <c r="F921" s="76"/>
      <c r="G921" s="76"/>
      <c r="H921" s="76"/>
    </row>
    <row r="922" spans="1:8" ht="15.75" hidden="1" customHeight="1">
      <c r="A922" s="74"/>
      <c r="B922" s="75"/>
      <c r="C922" s="75"/>
      <c r="D922" s="75"/>
      <c r="E922" s="75"/>
      <c r="F922" s="76"/>
      <c r="G922" s="76"/>
      <c r="H922" s="76"/>
    </row>
    <row r="923" spans="1:8" ht="15.75" hidden="1" customHeight="1">
      <c r="A923" s="74"/>
      <c r="B923" s="75"/>
      <c r="C923" s="75"/>
      <c r="D923" s="75"/>
      <c r="E923" s="75"/>
      <c r="F923" s="76"/>
      <c r="G923" s="76"/>
      <c r="H923" s="76"/>
    </row>
    <row r="924" spans="1:8" ht="15.75" hidden="1" customHeight="1">
      <c r="A924" s="74"/>
      <c r="B924" s="75"/>
      <c r="C924" s="75"/>
      <c r="D924" s="75"/>
      <c r="E924" s="75"/>
      <c r="F924" s="76"/>
      <c r="G924" s="76"/>
      <c r="H924" s="76"/>
    </row>
    <row r="925" spans="1:8" ht="47.25" hidden="1" customHeight="1">
      <c r="A925" s="100" t="s">
        <v>790</v>
      </c>
      <c r="B925" s="101" t="s">
        <v>250</v>
      </c>
      <c r="C925" s="101" t="s">
        <v>208</v>
      </c>
      <c r="D925" s="101" t="s">
        <v>205</v>
      </c>
      <c r="E925" s="101" t="s">
        <v>206</v>
      </c>
      <c r="F925" s="102">
        <f>F926</f>
        <v>0</v>
      </c>
      <c r="G925" s="102">
        <f t="shared" ref="F925:H927" si="227">G926</f>
        <v>0</v>
      </c>
      <c r="H925" s="102">
        <f t="shared" si="227"/>
        <v>0</v>
      </c>
    </row>
    <row r="926" spans="1:8" ht="110.25" hidden="1" customHeight="1">
      <c r="A926" s="74" t="s">
        <v>797</v>
      </c>
      <c r="B926" s="75" t="s">
        <v>250</v>
      </c>
      <c r="C926" s="75" t="s">
        <v>208</v>
      </c>
      <c r="D926" s="75" t="s">
        <v>798</v>
      </c>
      <c r="E926" s="75" t="s">
        <v>206</v>
      </c>
      <c r="F926" s="76">
        <f t="shared" si="227"/>
        <v>0</v>
      </c>
      <c r="G926" s="76">
        <f t="shared" si="227"/>
        <v>0</v>
      </c>
      <c r="H926" s="76">
        <f t="shared" si="227"/>
        <v>0</v>
      </c>
    </row>
    <row r="927" spans="1:8" ht="47.25" hidden="1" customHeight="1">
      <c r="A927" s="74" t="s">
        <v>799</v>
      </c>
      <c r="B927" s="75" t="s">
        <v>250</v>
      </c>
      <c r="C927" s="75" t="s">
        <v>208</v>
      </c>
      <c r="D927" s="75" t="s">
        <v>798</v>
      </c>
      <c r="E927" s="75" t="s">
        <v>321</v>
      </c>
      <c r="F927" s="76">
        <f t="shared" si="227"/>
        <v>0</v>
      </c>
      <c r="G927" s="76">
        <f t="shared" si="227"/>
        <v>0</v>
      </c>
      <c r="H927" s="76">
        <f t="shared" si="227"/>
        <v>0</v>
      </c>
    </row>
    <row r="928" spans="1:8" ht="15.75" hidden="1" customHeight="1">
      <c r="A928" s="74" t="s">
        <v>322</v>
      </c>
      <c r="B928" s="75" t="s">
        <v>250</v>
      </c>
      <c r="C928" s="75" t="s">
        <v>208</v>
      </c>
      <c r="D928" s="75" t="s">
        <v>798</v>
      </c>
      <c r="E928" s="75" t="s">
        <v>323</v>
      </c>
      <c r="F928" s="76"/>
      <c r="G928" s="76">
        <v>0</v>
      </c>
      <c r="H928" s="76">
        <v>0</v>
      </c>
    </row>
    <row r="929" spans="1:8" ht="47.25" hidden="1" customHeight="1">
      <c r="A929" s="100" t="s">
        <v>800</v>
      </c>
      <c r="B929" s="101" t="s">
        <v>250</v>
      </c>
      <c r="C929" s="101" t="s">
        <v>208</v>
      </c>
      <c r="D929" s="101" t="s">
        <v>205</v>
      </c>
      <c r="E929" s="101" t="s">
        <v>206</v>
      </c>
      <c r="F929" s="102">
        <f>F930+F933</f>
        <v>0</v>
      </c>
      <c r="G929" s="102">
        <f>G930+G933</f>
        <v>0</v>
      </c>
      <c r="H929" s="102">
        <f>H930+H933</f>
        <v>0</v>
      </c>
    </row>
    <row r="930" spans="1:8" ht="94.5" hidden="1" customHeight="1">
      <c r="A930" s="78" t="s">
        <v>801</v>
      </c>
      <c r="B930" s="79" t="s">
        <v>250</v>
      </c>
      <c r="C930" s="79" t="s">
        <v>208</v>
      </c>
      <c r="D930" s="79" t="s">
        <v>802</v>
      </c>
      <c r="E930" s="79" t="s">
        <v>206</v>
      </c>
      <c r="F930" s="80">
        <f t="shared" ref="F930:H934" si="228">F931</f>
        <v>0</v>
      </c>
      <c r="G930" s="80">
        <f t="shared" si="228"/>
        <v>0</v>
      </c>
      <c r="H930" s="80">
        <f t="shared" si="228"/>
        <v>0</v>
      </c>
    </row>
    <row r="931" spans="1:8" ht="31.5" hidden="1" customHeight="1">
      <c r="A931" s="74" t="s">
        <v>223</v>
      </c>
      <c r="B931" s="75" t="s">
        <v>250</v>
      </c>
      <c r="C931" s="75" t="s">
        <v>208</v>
      </c>
      <c r="D931" s="75" t="s">
        <v>802</v>
      </c>
      <c r="E931" s="75" t="s">
        <v>224</v>
      </c>
      <c r="F931" s="76">
        <f t="shared" si="228"/>
        <v>0</v>
      </c>
      <c r="G931" s="76">
        <f t="shared" si="228"/>
        <v>0</v>
      </c>
      <c r="H931" s="76">
        <f t="shared" si="228"/>
        <v>0</v>
      </c>
    </row>
    <row r="932" spans="1:8" ht="47.25" hidden="1" customHeight="1">
      <c r="A932" s="74" t="s">
        <v>225</v>
      </c>
      <c r="B932" s="75" t="s">
        <v>250</v>
      </c>
      <c r="C932" s="75" t="s">
        <v>208</v>
      </c>
      <c r="D932" s="75" t="s">
        <v>802</v>
      </c>
      <c r="E932" s="75" t="s">
        <v>226</v>
      </c>
      <c r="F932" s="76"/>
      <c r="G932" s="76"/>
      <c r="H932" s="76"/>
    </row>
    <row r="933" spans="1:8" ht="63" hidden="1" customHeight="1">
      <c r="A933" s="78" t="s">
        <v>803</v>
      </c>
      <c r="B933" s="79" t="s">
        <v>250</v>
      </c>
      <c r="C933" s="79" t="s">
        <v>208</v>
      </c>
      <c r="D933" s="79" t="s">
        <v>804</v>
      </c>
      <c r="E933" s="79" t="s">
        <v>206</v>
      </c>
      <c r="F933" s="80">
        <f t="shared" si="228"/>
        <v>0</v>
      </c>
      <c r="G933" s="80">
        <f t="shared" si="228"/>
        <v>0</v>
      </c>
      <c r="H933" s="80">
        <f t="shared" si="228"/>
        <v>0</v>
      </c>
    </row>
    <row r="934" spans="1:8" ht="31.5" hidden="1" customHeight="1">
      <c r="A934" s="74" t="s">
        <v>223</v>
      </c>
      <c r="B934" s="75" t="s">
        <v>250</v>
      </c>
      <c r="C934" s="75" t="s">
        <v>208</v>
      </c>
      <c r="D934" s="75" t="s">
        <v>804</v>
      </c>
      <c r="E934" s="75" t="s">
        <v>224</v>
      </c>
      <c r="F934" s="76">
        <f t="shared" si="228"/>
        <v>0</v>
      </c>
      <c r="G934" s="76">
        <f t="shared" si="228"/>
        <v>0</v>
      </c>
      <c r="H934" s="76">
        <f t="shared" si="228"/>
        <v>0</v>
      </c>
    </row>
    <row r="935" spans="1:8" ht="47.25" hidden="1" customHeight="1">
      <c r="A935" s="74" t="s">
        <v>225</v>
      </c>
      <c r="B935" s="75" t="s">
        <v>250</v>
      </c>
      <c r="C935" s="75" t="s">
        <v>208</v>
      </c>
      <c r="D935" s="75" t="s">
        <v>804</v>
      </c>
      <c r="E935" s="75" t="s">
        <v>226</v>
      </c>
      <c r="F935" s="76"/>
      <c r="G935" s="76"/>
      <c r="H935" s="76"/>
    </row>
    <row r="936" spans="1:8" ht="64.900000000000006" hidden="1" customHeight="1">
      <c r="A936" s="100" t="s">
        <v>805</v>
      </c>
      <c r="B936" s="101" t="s">
        <v>250</v>
      </c>
      <c r="C936" s="101" t="s">
        <v>208</v>
      </c>
      <c r="D936" s="101" t="s">
        <v>205</v>
      </c>
      <c r="E936" s="101" t="s">
        <v>206</v>
      </c>
      <c r="F936" s="102">
        <f>F937+F940</f>
        <v>0</v>
      </c>
      <c r="G936" s="102">
        <f>G937+G940</f>
        <v>0</v>
      </c>
      <c r="H936" s="102">
        <f>H937+H940</f>
        <v>0</v>
      </c>
    </row>
    <row r="937" spans="1:8" ht="97.5" hidden="1" customHeight="1">
      <c r="A937" s="78" t="s">
        <v>142</v>
      </c>
      <c r="B937" s="79" t="s">
        <v>250</v>
      </c>
      <c r="C937" s="79" t="s">
        <v>208</v>
      </c>
      <c r="D937" s="79" t="s">
        <v>806</v>
      </c>
      <c r="E937" s="79" t="s">
        <v>206</v>
      </c>
      <c r="F937" s="80">
        <f t="shared" ref="F937:H938" si="229">F938</f>
        <v>0</v>
      </c>
      <c r="G937" s="80">
        <f t="shared" si="229"/>
        <v>0</v>
      </c>
      <c r="H937" s="80">
        <f t="shared" si="229"/>
        <v>0</v>
      </c>
    </row>
    <row r="938" spans="1:8" ht="39" hidden="1" customHeight="1">
      <c r="A938" s="74" t="s">
        <v>223</v>
      </c>
      <c r="B938" s="75" t="s">
        <v>250</v>
      </c>
      <c r="C938" s="75" t="s">
        <v>208</v>
      </c>
      <c r="D938" s="75" t="s">
        <v>806</v>
      </c>
      <c r="E938" s="75" t="s">
        <v>224</v>
      </c>
      <c r="F938" s="76">
        <f t="shared" si="229"/>
        <v>0</v>
      </c>
      <c r="G938" s="76">
        <f t="shared" si="229"/>
        <v>0</v>
      </c>
      <c r="H938" s="76">
        <f t="shared" si="229"/>
        <v>0</v>
      </c>
    </row>
    <row r="939" spans="1:8" ht="54.75" hidden="1" customHeight="1">
      <c r="A939" s="74" t="s">
        <v>225</v>
      </c>
      <c r="B939" s="75" t="s">
        <v>250</v>
      </c>
      <c r="C939" s="75" t="s">
        <v>208</v>
      </c>
      <c r="D939" s="75" t="s">
        <v>806</v>
      </c>
      <c r="E939" s="75" t="s">
        <v>226</v>
      </c>
      <c r="F939" s="76">
        <f>'5'!D146</f>
        <v>0</v>
      </c>
      <c r="G939" s="76">
        <f>'5'!E146</f>
        <v>0</v>
      </c>
      <c r="H939" s="76">
        <f>'5'!F146</f>
        <v>0</v>
      </c>
    </row>
    <row r="940" spans="1:8" ht="132" hidden="1" customHeight="1">
      <c r="A940" s="78" t="s">
        <v>807</v>
      </c>
      <c r="B940" s="79" t="s">
        <v>250</v>
      </c>
      <c r="C940" s="79" t="s">
        <v>208</v>
      </c>
      <c r="D940" s="79" t="s">
        <v>808</v>
      </c>
      <c r="E940" s="79" t="s">
        <v>206</v>
      </c>
      <c r="F940" s="80">
        <f t="shared" ref="F940:H941" si="230">F941</f>
        <v>0</v>
      </c>
      <c r="G940" s="80">
        <f t="shared" si="230"/>
        <v>0</v>
      </c>
      <c r="H940" s="80">
        <f t="shared" si="230"/>
        <v>0</v>
      </c>
    </row>
    <row r="941" spans="1:8" ht="40.15" hidden="1" customHeight="1">
      <c r="A941" s="70" t="s">
        <v>223</v>
      </c>
      <c r="B941" s="71" t="s">
        <v>250</v>
      </c>
      <c r="C941" s="71" t="s">
        <v>208</v>
      </c>
      <c r="D941" s="71" t="s">
        <v>808</v>
      </c>
      <c r="E941" s="71" t="s">
        <v>224</v>
      </c>
      <c r="F941" s="72">
        <f t="shared" si="230"/>
        <v>0</v>
      </c>
      <c r="G941" s="72">
        <f t="shared" si="230"/>
        <v>0</v>
      </c>
      <c r="H941" s="72">
        <f t="shared" si="230"/>
        <v>0</v>
      </c>
    </row>
    <row r="942" spans="1:8" ht="51" hidden="1" customHeight="1">
      <c r="A942" s="74" t="s">
        <v>225</v>
      </c>
      <c r="B942" s="75" t="s">
        <v>250</v>
      </c>
      <c r="C942" s="75" t="s">
        <v>208</v>
      </c>
      <c r="D942" s="75" t="s">
        <v>808</v>
      </c>
      <c r="E942" s="75" t="s">
        <v>226</v>
      </c>
      <c r="F942" s="76">
        <f>'5'!D147</f>
        <v>0</v>
      </c>
      <c r="G942" s="76">
        <f>'5'!E147</f>
        <v>0</v>
      </c>
      <c r="H942" s="76">
        <f>'5'!F147</f>
        <v>0</v>
      </c>
    </row>
    <row r="943" spans="1:8" ht="31.5" hidden="1" customHeight="1">
      <c r="A943" s="100" t="s">
        <v>809</v>
      </c>
      <c r="B943" s="101" t="s">
        <v>250</v>
      </c>
      <c r="C943" s="101" t="s">
        <v>208</v>
      </c>
      <c r="D943" s="101" t="s">
        <v>205</v>
      </c>
      <c r="E943" s="101" t="s">
        <v>206</v>
      </c>
      <c r="F943" s="102">
        <f>F947</f>
        <v>0</v>
      </c>
      <c r="G943" s="102">
        <f>G947</f>
        <v>0</v>
      </c>
      <c r="H943" s="102">
        <f>H947</f>
        <v>0</v>
      </c>
    </row>
    <row r="944" spans="1:8" ht="47.25" hidden="1" customHeight="1">
      <c r="A944" s="78" t="s">
        <v>810</v>
      </c>
      <c r="B944" s="75" t="s">
        <v>250</v>
      </c>
      <c r="C944" s="75" t="s">
        <v>208</v>
      </c>
      <c r="D944" s="75" t="s">
        <v>811</v>
      </c>
      <c r="E944" s="75" t="s">
        <v>206</v>
      </c>
      <c r="F944" s="76"/>
      <c r="G944" s="76"/>
      <c r="H944" s="76"/>
    </row>
    <row r="945" spans="1:8" ht="31.5" hidden="1" customHeight="1">
      <c r="A945" s="74" t="s">
        <v>223</v>
      </c>
      <c r="B945" s="75" t="s">
        <v>250</v>
      </c>
      <c r="C945" s="75" t="s">
        <v>208</v>
      </c>
      <c r="D945" s="75" t="s">
        <v>811</v>
      </c>
      <c r="E945" s="75" t="s">
        <v>224</v>
      </c>
      <c r="F945" s="76"/>
      <c r="G945" s="76"/>
      <c r="H945" s="76"/>
    </row>
    <row r="946" spans="1:8" ht="47.25" hidden="1" customHeight="1">
      <c r="A946" s="74" t="s">
        <v>225</v>
      </c>
      <c r="B946" s="75" t="s">
        <v>250</v>
      </c>
      <c r="C946" s="75" t="s">
        <v>208</v>
      </c>
      <c r="D946" s="75" t="s">
        <v>811</v>
      </c>
      <c r="E946" s="75" t="s">
        <v>226</v>
      </c>
      <c r="F946" s="76"/>
      <c r="G946" s="76"/>
      <c r="H946" s="76"/>
    </row>
    <row r="947" spans="1:8" ht="78.75" hidden="1" customHeight="1">
      <c r="A947" s="78" t="s">
        <v>812</v>
      </c>
      <c r="B947" s="79" t="s">
        <v>250</v>
      </c>
      <c r="C947" s="79" t="s">
        <v>208</v>
      </c>
      <c r="D947" s="79" t="s">
        <v>813</v>
      </c>
      <c r="E947" s="79" t="s">
        <v>206</v>
      </c>
      <c r="F947" s="80">
        <f t="shared" ref="F947:H948" si="231">F948</f>
        <v>0</v>
      </c>
      <c r="G947" s="80">
        <f t="shared" si="231"/>
        <v>0</v>
      </c>
      <c r="H947" s="80">
        <f t="shared" si="231"/>
        <v>0</v>
      </c>
    </row>
    <row r="948" spans="1:8" ht="31.5" hidden="1" customHeight="1">
      <c r="A948" s="74" t="s">
        <v>223</v>
      </c>
      <c r="B948" s="75" t="s">
        <v>250</v>
      </c>
      <c r="C948" s="75" t="s">
        <v>208</v>
      </c>
      <c r="D948" s="75" t="s">
        <v>813</v>
      </c>
      <c r="E948" s="75" t="s">
        <v>224</v>
      </c>
      <c r="F948" s="76">
        <f t="shared" si="231"/>
        <v>0</v>
      </c>
      <c r="G948" s="76">
        <f t="shared" si="231"/>
        <v>0</v>
      </c>
      <c r="H948" s="76">
        <f t="shared" si="231"/>
        <v>0</v>
      </c>
    </row>
    <row r="949" spans="1:8" ht="47.25" hidden="1" customHeight="1">
      <c r="A949" s="74" t="s">
        <v>225</v>
      </c>
      <c r="B949" s="75" t="s">
        <v>250</v>
      </c>
      <c r="C949" s="75" t="s">
        <v>208</v>
      </c>
      <c r="D949" s="75" t="s">
        <v>813</v>
      </c>
      <c r="E949" s="75" t="s">
        <v>226</v>
      </c>
      <c r="F949" s="76">
        <v>0</v>
      </c>
      <c r="G949" s="76">
        <v>0</v>
      </c>
      <c r="H949" s="76">
        <v>0</v>
      </c>
    </row>
    <row r="950" spans="1:8" ht="48.6" customHeight="1">
      <c r="A950" s="100" t="s">
        <v>814</v>
      </c>
      <c r="B950" s="101" t="s">
        <v>250</v>
      </c>
      <c r="C950" s="101" t="s">
        <v>208</v>
      </c>
      <c r="D950" s="101" t="s">
        <v>787</v>
      </c>
      <c r="E950" s="101" t="s">
        <v>206</v>
      </c>
      <c r="F950" s="102">
        <f>F951+F954</f>
        <v>116.25203</v>
      </c>
      <c r="G950" s="102">
        <f>G951+G954</f>
        <v>0</v>
      </c>
      <c r="H950" s="102">
        <f>H951+H954</f>
        <v>0</v>
      </c>
    </row>
    <row r="951" spans="1:8" ht="85.9" customHeight="1">
      <c r="A951" s="78" t="s">
        <v>815</v>
      </c>
      <c r="B951" s="75" t="s">
        <v>250</v>
      </c>
      <c r="C951" s="75" t="s">
        <v>208</v>
      </c>
      <c r="D951" s="75" t="s">
        <v>816</v>
      </c>
      <c r="E951" s="75" t="s">
        <v>206</v>
      </c>
      <c r="F951" s="76">
        <f t="shared" ref="F951:H952" si="232">F952</f>
        <v>115.08951</v>
      </c>
      <c r="G951" s="76">
        <f t="shared" si="232"/>
        <v>0</v>
      </c>
      <c r="H951" s="76">
        <f t="shared" si="232"/>
        <v>0</v>
      </c>
    </row>
    <row r="952" spans="1:8" ht="45" customHeight="1">
      <c r="A952" s="74" t="s">
        <v>793</v>
      </c>
      <c r="B952" s="75" t="s">
        <v>250</v>
      </c>
      <c r="C952" s="75" t="s">
        <v>208</v>
      </c>
      <c r="D952" s="75" t="s">
        <v>816</v>
      </c>
      <c r="E952" s="75" t="s">
        <v>283</v>
      </c>
      <c r="F952" s="76">
        <f t="shared" si="232"/>
        <v>115.08951</v>
      </c>
      <c r="G952" s="76">
        <f t="shared" si="232"/>
        <v>0</v>
      </c>
      <c r="H952" s="76">
        <f t="shared" si="232"/>
        <v>0</v>
      </c>
    </row>
    <row r="953" spans="1:8" ht="19.149999999999999" customHeight="1">
      <c r="A953" s="74" t="s">
        <v>504</v>
      </c>
      <c r="B953" s="75" t="s">
        <v>250</v>
      </c>
      <c r="C953" s="75" t="s">
        <v>208</v>
      </c>
      <c r="D953" s="75" t="s">
        <v>816</v>
      </c>
      <c r="E953" s="75" t="s">
        <v>499</v>
      </c>
      <c r="F953" s="76">
        <f>'5'!D143</f>
        <v>115.08951</v>
      </c>
      <c r="G953" s="76">
        <f>'5'!E143</f>
        <v>0</v>
      </c>
      <c r="H953" s="76">
        <f>'5'!F143</f>
        <v>0</v>
      </c>
    </row>
    <row r="954" spans="1:8" ht="94.15" customHeight="1">
      <c r="A954" s="78" t="s">
        <v>817</v>
      </c>
      <c r="B954" s="75" t="s">
        <v>250</v>
      </c>
      <c r="C954" s="75" t="s">
        <v>208</v>
      </c>
      <c r="D954" s="75" t="s">
        <v>818</v>
      </c>
      <c r="E954" s="75" t="s">
        <v>206</v>
      </c>
      <c r="F954" s="76">
        <f t="shared" ref="F954:H955" si="233">F955</f>
        <v>1.16252</v>
      </c>
      <c r="G954" s="76">
        <f t="shared" si="233"/>
        <v>0</v>
      </c>
      <c r="H954" s="76">
        <f t="shared" si="233"/>
        <v>0</v>
      </c>
    </row>
    <row r="955" spans="1:8" ht="49.15" customHeight="1">
      <c r="A955" s="74" t="s">
        <v>793</v>
      </c>
      <c r="B955" s="75" t="s">
        <v>250</v>
      </c>
      <c r="C955" s="75" t="s">
        <v>208</v>
      </c>
      <c r="D955" s="75" t="s">
        <v>818</v>
      </c>
      <c r="E955" s="75" t="s">
        <v>283</v>
      </c>
      <c r="F955" s="76">
        <f t="shared" si="233"/>
        <v>1.16252</v>
      </c>
      <c r="G955" s="76">
        <f t="shared" si="233"/>
        <v>0</v>
      </c>
      <c r="H955" s="76">
        <f t="shared" si="233"/>
        <v>0</v>
      </c>
    </row>
    <row r="956" spans="1:8" ht="19.149999999999999" customHeight="1">
      <c r="A956" s="70" t="s">
        <v>504</v>
      </c>
      <c r="B956" s="71" t="s">
        <v>250</v>
      </c>
      <c r="C956" s="71" t="s">
        <v>208</v>
      </c>
      <c r="D956" s="75" t="s">
        <v>818</v>
      </c>
      <c r="E956" s="71" t="s">
        <v>499</v>
      </c>
      <c r="F956" s="72">
        <f>'5'!D144</f>
        <v>1.16252</v>
      </c>
      <c r="G956" s="72">
        <f>'5'!E144</f>
        <v>0</v>
      </c>
      <c r="H956" s="72">
        <f>'5'!F144</f>
        <v>0</v>
      </c>
    </row>
    <row r="957" spans="1:8" ht="63" hidden="1" customHeight="1">
      <c r="A957" s="152" t="s">
        <v>819</v>
      </c>
      <c r="B957" s="153" t="s">
        <v>250</v>
      </c>
      <c r="C957" s="153" t="s">
        <v>208</v>
      </c>
      <c r="D957" s="153" t="s">
        <v>787</v>
      </c>
      <c r="E957" s="153" t="s">
        <v>206</v>
      </c>
      <c r="F957" s="154">
        <f>F958+F961</f>
        <v>0</v>
      </c>
      <c r="G957" s="154">
        <f>G958+G961</f>
        <v>0</v>
      </c>
      <c r="H957" s="154">
        <f>H958+H961</f>
        <v>0</v>
      </c>
    </row>
    <row r="958" spans="1:8" ht="94.5" hidden="1" customHeight="1">
      <c r="A958" s="132" t="s">
        <v>820</v>
      </c>
      <c r="B958" s="127" t="s">
        <v>250</v>
      </c>
      <c r="C958" s="127" t="s">
        <v>208</v>
      </c>
      <c r="D958" s="127" t="s">
        <v>821</v>
      </c>
      <c r="E958" s="127" t="s">
        <v>206</v>
      </c>
      <c r="F958" s="129">
        <f t="shared" ref="F958:H962" si="234">F959</f>
        <v>0</v>
      </c>
      <c r="G958" s="129">
        <f t="shared" si="234"/>
        <v>0</v>
      </c>
      <c r="H958" s="129">
        <f t="shared" si="234"/>
        <v>0</v>
      </c>
    </row>
    <row r="959" spans="1:8" ht="31.5" hidden="1" customHeight="1">
      <c r="A959" s="70" t="s">
        <v>223</v>
      </c>
      <c r="B959" s="71" t="s">
        <v>250</v>
      </c>
      <c r="C959" s="71" t="s">
        <v>208</v>
      </c>
      <c r="D959" s="71" t="s">
        <v>821</v>
      </c>
      <c r="E959" s="71" t="s">
        <v>224</v>
      </c>
      <c r="F959" s="72">
        <f t="shared" si="234"/>
        <v>0</v>
      </c>
      <c r="G959" s="72">
        <f t="shared" si="234"/>
        <v>0</v>
      </c>
      <c r="H959" s="72">
        <f t="shared" si="234"/>
        <v>0</v>
      </c>
    </row>
    <row r="960" spans="1:8" ht="47.25" hidden="1" customHeight="1">
      <c r="A960" s="70" t="s">
        <v>225</v>
      </c>
      <c r="B960" s="71" t="s">
        <v>250</v>
      </c>
      <c r="C960" s="71" t="s">
        <v>208</v>
      </c>
      <c r="D960" s="71" t="s">
        <v>821</v>
      </c>
      <c r="E960" s="71" t="s">
        <v>226</v>
      </c>
      <c r="F960" s="72"/>
      <c r="G960" s="72"/>
      <c r="H960" s="72"/>
    </row>
    <row r="961" spans="1:15" ht="53.25" hidden="1" customHeight="1">
      <c r="A961" s="132" t="s">
        <v>786</v>
      </c>
      <c r="B961" s="127" t="s">
        <v>250</v>
      </c>
      <c r="C961" s="127" t="s">
        <v>208</v>
      </c>
      <c r="D961" s="71" t="s">
        <v>789</v>
      </c>
      <c r="E961" s="71" t="s">
        <v>206</v>
      </c>
      <c r="F961" s="72">
        <f t="shared" si="234"/>
        <v>0</v>
      </c>
      <c r="G961" s="72">
        <f t="shared" ref="G961:H962" si="235">G962</f>
        <v>0</v>
      </c>
      <c r="H961" s="72">
        <f t="shared" si="235"/>
        <v>0</v>
      </c>
    </row>
    <row r="962" spans="1:15" ht="31.5" hidden="1" customHeight="1">
      <c r="A962" s="74" t="s">
        <v>788</v>
      </c>
      <c r="B962" s="75" t="s">
        <v>250</v>
      </c>
      <c r="C962" s="75" t="s">
        <v>208</v>
      </c>
      <c r="D962" s="75" t="s">
        <v>789</v>
      </c>
      <c r="E962" s="75" t="s">
        <v>224</v>
      </c>
      <c r="F962" s="76">
        <f t="shared" si="234"/>
        <v>0</v>
      </c>
      <c r="G962" s="76">
        <f t="shared" si="235"/>
        <v>0</v>
      </c>
      <c r="H962" s="76">
        <f t="shared" si="235"/>
        <v>0</v>
      </c>
    </row>
    <row r="963" spans="1:15" ht="47.25" hidden="1" customHeight="1">
      <c r="A963" s="166"/>
      <c r="B963" s="167"/>
      <c r="C963" s="167"/>
      <c r="D963" s="167"/>
      <c r="E963" s="167"/>
      <c r="F963" s="168"/>
      <c r="G963" s="168"/>
      <c r="H963" s="168"/>
      <c r="O963" s="99"/>
    </row>
    <row r="964" spans="1:15" s="99" customFormat="1" ht="49.5" customHeight="1">
      <c r="A964" s="117" t="s">
        <v>822</v>
      </c>
      <c r="B964" s="62" t="s">
        <v>266</v>
      </c>
      <c r="C964" s="62" t="s">
        <v>204</v>
      </c>
      <c r="D964" s="62" t="s">
        <v>205</v>
      </c>
      <c r="E964" s="62" t="s">
        <v>206</v>
      </c>
      <c r="F964" s="63">
        <f>F967</f>
        <v>10</v>
      </c>
      <c r="G964" s="63">
        <f t="shared" ref="G964:H964" si="236">G967</f>
        <v>10</v>
      </c>
      <c r="H964" s="63">
        <f t="shared" si="236"/>
        <v>10</v>
      </c>
      <c r="I964" s="131"/>
      <c r="J964" s="131"/>
      <c r="K964" s="131"/>
      <c r="O964" s="50"/>
    </row>
    <row r="965" spans="1:15" ht="33.75" customHeight="1">
      <c r="A965" s="74" t="s">
        <v>823</v>
      </c>
      <c r="B965" s="75" t="s">
        <v>266</v>
      </c>
      <c r="C965" s="75" t="s">
        <v>203</v>
      </c>
      <c r="D965" s="75" t="s">
        <v>205</v>
      </c>
      <c r="E965" s="75" t="s">
        <v>206</v>
      </c>
      <c r="F965" s="76">
        <f>F966+F971</f>
        <v>10</v>
      </c>
      <c r="G965" s="76">
        <f>G966+G971</f>
        <v>10</v>
      </c>
      <c r="H965" s="76">
        <f>H966+H971</f>
        <v>10</v>
      </c>
    </row>
    <row r="966" spans="1:15" ht="81.75" customHeight="1">
      <c r="A966" s="78" t="s">
        <v>824</v>
      </c>
      <c r="B966" s="79" t="s">
        <v>266</v>
      </c>
      <c r="C966" s="79" t="s">
        <v>203</v>
      </c>
      <c r="D966" s="79" t="s">
        <v>345</v>
      </c>
      <c r="E966" s="79" t="s">
        <v>206</v>
      </c>
      <c r="F966" s="80">
        <f>F967</f>
        <v>10</v>
      </c>
      <c r="G966" s="80">
        <f t="shared" ref="F966:H974" si="237">G967</f>
        <v>10</v>
      </c>
      <c r="H966" s="80">
        <f t="shared" si="237"/>
        <v>10</v>
      </c>
    </row>
    <row r="967" spans="1:15" ht="33" customHeight="1">
      <c r="A967" s="74" t="s">
        <v>825</v>
      </c>
      <c r="B967" s="75" t="s">
        <v>266</v>
      </c>
      <c r="C967" s="75" t="s">
        <v>203</v>
      </c>
      <c r="D967" s="75" t="s">
        <v>826</v>
      </c>
      <c r="E967" s="75" t="s">
        <v>206</v>
      </c>
      <c r="F967" s="76">
        <f t="shared" si="237"/>
        <v>10</v>
      </c>
      <c r="G967" s="76">
        <f t="shared" si="237"/>
        <v>10</v>
      </c>
      <c r="H967" s="76">
        <f t="shared" si="237"/>
        <v>10</v>
      </c>
    </row>
    <row r="968" spans="1:15" ht="33.75" customHeight="1">
      <c r="A968" s="74" t="s">
        <v>827</v>
      </c>
      <c r="B968" s="75" t="s">
        <v>266</v>
      </c>
      <c r="C968" s="75" t="s">
        <v>203</v>
      </c>
      <c r="D968" s="75" t="s">
        <v>826</v>
      </c>
      <c r="E968" s="75" t="s">
        <v>206</v>
      </c>
      <c r="F968" s="76">
        <f t="shared" si="237"/>
        <v>10</v>
      </c>
      <c r="G968" s="76">
        <f t="shared" si="237"/>
        <v>10</v>
      </c>
      <c r="H968" s="76">
        <f t="shared" si="237"/>
        <v>10</v>
      </c>
    </row>
    <row r="969" spans="1:15" ht="33" customHeight="1">
      <c r="A969" s="74" t="s">
        <v>828</v>
      </c>
      <c r="B969" s="75" t="s">
        <v>266</v>
      </c>
      <c r="C969" s="75" t="s">
        <v>203</v>
      </c>
      <c r="D969" s="75" t="s">
        <v>826</v>
      </c>
      <c r="E969" s="75" t="s">
        <v>829</v>
      </c>
      <c r="F969" s="76">
        <f t="shared" si="237"/>
        <v>10</v>
      </c>
      <c r="G969" s="76">
        <f t="shared" si="237"/>
        <v>10</v>
      </c>
      <c r="H969" s="76">
        <f t="shared" si="237"/>
        <v>10</v>
      </c>
    </row>
    <row r="970" spans="1:15" ht="20.25" customHeight="1">
      <c r="A970" s="74" t="s">
        <v>830</v>
      </c>
      <c r="B970" s="75" t="s">
        <v>266</v>
      </c>
      <c r="C970" s="75" t="s">
        <v>203</v>
      </c>
      <c r="D970" s="75" t="s">
        <v>826</v>
      </c>
      <c r="E970" s="75" t="s">
        <v>831</v>
      </c>
      <c r="F970" s="76">
        <f>'5'!D226</f>
        <v>10</v>
      </c>
      <c r="G970" s="76">
        <f>'5'!E226</f>
        <v>10</v>
      </c>
      <c r="H970" s="76">
        <f>'5'!F226</f>
        <v>10</v>
      </c>
    </row>
    <row r="971" spans="1:15" ht="39" hidden="1" customHeight="1">
      <c r="A971" s="169" t="s">
        <v>505</v>
      </c>
      <c r="B971" s="170" t="s">
        <v>266</v>
      </c>
      <c r="C971" s="170" t="s">
        <v>203</v>
      </c>
      <c r="D971" s="170" t="s">
        <v>212</v>
      </c>
      <c r="E971" s="170" t="s">
        <v>206</v>
      </c>
      <c r="F971" s="171">
        <f t="shared" si="237"/>
        <v>0</v>
      </c>
      <c r="G971" s="171">
        <f t="shared" si="237"/>
        <v>0</v>
      </c>
      <c r="H971" s="171">
        <f t="shared" si="237"/>
        <v>0</v>
      </c>
    </row>
    <row r="972" spans="1:15" ht="34.9" hidden="1" customHeight="1">
      <c r="A972" s="150" t="s">
        <v>825</v>
      </c>
      <c r="B972" s="149" t="s">
        <v>266</v>
      </c>
      <c r="C972" s="149" t="s">
        <v>203</v>
      </c>
      <c r="D972" s="149" t="s">
        <v>832</v>
      </c>
      <c r="E972" s="149" t="s">
        <v>206</v>
      </c>
      <c r="F972" s="147">
        <f t="shared" si="237"/>
        <v>0</v>
      </c>
      <c r="G972" s="147">
        <f t="shared" si="237"/>
        <v>0</v>
      </c>
      <c r="H972" s="147">
        <f t="shared" si="237"/>
        <v>0</v>
      </c>
    </row>
    <row r="973" spans="1:15" ht="30" hidden="1" customHeight="1">
      <c r="A973" s="150" t="s">
        <v>827</v>
      </c>
      <c r="B973" s="149" t="s">
        <v>266</v>
      </c>
      <c r="C973" s="149" t="s">
        <v>203</v>
      </c>
      <c r="D973" s="149" t="s">
        <v>832</v>
      </c>
      <c r="E973" s="149" t="s">
        <v>206</v>
      </c>
      <c r="F973" s="147">
        <f t="shared" si="237"/>
        <v>0</v>
      </c>
      <c r="G973" s="147">
        <f t="shared" si="237"/>
        <v>0</v>
      </c>
      <c r="H973" s="147">
        <f t="shared" si="237"/>
        <v>0</v>
      </c>
    </row>
    <row r="974" spans="1:15" ht="36.75" hidden="1" customHeight="1">
      <c r="A974" s="150" t="s">
        <v>828</v>
      </c>
      <c r="B974" s="149" t="s">
        <v>266</v>
      </c>
      <c r="C974" s="149" t="s">
        <v>203</v>
      </c>
      <c r="D974" s="149" t="s">
        <v>832</v>
      </c>
      <c r="E974" s="149" t="s">
        <v>829</v>
      </c>
      <c r="F974" s="147">
        <f t="shared" si="237"/>
        <v>0</v>
      </c>
      <c r="G974" s="147">
        <f t="shared" si="237"/>
        <v>0</v>
      </c>
      <c r="H974" s="147">
        <f t="shared" si="237"/>
        <v>0</v>
      </c>
    </row>
    <row r="975" spans="1:15" ht="21" hidden="1" customHeight="1">
      <c r="A975" s="150" t="s">
        <v>830</v>
      </c>
      <c r="B975" s="149" t="s">
        <v>266</v>
      </c>
      <c r="C975" s="149" t="s">
        <v>203</v>
      </c>
      <c r="D975" s="149" t="s">
        <v>832</v>
      </c>
      <c r="E975" s="149" t="s">
        <v>831</v>
      </c>
      <c r="F975" s="147">
        <v>0</v>
      </c>
      <c r="G975" s="147">
        <v>0</v>
      </c>
      <c r="H975" s="147">
        <v>0</v>
      </c>
      <c r="O975" s="99"/>
    </row>
    <row r="976" spans="1:15" s="99" customFormat="1" ht="79.150000000000006" customHeight="1">
      <c r="A976" s="117" t="s">
        <v>833</v>
      </c>
      <c r="B976" s="62" t="s">
        <v>374</v>
      </c>
      <c r="C976" s="62" t="s">
        <v>204</v>
      </c>
      <c r="D976" s="62" t="s">
        <v>205</v>
      </c>
      <c r="E976" s="62" t="s">
        <v>206</v>
      </c>
      <c r="F976" s="63">
        <f>F982+F984+F990</f>
        <v>19919.803999999996</v>
      </c>
      <c r="G976" s="63">
        <f>G982+G984+G990</f>
        <v>11540.454</v>
      </c>
      <c r="H976" s="63">
        <f>H982+H984+H990</f>
        <v>11440.454</v>
      </c>
      <c r="I976" s="131"/>
      <c r="J976" s="131"/>
      <c r="K976" s="131"/>
    </row>
    <row r="977" spans="1:15" s="99" customFormat="1" ht="79.5" customHeight="1">
      <c r="A977" s="104" t="s">
        <v>834</v>
      </c>
      <c r="B977" s="105" t="s">
        <v>374</v>
      </c>
      <c r="C977" s="105" t="s">
        <v>204</v>
      </c>
      <c r="D977" s="105" t="s">
        <v>345</v>
      </c>
      <c r="E977" s="105" t="s">
        <v>206</v>
      </c>
      <c r="F977" s="106">
        <f>F978+F984+F990+F993+F994</f>
        <v>19919.803999999996</v>
      </c>
      <c r="G977" s="106">
        <f>G978+G984+G990</f>
        <v>11540.454</v>
      </c>
      <c r="H977" s="106">
        <f>H978+H984+H990</f>
        <v>11440.454</v>
      </c>
      <c r="O977" s="50"/>
    </row>
    <row r="978" spans="1:15" ht="48.75" hidden="1" customHeight="1">
      <c r="A978" s="100" t="s">
        <v>835</v>
      </c>
      <c r="B978" s="101" t="s">
        <v>374</v>
      </c>
      <c r="C978" s="101" t="s">
        <v>203</v>
      </c>
      <c r="D978" s="101" t="s">
        <v>345</v>
      </c>
      <c r="E978" s="101" t="s">
        <v>206</v>
      </c>
      <c r="F978" s="102">
        <f t="shared" ref="F978:F981" si="238">F979</f>
        <v>10840.454</v>
      </c>
      <c r="G978" s="102">
        <f t="shared" ref="G978:H981" si="239">G979</f>
        <v>10840.454</v>
      </c>
      <c r="H978" s="102">
        <f t="shared" si="239"/>
        <v>10840.454</v>
      </c>
    </row>
    <row r="979" spans="1:15" ht="50.25" customHeight="1">
      <c r="A979" s="78" t="s">
        <v>836</v>
      </c>
      <c r="B979" s="79" t="s">
        <v>374</v>
      </c>
      <c r="C979" s="79" t="s">
        <v>203</v>
      </c>
      <c r="D979" s="79" t="s">
        <v>837</v>
      </c>
      <c r="E979" s="79" t="s">
        <v>206</v>
      </c>
      <c r="F979" s="80">
        <f t="shared" si="238"/>
        <v>10840.454</v>
      </c>
      <c r="G979" s="80">
        <f t="shared" si="239"/>
        <v>10840.454</v>
      </c>
      <c r="H979" s="80">
        <f t="shared" si="239"/>
        <v>10840.454</v>
      </c>
    </row>
    <row r="980" spans="1:15" ht="18.75" customHeight="1">
      <c r="A980" s="74" t="s">
        <v>348</v>
      </c>
      <c r="B980" s="75" t="s">
        <v>374</v>
      </c>
      <c r="C980" s="75" t="s">
        <v>203</v>
      </c>
      <c r="D980" s="75" t="s">
        <v>837</v>
      </c>
      <c r="E980" s="75" t="s">
        <v>206</v>
      </c>
      <c r="F980" s="76">
        <f t="shared" si="238"/>
        <v>10840.454</v>
      </c>
      <c r="G980" s="76">
        <f t="shared" si="239"/>
        <v>10840.454</v>
      </c>
      <c r="H980" s="76">
        <f t="shared" ref="H980:H981" si="240">H981</f>
        <v>10840.454</v>
      </c>
      <c r="O980" s="77"/>
    </row>
    <row r="981" spans="1:15" s="77" customFormat="1" ht="96.6" customHeight="1">
      <c r="A981" s="78" t="s">
        <v>838</v>
      </c>
      <c r="B981" s="79" t="s">
        <v>374</v>
      </c>
      <c r="C981" s="79" t="s">
        <v>203</v>
      </c>
      <c r="D981" s="79" t="s">
        <v>837</v>
      </c>
      <c r="E981" s="79" t="s">
        <v>206</v>
      </c>
      <c r="F981" s="80">
        <f t="shared" si="238"/>
        <v>10840.454</v>
      </c>
      <c r="G981" s="80">
        <f t="shared" si="239"/>
        <v>10840.454</v>
      </c>
      <c r="H981" s="80">
        <f t="shared" si="240"/>
        <v>10840.454</v>
      </c>
      <c r="O981" s="50"/>
    </row>
    <row r="982" spans="1:15" ht="18" customHeight="1">
      <c r="A982" s="74" t="s">
        <v>839</v>
      </c>
      <c r="B982" s="75" t="s">
        <v>374</v>
      </c>
      <c r="C982" s="75" t="s">
        <v>203</v>
      </c>
      <c r="D982" s="75" t="s">
        <v>837</v>
      </c>
      <c r="E982" s="75" t="s">
        <v>840</v>
      </c>
      <c r="F982" s="76">
        <f>'5'!D227</f>
        <v>10840.454</v>
      </c>
      <c r="G982" s="76">
        <f>'5'!E227</f>
        <v>10840.454</v>
      </c>
      <c r="H982" s="76">
        <f>'5'!F227</f>
        <v>10840.454</v>
      </c>
    </row>
    <row r="983" spans="1:15" ht="51" customHeight="1">
      <c r="A983" s="78" t="s">
        <v>841</v>
      </c>
      <c r="B983" s="79" t="s">
        <v>374</v>
      </c>
      <c r="C983" s="79" t="s">
        <v>203</v>
      </c>
      <c r="D983" s="79" t="s">
        <v>842</v>
      </c>
      <c r="E983" s="79" t="s">
        <v>206</v>
      </c>
      <c r="F983" s="80">
        <f>F984</f>
        <v>7899</v>
      </c>
      <c r="G983" s="80">
        <f t="shared" ref="G983:H983" si="241">G984</f>
        <v>650</v>
      </c>
      <c r="H983" s="80">
        <f t="shared" si="241"/>
        <v>600</v>
      </c>
    </row>
    <row r="984" spans="1:15" ht="16.5" customHeight="1">
      <c r="A984" s="74" t="s">
        <v>839</v>
      </c>
      <c r="B984" s="75" t="s">
        <v>374</v>
      </c>
      <c r="C984" s="75" t="s">
        <v>203</v>
      </c>
      <c r="D984" s="75" t="s">
        <v>842</v>
      </c>
      <c r="E984" s="75" t="s">
        <v>840</v>
      </c>
      <c r="F984" s="76">
        <f>'5'!D228</f>
        <v>7899</v>
      </c>
      <c r="G984" s="76">
        <f>'5'!E228</f>
        <v>650</v>
      </c>
      <c r="H984" s="76">
        <f>'5'!F228</f>
        <v>600</v>
      </c>
    </row>
    <row r="985" spans="1:15" ht="47.25" hidden="1" customHeight="1">
      <c r="A985" s="74" t="s">
        <v>841</v>
      </c>
      <c r="B985" s="75" t="s">
        <v>374</v>
      </c>
      <c r="C985" s="75" t="s">
        <v>203</v>
      </c>
      <c r="D985" s="75" t="s">
        <v>293</v>
      </c>
      <c r="E985" s="75" t="s">
        <v>206</v>
      </c>
      <c r="F985" s="76">
        <f>F986</f>
        <v>0</v>
      </c>
      <c r="G985" s="76">
        <f>G986</f>
        <v>0</v>
      </c>
      <c r="H985" s="76">
        <f>H986</f>
        <v>0</v>
      </c>
    </row>
    <row r="986" spans="1:15" ht="15.75" hidden="1" customHeight="1">
      <c r="A986" s="74" t="s">
        <v>292</v>
      </c>
      <c r="B986" s="75" t="s">
        <v>374</v>
      </c>
      <c r="C986" s="75" t="s">
        <v>203</v>
      </c>
      <c r="D986" s="75" t="s">
        <v>293</v>
      </c>
      <c r="E986" s="75" t="s">
        <v>840</v>
      </c>
      <c r="F986" s="76"/>
      <c r="G986" s="76"/>
      <c r="H986" s="76"/>
    </row>
    <row r="987" spans="1:15" ht="33" hidden="1" customHeight="1">
      <c r="A987" s="100" t="s">
        <v>843</v>
      </c>
      <c r="B987" s="101" t="s">
        <v>374</v>
      </c>
      <c r="C987" s="101" t="s">
        <v>220</v>
      </c>
      <c r="D987" s="101" t="s">
        <v>345</v>
      </c>
      <c r="E987" s="101" t="s">
        <v>206</v>
      </c>
      <c r="F987" s="102">
        <f t="shared" ref="F987:F989" si="242">F988</f>
        <v>1180.3500000000001</v>
      </c>
      <c r="G987" s="102">
        <f t="shared" ref="G987:H989" si="243">G988</f>
        <v>50</v>
      </c>
      <c r="H987" s="102">
        <f t="shared" si="243"/>
        <v>0</v>
      </c>
    </row>
    <row r="988" spans="1:15" ht="33" customHeight="1">
      <c r="A988" s="74" t="s">
        <v>844</v>
      </c>
      <c r="B988" s="75" t="s">
        <v>374</v>
      </c>
      <c r="C988" s="75" t="s">
        <v>220</v>
      </c>
      <c r="D988" s="75" t="s">
        <v>345</v>
      </c>
      <c r="E988" s="75" t="s">
        <v>206</v>
      </c>
      <c r="F988" s="76">
        <f t="shared" si="242"/>
        <v>1180.3500000000001</v>
      </c>
      <c r="G988" s="76">
        <f t="shared" si="243"/>
        <v>50</v>
      </c>
      <c r="H988" s="76">
        <f t="shared" si="243"/>
        <v>0</v>
      </c>
    </row>
    <row r="989" spans="1:15" ht="18.75" customHeight="1">
      <c r="A989" s="74" t="s">
        <v>348</v>
      </c>
      <c r="B989" s="75" t="s">
        <v>374</v>
      </c>
      <c r="C989" s="75" t="s">
        <v>220</v>
      </c>
      <c r="D989" s="75" t="s">
        <v>345</v>
      </c>
      <c r="E989" s="75" t="s">
        <v>349</v>
      </c>
      <c r="F989" s="76">
        <f t="shared" si="242"/>
        <v>1180.3500000000001</v>
      </c>
      <c r="G989" s="76">
        <f t="shared" si="243"/>
        <v>50</v>
      </c>
      <c r="H989" s="76">
        <f t="shared" si="243"/>
        <v>0</v>
      </c>
    </row>
    <row r="990" spans="1:15" ht="17.25" customHeight="1">
      <c r="A990" s="74" t="s">
        <v>410</v>
      </c>
      <c r="B990" s="75" t="s">
        <v>374</v>
      </c>
      <c r="C990" s="75" t="s">
        <v>220</v>
      </c>
      <c r="D990" s="75" t="s">
        <v>845</v>
      </c>
      <c r="E990" s="75" t="s">
        <v>411</v>
      </c>
      <c r="F990" s="76">
        <f>'5'!D229+'5'!D231</f>
        <v>1180.3500000000001</v>
      </c>
      <c r="G990" s="76">
        <f>'5'!E229+'5'!E231</f>
        <v>50</v>
      </c>
      <c r="H990" s="76">
        <f>'5'!F229+'5'!F231</f>
        <v>0</v>
      </c>
    </row>
    <row r="991" spans="1:15" ht="31.5" hidden="1" customHeight="1">
      <c r="A991" s="70" t="s">
        <v>843</v>
      </c>
      <c r="B991" s="71" t="s">
        <v>374</v>
      </c>
      <c r="C991" s="71" t="s">
        <v>220</v>
      </c>
      <c r="D991" s="71" t="s">
        <v>845</v>
      </c>
      <c r="E991" s="71" t="s">
        <v>411</v>
      </c>
      <c r="F991" s="76">
        <f>F992</f>
        <v>0</v>
      </c>
      <c r="G991" s="72">
        <f>G992</f>
        <v>0</v>
      </c>
      <c r="H991" s="72">
        <f>H992</f>
        <v>0</v>
      </c>
    </row>
    <row r="992" spans="1:15" ht="15.75" hidden="1" customHeight="1">
      <c r="A992" s="70" t="s">
        <v>348</v>
      </c>
      <c r="B992" s="71" t="s">
        <v>374</v>
      </c>
      <c r="C992" s="71" t="s">
        <v>220</v>
      </c>
      <c r="D992" s="71" t="s">
        <v>845</v>
      </c>
      <c r="E992" s="71" t="s">
        <v>411</v>
      </c>
      <c r="F992" s="76"/>
      <c r="G992" s="72"/>
      <c r="H992" s="72"/>
    </row>
    <row r="993" spans="1:15" ht="141.75" hidden="1" customHeight="1">
      <c r="A993" s="70" t="s">
        <v>846</v>
      </c>
      <c r="B993" s="71" t="s">
        <v>374</v>
      </c>
      <c r="C993" s="71" t="s">
        <v>220</v>
      </c>
      <c r="D993" s="71" t="s">
        <v>845</v>
      </c>
      <c r="E993" s="71" t="s">
        <v>411</v>
      </c>
      <c r="F993" s="76"/>
      <c r="G993" s="72"/>
      <c r="H993" s="72"/>
    </row>
    <row r="994" spans="1:15" ht="78.75" hidden="1" customHeight="1">
      <c r="A994" s="70" t="s">
        <v>847</v>
      </c>
      <c r="B994" s="71" t="s">
        <v>374</v>
      </c>
      <c r="C994" s="71" t="s">
        <v>220</v>
      </c>
      <c r="D994" s="71" t="s">
        <v>848</v>
      </c>
      <c r="E994" s="71" t="s">
        <v>411</v>
      </c>
      <c r="F994" s="76"/>
      <c r="G994" s="72"/>
      <c r="H994" s="72"/>
    </row>
    <row r="995" spans="1:15" ht="31.5" hidden="1" customHeight="1">
      <c r="A995" s="172" t="s">
        <v>505</v>
      </c>
      <c r="B995" s="173" t="s">
        <v>374</v>
      </c>
      <c r="C995" s="173" t="s">
        <v>204</v>
      </c>
      <c r="D995" s="173" t="s">
        <v>212</v>
      </c>
      <c r="E995" s="173" t="s">
        <v>206</v>
      </c>
      <c r="F995" s="174">
        <f>F996+F998+F1000</f>
        <v>0</v>
      </c>
      <c r="G995" s="174">
        <f>G996+G998+G1000</f>
        <v>0</v>
      </c>
      <c r="H995" s="174">
        <f>H996+H998+H1000</f>
        <v>0</v>
      </c>
    </row>
    <row r="996" spans="1:15" ht="110.25" hidden="1" customHeight="1">
      <c r="A996" s="175" t="s">
        <v>838</v>
      </c>
      <c r="B996" s="176" t="s">
        <v>374</v>
      </c>
      <c r="C996" s="176" t="s">
        <v>203</v>
      </c>
      <c r="D996" s="176" t="s">
        <v>849</v>
      </c>
      <c r="E996" s="176" t="s">
        <v>349</v>
      </c>
      <c r="F996" s="177">
        <f>F997</f>
        <v>0</v>
      </c>
      <c r="G996" s="177">
        <f>G997</f>
        <v>0</v>
      </c>
      <c r="H996" s="177">
        <f>H997</f>
        <v>0</v>
      </c>
    </row>
    <row r="997" spans="1:15" ht="15.75" hidden="1" customHeight="1">
      <c r="A997" s="175" t="s">
        <v>839</v>
      </c>
      <c r="B997" s="176" t="s">
        <v>374</v>
      </c>
      <c r="C997" s="176" t="s">
        <v>203</v>
      </c>
      <c r="D997" s="176" t="s">
        <v>849</v>
      </c>
      <c r="E997" s="176" t="s">
        <v>840</v>
      </c>
      <c r="F997" s="177">
        <v>0</v>
      </c>
      <c r="G997" s="178">
        <f>'5'!E338</f>
        <v>0</v>
      </c>
      <c r="H997" s="178">
        <f>'5'!F338</f>
        <v>0</v>
      </c>
    </row>
    <row r="998" spans="1:15" ht="47.25" hidden="1" customHeight="1">
      <c r="A998" s="175" t="s">
        <v>841</v>
      </c>
      <c r="B998" s="176" t="s">
        <v>374</v>
      </c>
      <c r="C998" s="176" t="s">
        <v>203</v>
      </c>
      <c r="D998" s="176" t="s">
        <v>850</v>
      </c>
      <c r="E998" s="176" t="s">
        <v>349</v>
      </c>
      <c r="F998" s="177">
        <f>F999</f>
        <v>0</v>
      </c>
      <c r="G998" s="177">
        <f>G999</f>
        <v>0</v>
      </c>
      <c r="H998" s="177">
        <f>H999</f>
        <v>0</v>
      </c>
    </row>
    <row r="999" spans="1:15" ht="15.75" hidden="1" customHeight="1">
      <c r="A999" s="175" t="s">
        <v>839</v>
      </c>
      <c r="B999" s="176" t="s">
        <v>374</v>
      </c>
      <c r="C999" s="176" t="s">
        <v>203</v>
      </c>
      <c r="D999" s="176" t="s">
        <v>850</v>
      </c>
      <c r="E999" s="176" t="s">
        <v>840</v>
      </c>
      <c r="F999" s="177">
        <v>0</v>
      </c>
      <c r="G999" s="177">
        <f>'5'!E339</f>
        <v>0</v>
      </c>
      <c r="H999" s="177">
        <f>'5'!F339</f>
        <v>0</v>
      </c>
    </row>
    <row r="1000" spans="1:15" ht="31.5" hidden="1" customHeight="1">
      <c r="A1000" s="175" t="s">
        <v>843</v>
      </c>
      <c r="B1000" s="176" t="s">
        <v>374</v>
      </c>
      <c r="C1000" s="176" t="s">
        <v>220</v>
      </c>
      <c r="D1000" s="176" t="s">
        <v>851</v>
      </c>
      <c r="E1000" s="176" t="s">
        <v>349</v>
      </c>
      <c r="F1000" s="177">
        <f>F1001</f>
        <v>0</v>
      </c>
      <c r="G1000" s="177">
        <f>G1001</f>
        <v>0</v>
      </c>
      <c r="H1000" s="177">
        <f>H1001</f>
        <v>0</v>
      </c>
    </row>
    <row r="1001" spans="1:15" ht="15.75" hidden="1" customHeight="1">
      <c r="A1001" s="175" t="s">
        <v>410</v>
      </c>
      <c r="B1001" s="176" t="s">
        <v>374</v>
      </c>
      <c r="C1001" s="176" t="s">
        <v>220</v>
      </c>
      <c r="D1001" s="176" t="s">
        <v>851</v>
      </c>
      <c r="E1001" s="176" t="s">
        <v>411</v>
      </c>
      <c r="F1001" s="177">
        <v>0</v>
      </c>
      <c r="G1001" s="177">
        <f>'5'!E340</f>
        <v>0</v>
      </c>
      <c r="H1001" s="177">
        <f>'5'!F340</f>
        <v>0</v>
      </c>
      <c r="O1001" s="99"/>
    </row>
    <row r="1002" spans="1:15" s="99" customFormat="1" ht="20.25" customHeight="1">
      <c r="A1002" s="91" t="s">
        <v>852</v>
      </c>
      <c r="B1002" s="67"/>
      <c r="C1002" s="67"/>
      <c r="D1002" s="67"/>
      <c r="E1002" s="67"/>
      <c r="F1002" s="68">
        <v>0</v>
      </c>
      <c r="G1002" s="179">
        <f>'5'!E341</f>
        <v>10733.266275000002</v>
      </c>
      <c r="H1002" s="179">
        <f>'5'!F341</f>
        <v>22757.532550000004</v>
      </c>
      <c r="I1002" s="131"/>
      <c r="J1002" s="131"/>
      <c r="K1002" s="131"/>
      <c r="O1002" s="50"/>
    </row>
    <row r="1003" spans="1:15" ht="18" customHeight="1">
      <c r="A1003" s="180" t="s">
        <v>853</v>
      </c>
      <c r="B1003" s="58"/>
      <c r="C1003" s="58"/>
      <c r="D1003" s="58"/>
      <c r="E1003" s="58"/>
      <c r="F1003" s="154">
        <f>F976+F964+F893+F802+F703+F416+F406+F339+F247+F231+F13</f>
        <v>1081220.1864551515</v>
      </c>
      <c r="G1003" s="154">
        <f>G13+G231+G247+G339+G406+G416+G703+G802+G893+G964+G976+G1002</f>
        <v>938077.19989901269</v>
      </c>
      <c r="H1003" s="154">
        <f>H13+H231+H247+H339+H406+H416+H703+H802+H893+H964+H976+H1002</f>
        <v>1000450.9043812489</v>
      </c>
    </row>
    <row r="1004" spans="1:15">
      <c r="A1004" s="181"/>
      <c r="B1004" s="181"/>
      <c r="C1004" s="182"/>
      <c r="D1004" s="183"/>
      <c r="E1004" s="182"/>
      <c r="F1004" s="22"/>
      <c r="G1004" s="184"/>
      <c r="H1004" s="184"/>
    </row>
    <row r="1005" spans="1:15">
      <c r="D1005" s="185"/>
      <c r="E1005" s="186"/>
      <c r="F1005" s="187"/>
      <c r="G1005" s="187"/>
      <c r="H1005" s="187"/>
    </row>
    <row r="1006" spans="1:15">
      <c r="D1006" s="188"/>
      <c r="E1006" s="189"/>
      <c r="F1006" s="184"/>
      <c r="G1006" s="184"/>
      <c r="H1006" s="184"/>
    </row>
    <row r="1007" spans="1:15">
      <c r="A1007" s="190"/>
      <c r="B1007" s="50"/>
      <c r="C1007" s="50"/>
      <c r="D1007" s="191"/>
      <c r="E1007" s="192"/>
      <c r="F1007" s="73"/>
      <c r="G1007" s="73"/>
      <c r="H1007" s="73"/>
    </row>
    <row r="1008" spans="1:15">
      <c r="A1008" s="190"/>
      <c r="B1008" s="50"/>
      <c r="C1008" s="50"/>
      <c r="D1008" s="193"/>
      <c r="E1008" s="193"/>
      <c r="F1008" s="21"/>
      <c r="G1008" s="21"/>
      <c r="H1008" s="21"/>
    </row>
    <row r="1009" spans="1:8" ht="15">
      <c r="A1009" s="190"/>
      <c r="B1009" s="50"/>
      <c r="C1009" s="50"/>
      <c r="D1009" s="81"/>
      <c r="E1009" s="81"/>
      <c r="F1009" s="194"/>
      <c r="G1009" s="194"/>
      <c r="H1009" s="194"/>
    </row>
    <row r="1010" spans="1:8" ht="15">
      <c r="A1010" s="190"/>
      <c r="B1010" s="50"/>
      <c r="C1010" s="50"/>
      <c r="D1010" s="81"/>
      <c r="E1010" s="81"/>
      <c r="F1010" s="81"/>
      <c r="G1010" s="81"/>
      <c r="H1010" s="81"/>
    </row>
    <row r="1011" spans="1:8" ht="15">
      <c r="A1011" s="190"/>
      <c r="B1011" s="50"/>
      <c r="C1011" s="50"/>
      <c r="D1011" s="81"/>
      <c r="E1011" s="195"/>
      <c r="F1011" s="81"/>
      <c r="G1011" s="195"/>
      <c r="H1011" s="195"/>
    </row>
    <row r="1012" spans="1:8">
      <c r="D1012" s="196"/>
      <c r="E1012" s="196"/>
      <c r="F1012" s="73"/>
      <c r="G1012" s="73"/>
      <c r="H1012" s="73"/>
    </row>
    <row r="1013" spans="1:8">
      <c r="D1013" s="196"/>
      <c r="E1013" s="196"/>
      <c r="F1013" s="73"/>
      <c r="G1013" s="73"/>
      <c r="H1013" s="73"/>
    </row>
    <row r="1014" spans="1:8">
      <c r="D1014" s="196"/>
      <c r="E1014" s="196"/>
      <c r="F1014" s="64"/>
      <c r="G1014" s="64"/>
      <c r="H1014" s="64"/>
    </row>
    <row r="1015" spans="1:8">
      <c r="F1015" s="73"/>
      <c r="G1015" s="73"/>
      <c r="H1015" s="73"/>
    </row>
    <row r="1016" spans="1:8">
      <c r="F1016" s="73"/>
      <c r="G1016" s="73"/>
      <c r="H1016" s="73"/>
    </row>
  </sheetData>
  <autoFilter ref="A10:H281"/>
  <mergeCells count="15">
    <mergeCell ref="A7:H7"/>
    <mergeCell ref="A8:H8"/>
    <mergeCell ref="A10:A11"/>
    <mergeCell ref="B10:B11"/>
    <mergeCell ref="C10:C11"/>
    <mergeCell ref="D10:D11"/>
    <mergeCell ref="E10:E11"/>
    <mergeCell ref="F10:F11"/>
    <mergeCell ref="G10:G11"/>
    <mergeCell ref="H10:H11"/>
    <mergeCell ref="A1:H1"/>
    <mergeCell ref="A2:H2"/>
    <mergeCell ref="A3:H3"/>
    <mergeCell ref="A4:H4"/>
    <mergeCell ref="A6:H6"/>
  </mergeCells>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pageSetUpPr fitToPage="1"/>
  </sheetPr>
  <dimension ref="A1:M1036"/>
  <sheetViews>
    <sheetView view="pageBreakPreview" topLeftCell="A1013" zoomScale="90" workbookViewId="0">
      <selection activeCell="L16" sqref="L16"/>
    </sheetView>
  </sheetViews>
  <sheetFormatPr defaultColWidth="8.7109375" defaultRowHeight="15.75"/>
  <cols>
    <col min="1" max="1" width="43.28515625" style="197" customWidth="1"/>
    <col min="2" max="2" width="5.42578125" style="52" customWidth="1"/>
    <col min="3" max="3" width="4.7109375" style="52" customWidth="1"/>
    <col min="4" max="4" width="5.28515625" style="52" customWidth="1"/>
    <col min="5" max="5" width="15.85546875" style="52" customWidth="1"/>
    <col min="6" max="6" width="5.28515625" style="52" customWidth="1"/>
    <col min="7" max="7" width="17.7109375" style="52" customWidth="1"/>
    <col min="8" max="8" width="20.140625" style="52" customWidth="1"/>
    <col min="9" max="9" width="17.28515625" style="52" customWidth="1"/>
    <col min="10" max="10" width="17.28515625" style="52" bestFit="1" customWidth="1"/>
    <col min="11" max="11" width="16.28515625" style="52" customWidth="1"/>
    <col min="12" max="12" width="20" style="52" customWidth="1"/>
    <col min="13" max="13" width="16.28515625" style="52" customWidth="1"/>
    <col min="14" max="15" width="17" style="52" customWidth="1"/>
    <col min="16" max="16384" width="8.7109375" style="52"/>
  </cols>
  <sheetData>
    <row r="1" spans="1:13">
      <c r="B1" s="53"/>
      <c r="C1" s="53"/>
      <c r="D1" s="53"/>
      <c r="F1" s="53"/>
      <c r="G1" s="53"/>
      <c r="H1" s="370" t="s">
        <v>854</v>
      </c>
      <c r="I1" s="370"/>
    </row>
    <row r="2" spans="1:13">
      <c r="A2" s="374" t="s">
        <v>1</v>
      </c>
      <c r="B2" s="374"/>
      <c r="C2" s="374"/>
      <c r="D2" s="374"/>
      <c r="E2" s="374"/>
      <c r="F2" s="374"/>
      <c r="G2" s="374"/>
      <c r="H2" s="374"/>
      <c r="I2" s="374"/>
    </row>
    <row r="3" spans="1:13">
      <c r="A3" s="370" t="s">
        <v>855</v>
      </c>
      <c r="B3" s="370"/>
      <c r="C3" s="370"/>
      <c r="D3" s="370"/>
      <c r="E3" s="370"/>
      <c r="F3" s="370"/>
      <c r="G3" s="370"/>
      <c r="H3" s="370"/>
      <c r="I3" s="370"/>
    </row>
    <row r="4" spans="1:13">
      <c r="A4" s="370" t="s">
        <v>856</v>
      </c>
      <c r="B4" s="370"/>
      <c r="C4" s="370"/>
      <c r="D4" s="370"/>
      <c r="E4" s="370"/>
      <c r="F4" s="370"/>
      <c r="G4" s="370"/>
      <c r="H4" s="370"/>
      <c r="I4" s="370"/>
    </row>
    <row r="6" spans="1:13">
      <c r="A6" s="375" t="s">
        <v>192</v>
      </c>
      <c r="B6" s="375"/>
      <c r="C6" s="375"/>
      <c r="D6" s="375"/>
      <c r="E6" s="375"/>
      <c r="F6" s="375"/>
      <c r="G6" s="375"/>
      <c r="H6" s="375"/>
      <c r="I6" s="375"/>
    </row>
    <row r="7" spans="1:13" ht="35.65" customHeight="1">
      <c r="A7" s="372" t="s">
        <v>857</v>
      </c>
      <c r="B7" s="372"/>
      <c r="C7" s="372"/>
      <c r="D7" s="372"/>
      <c r="E7" s="372"/>
      <c r="F7" s="372"/>
      <c r="G7" s="372"/>
      <c r="H7" s="372"/>
      <c r="I7" s="372"/>
    </row>
    <row r="9" spans="1:13">
      <c r="I9" s="53" t="s">
        <v>5</v>
      </c>
    </row>
    <row r="10" spans="1:13" ht="15" customHeight="1">
      <c r="A10" s="376" t="s">
        <v>35</v>
      </c>
      <c r="B10" s="373" t="s">
        <v>858</v>
      </c>
      <c r="C10" s="373" t="s">
        <v>195</v>
      </c>
      <c r="D10" s="373" t="s">
        <v>196</v>
      </c>
      <c r="E10" s="373" t="s">
        <v>197</v>
      </c>
      <c r="F10" s="373" t="s">
        <v>859</v>
      </c>
      <c r="G10" s="373" t="s">
        <v>860</v>
      </c>
      <c r="H10" s="373" t="s">
        <v>861</v>
      </c>
      <c r="I10" s="373" t="s">
        <v>862</v>
      </c>
    </row>
    <row r="11" spans="1:13" ht="57.75" customHeight="1">
      <c r="A11" s="376"/>
      <c r="B11" s="373"/>
      <c r="C11" s="373"/>
      <c r="D11" s="373"/>
      <c r="E11" s="373"/>
      <c r="F11" s="373"/>
      <c r="G11" s="373"/>
      <c r="H11" s="373"/>
      <c r="I11" s="373"/>
    </row>
    <row r="12" spans="1:13" ht="34.5" customHeight="1">
      <c r="A12" s="117" t="s">
        <v>863</v>
      </c>
      <c r="B12" s="198">
        <v>951</v>
      </c>
      <c r="C12" s="198" t="s">
        <v>204</v>
      </c>
      <c r="D12" s="198" t="s">
        <v>204</v>
      </c>
      <c r="E12" s="198" t="s">
        <v>205</v>
      </c>
      <c r="F12" s="198" t="s">
        <v>206</v>
      </c>
      <c r="G12" s="63">
        <f>G13+G152+G157+G176+G192+G283+G345+G355+G425+G531+G607+G654+G525</f>
        <v>256678.62803000002</v>
      </c>
      <c r="H12" s="63">
        <f>H13+H152+H157+H176+H192+H283+H345+H355+H425+H531+H607+H654+H525</f>
        <v>207166.47872381055</v>
      </c>
      <c r="I12" s="63">
        <f>I13+I152+I157+I176+I192+I283+I345+I355+I425+I531+I607+I654+I525</f>
        <v>223925.08092604653</v>
      </c>
      <c r="J12" s="184"/>
      <c r="K12" s="184"/>
      <c r="L12" s="184"/>
      <c r="M12" s="184"/>
    </row>
    <row r="13" spans="1:13" ht="32.25" customHeight="1">
      <c r="A13" s="66" t="s">
        <v>202</v>
      </c>
      <c r="B13" s="199">
        <v>951</v>
      </c>
      <c r="C13" s="199" t="s">
        <v>203</v>
      </c>
      <c r="D13" s="199" t="s">
        <v>204</v>
      </c>
      <c r="E13" s="199" t="s">
        <v>205</v>
      </c>
      <c r="F13" s="199" t="s">
        <v>206</v>
      </c>
      <c r="G13" s="68">
        <f>G14+G20+G30+G37+G43+G34</f>
        <v>82346.984999999986</v>
      </c>
      <c r="H13" s="68">
        <f>H14+H20+H30+H37+H43+H34</f>
        <v>70794.879939999999</v>
      </c>
      <c r="I13" s="68">
        <f>I14+I20+I30+I37+I43+I34</f>
        <v>66919.685240000006</v>
      </c>
      <c r="J13" s="184"/>
      <c r="K13" s="184"/>
      <c r="L13" s="184"/>
      <c r="M13" s="184"/>
    </row>
    <row r="14" spans="1:13" ht="47.25" customHeight="1">
      <c r="A14" s="74" t="s">
        <v>207</v>
      </c>
      <c r="B14" s="98">
        <v>951</v>
      </c>
      <c r="C14" s="75" t="s">
        <v>203</v>
      </c>
      <c r="D14" s="75" t="s">
        <v>208</v>
      </c>
      <c r="E14" s="75" t="s">
        <v>205</v>
      </c>
      <c r="F14" s="75" t="s">
        <v>206</v>
      </c>
      <c r="G14" s="76">
        <f t="shared" ref="G14:I18" si="0">G15</f>
        <v>3270.7910000000002</v>
      </c>
      <c r="H14" s="76">
        <f>H15</f>
        <v>3433.2802999999999</v>
      </c>
      <c r="I14" s="76">
        <f>I15</f>
        <v>3603.8943800000002</v>
      </c>
      <c r="M14" s="184"/>
    </row>
    <row r="15" spans="1:13" ht="36" customHeight="1">
      <c r="A15" s="74" t="s">
        <v>209</v>
      </c>
      <c r="B15" s="98">
        <v>951</v>
      </c>
      <c r="C15" s="75" t="s">
        <v>203</v>
      </c>
      <c r="D15" s="75" t="s">
        <v>208</v>
      </c>
      <c r="E15" s="75" t="s">
        <v>210</v>
      </c>
      <c r="F15" s="75" t="s">
        <v>206</v>
      </c>
      <c r="G15" s="76">
        <f t="shared" si="0"/>
        <v>3270.7910000000002</v>
      </c>
      <c r="H15" s="76">
        <f t="shared" si="0"/>
        <v>3433.2802999999999</v>
      </c>
      <c r="I15" s="76">
        <f t="shared" si="0"/>
        <v>3603.8943800000002</v>
      </c>
    </row>
    <row r="16" spans="1:13" ht="45.75" customHeight="1">
      <c r="A16" s="74" t="s">
        <v>211</v>
      </c>
      <c r="B16" s="98">
        <v>951</v>
      </c>
      <c r="C16" s="75" t="s">
        <v>203</v>
      </c>
      <c r="D16" s="75" t="s">
        <v>208</v>
      </c>
      <c r="E16" s="75" t="s">
        <v>212</v>
      </c>
      <c r="F16" s="75" t="s">
        <v>206</v>
      </c>
      <c r="G16" s="76">
        <f t="shared" si="0"/>
        <v>3270.7910000000002</v>
      </c>
      <c r="H16" s="76">
        <f t="shared" si="0"/>
        <v>3433.2802999999999</v>
      </c>
      <c r="I16" s="76">
        <f t="shared" si="0"/>
        <v>3603.8943800000002</v>
      </c>
    </row>
    <row r="17" spans="1:9" ht="16.5" customHeight="1">
      <c r="A17" s="74" t="s">
        <v>213</v>
      </c>
      <c r="B17" s="98">
        <v>951</v>
      </c>
      <c r="C17" s="75" t="s">
        <v>203</v>
      </c>
      <c r="D17" s="75" t="s">
        <v>208</v>
      </c>
      <c r="E17" s="75" t="s">
        <v>214</v>
      </c>
      <c r="F17" s="75" t="s">
        <v>206</v>
      </c>
      <c r="G17" s="76">
        <f t="shared" si="0"/>
        <v>3270.7910000000002</v>
      </c>
      <c r="H17" s="76">
        <f t="shared" si="0"/>
        <v>3433.2802999999999</v>
      </c>
      <c r="I17" s="76">
        <f t="shared" si="0"/>
        <v>3603.8943800000002</v>
      </c>
    </row>
    <row r="18" spans="1:9" ht="98.25" customHeight="1">
      <c r="A18" s="74" t="s">
        <v>215</v>
      </c>
      <c r="B18" s="98">
        <v>951</v>
      </c>
      <c r="C18" s="75" t="s">
        <v>203</v>
      </c>
      <c r="D18" s="75" t="s">
        <v>208</v>
      </c>
      <c r="E18" s="75" t="s">
        <v>214</v>
      </c>
      <c r="F18" s="75" t="s">
        <v>216</v>
      </c>
      <c r="G18" s="76">
        <f t="shared" si="0"/>
        <v>3270.7910000000002</v>
      </c>
      <c r="H18" s="76">
        <f t="shared" si="0"/>
        <v>3433.2802999999999</v>
      </c>
      <c r="I18" s="76">
        <f t="shared" si="0"/>
        <v>3603.8943800000002</v>
      </c>
    </row>
    <row r="19" spans="1:9" ht="30.6" customHeight="1">
      <c r="A19" s="74" t="s">
        <v>217</v>
      </c>
      <c r="B19" s="98">
        <v>951</v>
      </c>
      <c r="C19" s="75" t="s">
        <v>203</v>
      </c>
      <c r="D19" s="75" t="s">
        <v>208</v>
      </c>
      <c r="E19" s="75" t="s">
        <v>214</v>
      </c>
      <c r="F19" s="75" t="s">
        <v>218</v>
      </c>
      <c r="G19" s="76">
        <f>'5'!D269</f>
        <v>3270.7910000000002</v>
      </c>
      <c r="H19" s="76">
        <f>'5'!E269</f>
        <v>3433.2802999999999</v>
      </c>
      <c r="I19" s="76">
        <f>'5'!F269</f>
        <v>3603.8943800000002</v>
      </c>
    </row>
    <row r="20" spans="1:9" ht="84.75" customHeight="1">
      <c r="A20" s="74" t="s">
        <v>233</v>
      </c>
      <c r="B20" s="98">
        <v>951</v>
      </c>
      <c r="C20" s="75" t="s">
        <v>203</v>
      </c>
      <c r="D20" s="75" t="s">
        <v>234</v>
      </c>
      <c r="E20" s="75" t="s">
        <v>205</v>
      </c>
      <c r="F20" s="75" t="s">
        <v>206</v>
      </c>
      <c r="G20" s="76">
        <f t="shared" ref="G20:G22" si="1">G21</f>
        <v>47864.262999999999</v>
      </c>
      <c r="H20" s="76">
        <f t="shared" ref="H20:I22" si="2">H21</f>
        <v>48575.828640000007</v>
      </c>
      <c r="I20" s="76">
        <f t="shared" si="2"/>
        <v>44032.761859999999</v>
      </c>
    </row>
    <row r="21" spans="1:9" ht="35.25" customHeight="1">
      <c r="A21" s="74" t="s">
        <v>209</v>
      </c>
      <c r="B21" s="98">
        <v>951</v>
      </c>
      <c r="C21" s="75" t="s">
        <v>203</v>
      </c>
      <c r="D21" s="75" t="s">
        <v>234</v>
      </c>
      <c r="E21" s="75" t="s">
        <v>210</v>
      </c>
      <c r="F21" s="75" t="s">
        <v>206</v>
      </c>
      <c r="G21" s="76">
        <f t="shared" si="1"/>
        <v>47864.262999999999</v>
      </c>
      <c r="H21" s="76">
        <f t="shared" si="2"/>
        <v>48575.828640000007</v>
      </c>
      <c r="I21" s="76">
        <f t="shared" si="2"/>
        <v>44032.761859999999</v>
      </c>
    </row>
    <row r="22" spans="1:9" ht="50.25" customHeight="1">
      <c r="A22" s="74" t="s">
        <v>211</v>
      </c>
      <c r="B22" s="98">
        <v>951</v>
      </c>
      <c r="C22" s="75" t="s">
        <v>203</v>
      </c>
      <c r="D22" s="75" t="s">
        <v>234</v>
      </c>
      <c r="E22" s="75" t="s">
        <v>212</v>
      </c>
      <c r="F22" s="75" t="s">
        <v>206</v>
      </c>
      <c r="G22" s="76">
        <f t="shared" si="1"/>
        <v>47864.262999999999</v>
      </c>
      <c r="H22" s="76">
        <f t="shared" si="2"/>
        <v>48575.828640000007</v>
      </c>
      <c r="I22" s="76">
        <f t="shared" si="2"/>
        <v>44032.761859999999</v>
      </c>
    </row>
    <row r="23" spans="1:9" ht="45" customHeight="1">
      <c r="A23" s="74" t="s">
        <v>227</v>
      </c>
      <c r="B23" s="98">
        <v>951</v>
      </c>
      <c r="C23" s="75" t="s">
        <v>203</v>
      </c>
      <c r="D23" s="75" t="s">
        <v>234</v>
      </c>
      <c r="E23" s="75" t="s">
        <v>228</v>
      </c>
      <c r="F23" s="75" t="s">
        <v>206</v>
      </c>
      <c r="G23" s="76">
        <f>G24+G26+G28</f>
        <v>47864.262999999999</v>
      </c>
      <c r="H23" s="76">
        <f>H24+H26+H28</f>
        <v>48575.828640000007</v>
      </c>
      <c r="I23" s="76">
        <f>I24+I26+I28</f>
        <v>44032.761859999999</v>
      </c>
    </row>
    <row r="24" spans="1:9" ht="96" customHeight="1">
      <c r="A24" s="74" t="s">
        <v>215</v>
      </c>
      <c r="B24" s="98">
        <v>951</v>
      </c>
      <c r="C24" s="75" t="s">
        <v>203</v>
      </c>
      <c r="D24" s="75" t="s">
        <v>234</v>
      </c>
      <c r="E24" s="75" t="s">
        <v>228</v>
      </c>
      <c r="F24" s="75" t="s">
        <v>216</v>
      </c>
      <c r="G24" s="76">
        <f>G25</f>
        <v>35925.663</v>
      </c>
      <c r="H24" s="76">
        <f>H25</f>
        <v>37294.226000000002</v>
      </c>
      <c r="I24" s="76">
        <f>I25</f>
        <v>38731.216999999997</v>
      </c>
    </row>
    <row r="25" spans="1:9" ht="31.15" customHeight="1">
      <c r="A25" s="74" t="s">
        <v>217</v>
      </c>
      <c r="B25" s="98">
        <v>951</v>
      </c>
      <c r="C25" s="75" t="s">
        <v>203</v>
      </c>
      <c r="D25" s="75" t="s">
        <v>234</v>
      </c>
      <c r="E25" s="75" t="s">
        <v>228</v>
      </c>
      <c r="F25" s="75" t="s">
        <v>218</v>
      </c>
      <c r="G25" s="76">
        <f>'3'!F40</f>
        <v>35925.663</v>
      </c>
      <c r="H25" s="76">
        <f>'3'!G40</f>
        <v>37294.226000000002</v>
      </c>
      <c r="I25" s="76">
        <f>'3'!H40</f>
        <v>38731.216999999997</v>
      </c>
    </row>
    <row r="26" spans="1:9" ht="31.5">
      <c r="A26" s="74" t="s">
        <v>223</v>
      </c>
      <c r="B26" s="98">
        <v>951</v>
      </c>
      <c r="C26" s="75" t="s">
        <v>203</v>
      </c>
      <c r="D26" s="75" t="s">
        <v>234</v>
      </c>
      <c r="E26" s="75" t="s">
        <v>228</v>
      </c>
      <c r="F26" s="75" t="s">
        <v>224</v>
      </c>
      <c r="G26" s="76">
        <f>G27</f>
        <v>11427.6</v>
      </c>
      <c r="H26" s="76">
        <f>H27</f>
        <v>10770.602640000001</v>
      </c>
      <c r="I26" s="76">
        <f>I27</f>
        <v>4790.5448599999991</v>
      </c>
    </row>
    <row r="27" spans="1:9" ht="47.25">
      <c r="A27" s="74" t="s">
        <v>225</v>
      </c>
      <c r="B27" s="98">
        <v>951</v>
      </c>
      <c r="C27" s="75" t="s">
        <v>203</v>
      </c>
      <c r="D27" s="75" t="s">
        <v>234</v>
      </c>
      <c r="E27" s="75" t="s">
        <v>228</v>
      </c>
      <c r="F27" s="75" t="s">
        <v>226</v>
      </c>
      <c r="G27" s="76">
        <f>'3'!F42</f>
        <v>11427.6</v>
      </c>
      <c r="H27" s="76">
        <f>'3'!G42</f>
        <v>10770.602640000001</v>
      </c>
      <c r="I27" s="76">
        <f>'3'!H42</f>
        <v>4790.5448599999991</v>
      </c>
    </row>
    <row r="28" spans="1:9">
      <c r="A28" s="74" t="s">
        <v>229</v>
      </c>
      <c r="B28" s="98">
        <v>951</v>
      </c>
      <c r="C28" s="75" t="s">
        <v>203</v>
      </c>
      <c r="D28" s="75" t="s">
        <v>234</v>
      </c>
      <c r="E28" s="75" t="s">
        <v>228</v>
      </c>
      <c r="F28" s="75" t="s">
        <v>230</v>
      </c>
      <c r="G28" s="76">
        <f>G29</f>
        <v>511</v>
      </c>
      <c r="H28" s="76">
        <f>H29</f>
        <v>511</v>
      </c>
      <c r="I28" s="76">
        <f>I29</f>
        <v>511</v>
      </c>
    </row>
    <row r="29" spans="1:9">
      <c r="A29" s="74" t="s">
        <v>231</v>
      </c>
      <c r="B29" s="98">
        <v>951</v>
      </c>
      <c r="C29" s="75" t="s">
        <v>203</v>
      </c>
      <c r="D29" s="75" t="s">
        <v>234</v>
      </c>
      <c r="E29" s="75" t="s">
        <v>228</v>
      </c>
      <c r="F29" s="75" t="s">
        <v>232</v>
      </c>
      <c r="G29" s="76">
        <f>'3'!F44</f>
        <v>511</v>
      </c>
      <c r="H29" s="76">
        <f>'3'!G44</f>
        <v>511</v>
      </c>
      <c r="I29" s="76">
        <f>'3'!H44</f>
        <v>511</v>
      </c>
    </row>
    <row r="30" spans="1:9" ht="31.5" hidden="1">
      <c r="A30" s="200" t="s">
        <v>256</v>
      </c>
      <c r="B30" s="201">
        <v>951</v>
      </c>
      <c r="C30" s="202" t="s">
        <v>203</v>
      </c>
      <c r="D30" s="202" t="s">
        <v>257</v>
      </c>
      <c r="E30" s="202" t="s">
        <v>260</v>
      </c>
      <c r="F30" s="202"/>
      <c r="G30" s="203">
        <f t="shared" ref="G30:I35" si="3">G31</f>
        <v>0</v>
      </c>
      <c r="H30" s="203">
        <f t="shared" si="3"/>
        <v>0</v>
      </c>
      <c r="I30" s="203">
        <f t="shared" si="3"/>
        <v>0</v>
      </c>
    </row>
    <row r="31" spans="1:9" ht="31.5" hidden="1">
      <c r="A31" s="204" t="s">
        <v>258</v>
      </c>
      <c r="B31" s="201">
        <v>951</v>
      </c>
      <c r="C31" s="202" t="s">
        <v>203</v>
      </c>
      <c r="D31" s="202" t="s">
        <v>257</v>
      </c>
      <c r="E31" s="202" t="s">
        <v>260</v>
      </c>
      <c r="F31" s="202"/>
      <c r="G31" s="205">
        <f t="shared" si="3"/>
        <v>0</v>
      </c>
      <c r="H31" s="205">
        <f t="shared" si="3"/>
        <v>0</v>
      </c>
      <c r="I31" s="205">
        <f t="shared" si="3"/>
        <v>0</v>
      </c>
    </row>
    <row r="32" spans="1:9" ht="47.25" hidden="1">
      <c r="A32" s="204" t="s">
        <v>211</v>
      </c>
      <c r="B32" s="201">
        <v>951</v>
      </c>
      <c r="C32" s="202" t="s">
        <v>203</v>
      </c>
      <c r="D32" s="202" t="s">
        <v>257</v>
      </c>
      <c r="E32" s="202" t="s">
        <v>260</v>
      </c>
      <c r="F32" s="202"/>
      <c r="G32" s="205">
        <f t="shared" si="3"/>
        <v>0</v>
      </c>
      <c r="H32" s="205">
        <f t="shared" si="3"/>
        <v>0</v>
      </c>
      <c r="I32" s="205">
        <f t="shared" si="3"/>
        <v>0</v>
      </c>
    </row>
    <row r="33" spans="1:10" ht="31.5" hidden="1">
      <c r="A33" s="204" t="s">
        <v>259</v>
      </c>
      <c r="B33" s="201">
        <v>951</v>
      </c>
      <c r="C33" s="202" t="s">
        <v>203</v>
      </c>
      <c r="D33" s="202" t="s">
        <v>257</v>
      </c>
      <c r="E33" s="202" t="s">
        <v>260</v>
      </c>
      <c r="F33" s="202"/>
      <c r="G33" s="205">
        <v>0</v>
      </c>
      <c r="H33" s="205">
        <v>0</v>
      </c>
      <c r="I33" s="205">
        <v>0</v>
      </c>
    </row>
    <row r="34" spans="1:10" ht="51.75" customHeight="1">
      <c r="A34" s="206" t="s">
        <v>235</v>
      </c>
      <c r="B34" s="207" t="s">
        <v>864</v>
      </c>
      <c r="C34" s="208" t="s">
        <v>203</v>
      </c>
      <c r="D34" s="208" t="s">
        <v>236</v>
      </c>
      <c r="E34" s="208" t="s">
        <v>237</v>
      </c>
      <c r="F34" s="208" t="s">
        <v>206</v>
      </c>
      <c r="G34" s="209">
        <f t="shared" si="3"/>
        <v>13.552</v>
      </c>
      <c r="H34" s="209">
        <f t="shared" si="3"/>
        <v>109.01200000000001</v>
      </c>
      <c r="I34" s="209">
        <f t="shared" si="3"/>
        <v>17.384</v>
      </c>
    </row>
    <row r="35" spans="1:10" ht="31.5">
      <c r="A35" s="74" t="s">
        <v>223</v>
      </c>
      <c r="B35" s="98" t="s">
        <v>864</v>
      </c>
      <c r="C35" s="75" t="s">
        <v>203</v>
      </c>
      <c r="D35" s="75" t="s">
        <v>236</v>
      </c>
      <c r="E35" s="75" t="s">
        <v>237</v>
      </c>
      <c r="F35" s="75" t="s">
        <v>224</v>
      </c>
      <c r="G35" s="76">
        <f t="shared" si="3"/>
        <v>13.552</v>
      </c>
      <c r="H35" s="76">
        <f t="shared" si="3"/>
        <v>109.01200000000001</v>
      </c>
      <c r="I35" s="76">
        <f t="shared" si="3"/>
        <v>17.384</v>
      </c>
    </row>
    <row r="36" spans="1:10" ht="47.25">
      <c r="A36" s="74" t="s">
        <v>225</v>
      </c>
      <c r="B36" s="98" t="s">
        <v>864</v>
      </c>
      <c r="C36" s="75" t="s">
        <v>203</v>
      </c>
      <c r="D36" s="75" t="s">
        <v>236</v>
      </c>
      <c r="E36" s="75" t="s">
        <v>237</v>
      </c>
      <c r="F36" s="75" t="s">
        <v>226</v>
      </c>
      <c r="G36" s="76">
        <f>'5'!D327</f>
        <v>13.552</v>
      </c>
      <c r="H36" s="76">
        <f>'5'!E327</f>
        <v>109.01200000000001</v>
      </c>
      <c r="I36" s="76">
        <f>'5'!F327</f>
        <v>17.384</v>
      </c>
    </row>
    <row r="37" spans="1:10">
      <c r="A37" s="206" t="s">
        <v>249</v>
      </c>
      <c r="B37" s="207" t="s">
        <v>864</v>
      </c>
      <c r="C37" s="208" t="s">
        <v>203</v>
      </c>
      <c r="D37" s="208" t="s">
        <v>250</v>
      </c>
      <c r="E37" s="208" t="s">
        <v>205</v>
      </c>
      <c r="F37" s="208" t="s">
        <v>206</v>
      </c>
      <c r="G37" s="209">
        <f t="shared" ref="G37:I41" si="4">G38</f>
        <v>11391.264000000001</v>
      </c>
      <c r="H37" s="209">
        <f t="shared" si="4"/>
        <v>3000</v>
      </c>
      <c r="I37" s="209">
        <f t="shared" si="4"/>
        <v>3000</v>
      </c>
    </row>
    <row r="38" spans="1:10" ht="47.25">
      <c r="A38" s="103" t="s">
        <v>209</v>
      </c>
      <c r="B38" s="98" t="s">
        <v>864</v>
      </c>
      <c r="C38" s="75" t="s">
        <v>203</v>
      </c>
      <c r="D38" s="75" t="s">
        <v>250</v>
      </c>
      <c r="E38" s="95" t="s">
        <v>210</v>
      </c>
      <c r="F38" s="95" t="s">
        <v>206</v>
      </c>
      <c r="G38" s="76">
        <f t="shared" si="4"/>
        <v>11391.264000000001</v>
      </c>
      <c r="H38" s="76">
        <f t="shared" si="4"/>
        <v>3000</v>
      </c>
      <c r="I38" s="76">
        <f t="shared" si="4"/>
        <v>3000</v>
      </c>
    </row>
    <row r="39" spans="1:10" ht="45.75" customHeight="1">
      <c r="A39" s="103" t="s">
        <v>211</v>
      </c>
      <c r="B39" s="98" t="s">
        <v>864</v>
      </c>
      <c r="C39" s="75" t="s">
        <v>203</v>
      </c>
      <c r="D39" s="75" t="s">
        <v>250</v>
      </c>
      <c r="E39" s="95" t="s">
        <v>212</v>
      </c>
      <c r="F39" s="95" t="s">
        <v>206</v>
      </c>
      <c r="G39" s="76">
        <f t="shared" si="4"/>
        <v>11391.264000000001</v>
      </c>
      <c r="H39" s="76">
        <f t="shared" si="4"/>
        <v>3000</v>
      </c>
      <c r="I39" s="76">
        <f t="shared" si="4"/>
        <v>3000</v>
      </c>
    </row>
    <row r="40" spans="1:10" ht="31.5">
      <c r="A40" s="103" t="s">
        <v>263</v>
      </c>
      <c r="B40" s="98" t="s">
        <v>864</v>
      </c>
      <c r="C40" s="75" t="s">
        <v>203</v>
      </c>
      <c r="D40" s="75" t="s">
        <v>250</v>
      </c>
      <c r="E40" s="75" t="s">
        <v>264</v>
      </c>
      <c r="F40" s="95" t="s">
        <v>206</v>
      </c>
      <c r="G40" s="76">
        <f t="shared" si="4"/>
        <v>11391.264000000001</v>
      </c>
      <c r="H40" s="76">
        <f t="shared" si="4"/>
        <v>3000</v>
      </c>
      <c r="I40" s="76">
        <f t="shared" si="4"/>
        <v>3000</v>
      </c>
    </row>
    <row r="41" spans="1:10">
      <c r="A41" s="103" t="s">
        <v>229</v>
      </c>
      <c r="B41" s="98" t="s">
        <v>864</v>
      </c>
      <c r="C41" s="75" t="s">
        <v>203</v>
      </c>
      <c r="D41" s="75" t="s">
        <v>250</v>
      </c>
      <c r="E41" s="75" t="s">
        <v>264</v>
      </c>
      <c r="F41" s="95" t="s">
        <v>230</v>
      </c>
      <c r="G41" s="76">
        <f t="shared" si="4"/>
        <v>11391.264000000001</v>
      </c>
      <c r="H41" s="76">
        <f t="shared" si="4"/>
        <v>3000</v>
      </c>
      <c r="I41" s="76">
        <f t="shared" si="4"/>
        <v>3000</v>
      </c>
    </row>
    <row r="42" spans="1:10">
      <c r="A42" s="103" t="s">
        <v>254</v>
      </c>
      <c r="B42" s="98" t="s">
        <v>864</v>
      </c>
      <c r="C42" s="75" t="s">
        <v>203</v>
      </c>
      <c r="D42" s="75" t="s">
        <v>250</v>
      </c>
      <c r="E42" s="75" t="s">
        <v>264</v>
      </c>
      <c r="F42" s="95" t="s">
        <v>255</v>
      </c>
      <c r="G42" s="76">
        <f>'5'!D299</f>
        <v>11391.264000000001</v>
      </c>
      <c r="H42" s="76">
        <f>'5'!E299</f>
        <v>3000</v>
      </c>
      <c r="I42" s="76">
        <f>'5'!F299</f>
        <v>3000</v>
      </c>
    </row>
    <row r="43" spans="1:10" ht="17.100000000000001" customHeight="1">
      <c r="A43" s="206" t="s">
        <v>265</v>
      </c>
      <c r="B43" s="207">
        <v>951</v>
      </c>
      <c r="C43" s="208" t="s">
        <v>203</v>
      </c>
      <c r="D43" s="208" t="s">
        <v>266</v>
      </c>
      <c r="E43" s="208" t="s">
        <v>205</v>
      </c>
      <c r="F43" s="208" t="s">
        <v>206</v>
      </c>
      <c r="G43" s="209">
        <f>G44+G78+G128+G146+G72+G149+G165+G173</f>
        <v>19807.114999999998</v>
      </c>
      <c r="H43" s="209">
        <f>H44+H78+H128+H146+H72+H149+H96+H165+H173</f>
        <v>15676.758999999998</v>
      </c>
      <c r="I43" s="209">
        <f>I44+I78+I128+I146+I72+I149+I96+I165+I173</f>
        <v>16265.644999999999</v>
      </c>
      <c r="J43" s="184"/>
    </row>
    <row r="44" spans="1:10" ht="16.5" customHeight="1">
      <c r="A44" s="74" t="s">
        <v>267</v>
      </c>
      <c r="B44" s="98">
        <v>951</v>
      </c>
      <c r="C44" s="75" t="s">
        <v>203</v>
      </c>
      <c r="D44" s="75" t="s">
        <v>266</v>
      </c>
      <c r="E44" s="75" t="s">
        <v>205</v>
      </c>
      <c r="F44" s="75" t="s">
        <v>206</v>
      </c>
      <c r="G44" s="76">
        <f>G45+G50+G55+G60+G65+G70+G101</f>
        <v>8268.7889999999989</v>
      </c>
      <c r="H44" s="76">
        <f>H45+H50+H55+H60+H65+H70+H101</f>
        <v>7359.6989999999996</v>
      </c>
      <c r="I44" s="76">
        <f>I45+I50+I55+I60+I65+I70+I101</f>
        <v>7543.744999999999</v>
      </c>
    </row>
    <row r="45" spans="1:10" ht="63" customHeight="1">
      <c r="A45" s="78" t="s">
        <v>268</v>
      </c>
      <c r="B45" s="128">
        <v>951</v>
      </c>
      <c r="C45" s="79" t="s">
        <v>203</v>
      </c>
      <c r="D45" s="79" t="s">
        <v>266</v>
      </c>
      <c r="E45" s="79" t="s">
        <v>269</v>
      </c>
      <c r="F45" s="79" t="s">
        <v>206</v>
      </c>
      <c r="G45" s="80">
        <f>G46+G48</f>
        <v>1112.9279999999999</v>
      </c>
      <c r="H45" s="80">
        <f t="shared" ref="H45:I45" si="5">H46+H48</f>
        <v>1158.722</v>
      </c>
      <c r="I45" s="80">
        <f t="shared" si="5"/>
        <v>1202.471</v>
      </c>
    </row>
    <row r="46" spans="1:10" ht="93.75" customHeight="1">
      <c r="A46" s="74" t="s">
        <v>215</v>
      </c>
      <c r="B46" s="98">
        <v>951</v>
      </c>
      <c r="C46" s="75" t="s">
        <v>203</v>
      </c>
      <c r="D46" s="75" t="s">
        <v>266</v>
      </c>
      <c r="E46" s="75" t="s">
        <v>269</v>
      </c>
      <c r="F46" s="75" t="s">
        <v>216</v>
      </c>
      <c r="G46" s="76">
        <f>G47</f>
        <v>1085.6959999999999</v>
      </c>
      <c r="H46" s="76">
        <f>H47</f>
        <v>1085.6959999999999</v>
      </c>
      <c r="I46" s="76">
        <f>I47</f>
        <v>1085.6959999999999</v>
      </c>
    </row>
    <row r="47" spans="1:10" ht="29.65" customHeight="1">
      <c r="A47" s="74" t="s">
        <v>217</v>
      </c>
      <c r="B47" s="98">
        <v>951</v>
      </c>
      <c r="C47" s="75" t="s">
        <v>203</v>
      </c>
      <c r="D47" s="75" t="s">
        <v>266</v>
      </c>
      <c r="E47" s="75" t="s">
        <v>269</v>
      </c>
      <c r="F47" s="75" t="s">
        <v>218</v>
      </c>
      <c r="G47" s="76">
        <f>'3'!F90</f>
        <v>1085.6959999999999</v>
      </c>
      <c r="H47" s="76">
        <f>'3'!G90</f>
        <v>1085.6959999999999</v>
      </c>
      <c r="I47" s="76">
        <f>'3'!H90</f>
        <v>1085.6959999999999</v>
      </c>
    </row>
    <row r="48" spans="1:10" ht="32.1" customHeight="1">
      <c r="A48" s="74" t="s">
        <v>223</v>
      </c>
      <c r="B48" s="98">
        <v>951</v>
      </c>
      <c r="C48" s="75" t="s">
        <v>203</v>
      </c>
      <c r="D48" s="75" t="s">
        <v>266</v>
      </c>
      <c r="E48" s="75" t="s">
        <v>269</v>
      </c>
      <c r="F48" s="75" t="s">
        <v>224</v>
      </c>
      <c r="G48" s="76">
        <f>G49</f>
        <v>27.232000000000003</v>
      </c>
      <c r="H48" s="76">
        <f>H49</f>
        <v>73.02600000000001</v>
      </c>
      <c r="I48" s="76">
        <f>I49</f>
        <v>116.77500000000001</v>
      </c>
    </row>
    <row r="49" spans="1:9" ht="45.75" customHeight="1">
      <c r="A49" s="74" t="s">
        <v>225</v>
      </c>
      <c r="B49" s="98">
        <v>951</v>
      </c>
      <c r="C49" s="75" t="s">
        <v>203</v>
      </c>
      <c r="D49" s="75" t="s">
        <v>266</v>
      </c>
      <c r="E49" s="75" t="s">
        <v>269</v>
      </c>
      <c r="F49" s="75" t="s">
        <v>226</v>
      </c>
      <c r="G49" s="76">
        <f>'3'!F92</f>
        <v>27.232000000000003</v>
      </c>
      <c r="H49" s="76">
        <f>'3'!G92</f>
        <v>73.02600000000001</v>
      </c>
      <c r="I49" s="76">
        <f>'3'!H92</f>
        <v>116.77500000000001</v>
      </c>
    </row>
    <row r="50" spans="1:9" ht="54" customHeight="1">
      <c r="A50" s="78" t="s">
        <v>270</v>
      </c>
      <c r="B50" s="128">
        <v>951</v>
      </c>
      <c r="C50" s="79" t="s">
        <v>203</v>
      </c>
      <c r="D50" s="79" t="s">
        <v>266</v>
      </c>
      <c r="E50" s="79" t="s">
        <v>271</v>
      </c>
      <c r="F50" s="79" t="s">
        <v>206</v>
      </c>
      <c r="G50" s="80">
        <f>G51+G53</f>
        <v>1702.3340000000001</v>
      </c>
      <c r="H50" s="80">
        <f t="shared" ref="H50:I50" si="6">H51+H53</f>
        <v>1769.2260000000001</v>
      </c>
      <c r="I50" s="80">
        <f t="shared" si="6"/>
        <v>1830.0200000000002</v>
      </c>
    </row>
    <row r="51" spans="1:9" ht="93.75" customHeight="1">
      <c r="A51" s="74" t="s">
        <v>215</v>
      </c>
      <c r="B51" s="98" t="s">
        <v>864</v>
      </c>
      <c r="C51" s="75" t="s">
        <v>203</v>
      </c>
      <c r="D51" s="75" t="s">
        <v>266</v>
      </c>
      <c r="E51" s="75" t="s">
        <v>271</v>
      </c>
      <c r="F51" s="75" t="s">
        <v>216</v>
      </c>
      <c r="G51" s="76">
        <f>G52</f>
        <v>1702.3340000000001</v>
      </c>
      <c r="H51" s="76">
        <f>H52</f>
        <v>1769.2260000000001</v>
      </c>
      <c r="I51" s="76">
        <f>I52</f>
        <v>1830.0200000000002</v>
      </c>
    </row>
    <row r="52" spans="1:9" ht="47.25">
      <c r="A52" s="74" t="s">
        <v>217</v>
      </c>
      <c r="B52" s="98" t="s">
        <v>864</v>
      </c>
      <c r="C52" s="75" t="s">
        <v>203</v>
      </c>
      <c r="D52" s="75" t="s">
        <v>266</v>
      </c>
      <c r="E52" s="75" t="s">
        <v>271</v>
      </c>
      <c r="F52" s="75" t="s">
        <v>218</v>
      </c>
      <c r="G52" s="76">
        <f>'3'!F95</f>
        <v>1702.3340000000001</v>
      </c>
      <c r="H52" s="76">
        <f>'3'!G95</f>
        <v>1769.2260000000001</v>
      </c>
      <c r="I52" s="76">
        <f>'3'!H95</f>
        <v>1830.0200000000002</v>
      </c>
    </row>
    <row r="53" spans="1:9" ht="31.5" hidden="1" customHeight="1">
      <c r="A53" s="74" t="s">
        <v>223</v>
      </c>
      <c r="B53" s="98">
        <v>951</v>
      </c>
      <c r="C53" s="75" t="s">
        <v>203</v>
      </c>
      <c r="D53" s="75" t="s">
        <v>266</v>
      </c>
      <c r="E53" s="75" t="s">
        <v>271</v>
      </c>
      <c r="F53" s="75" t="s">
        <v>224</v>
      </c>
      <c r="G53" s="76">
        <f>G54</f>
        <v>0</v>
      </c>
      <c r="H53" s="76">
        <f>H54</f>
        <v>0</v>
      </c>
      <c r="I53" s="76">
        <f>I54</f>
        <v>0</v>
      </c>
    </row>
    <row r="54" spans="1:9" ht="47.25" hidden="1" customHeight="1">
      <c r="A54" s="74" t="s">
        <v>225</v>
      </c>
      <c r="B54" s="98">
        <v>951</v>
      </c>
      <c r="C54" s="75" t="s">
        <v>203</v>
      </c>
      <c r="D54" s="75" t="s">
        <v>266</v>
      </c>
      <c r="E54" s="75" t="s">
        <v>271</v>
      </c>
      <c r="F54" s="75" t="s">
        <v>226</v>
      </c>
      <c r="G54" s="76">
        <v>0</v>
      </c>
      <c r="H54" s="76">
        <v>0</v>
      </c>
      <c r="I54" s="76">
        <v>0</v>
      </c>
    </row>
    <row r="55" spans="1:9" ht="49.5" customHeight="1">
      <c r="A55" s="78" t="s">
        <v>272</v>
      </c>
      <c r="B55" s="128" t="s">
        <v>864</v>
      </c>
      <c r="C55" s="79" t="s">
        <v>203</v>
      </c>
      <c r="D55" s="79" t="s">
        <v>266</v>
      </c>
      <c r="E55" s="79" t="s">
        <v>271</v>
      </c>
      <c r="F55" s="79" t="s">
        <v>206</v>
      </c>
      <c r="G55" s="80">
        <f>G56+G58</f>
        <v>1197.2910000000002</v>
      </c>
      <c r="H55" s="80">
        <f t="shared" ref="H55:I55" si="7">H56+H58</f>
        <v>1256.5540000000001</v>
      </c>
      <c r="I55" s="80">
        <f t="shared" si="7"/>
        <v>1316.7930000000001</v>
      </c>
    </row>
    <row r="56" spans="1:9" ht="96" customHeight="1">
      <c r="A56" s="74" t="s">
        <v>215</v>
      </c>
      <c r="B56" s="98" t="s">
        <v>864</v>
      </c>
      <c r="C56" s="75" t="s">
        <v>203</v>
      </c>
      <c r="D56" s="75" t="s">
        <v>266</v>
      </c>
      <c r="E56" s="75" t="s">
        <v>271</v>
      </c>
      <c r="F56" s="75" t="s">
        <v>216</v>
      </c>
      <c r="G56" s="76">
        <f>G57</f>
        <v>1197.2910000000002</v>
      </c>
      <c r="H56" s="76">
        <f>H57</f>
        <v>1256.5540000000001</v>
      </c>
      <c r="I56" s="76">
        <f>I57</f>
        <v>1316.7930000000001</v>
      </c>
    </row>
    <row r="57" spans="1:9" ht="47.25">
      <c r="A57" s="74" t="s">
        <v>217</v>
      </c>
      <c r="B57" s="98">
        <v>951</v>
      </c>
      <c r="C57" s="75" t="s">
        <v>203</v>
      </c>
      <c r="D57" s="75" t="s">
        <v>266</v>
      </c>
      <c r="E57" s="75" t="s">
        <v>271</v>
      </c>
      <c r="F57" s="75" t="s">
        <v>218</v>
      </c>
      <c r="G57" s="76">
        <f>'3'!F100</f>
        <v>1197.2910000000002</v>
      </c>
      <c r="H57" s="76">
        <f>'3'!G100</f>
        <v>1256.5540000000001</v>
      </c>
      <c r="I57" s="76">
        <f>'3'!H100</f>
        <v>1316.7930000000001</v>
      </c>
    </row>
    <row r="58" spans="1:9" ht="31.5" hidden="1" customHeight="1">
      <c r="A58" s="74" t="s">
        <v>223</v>
      </c>
      <c r="B58" s="98">
        <v>951</v>
      </c>
      <c r="C58" s="75" t="s">
        <v>203</v>
      </c>
      <c r="D58" s="75" t="s">
        <v>266</v>
      </c>
      <c r="E58" s="75" t="s">
        <v>271</v>
      </c>
      <c r="F58" s="75" t="s">
        <v>224</v>
      </c>
      <c r="G58" s="76">
        <f>G59</f>
        <v>0</v>
      </c>
      <c r="H58" s="76">
        <f>H59</f>
        <v>0</v>
      </c>
      <c r="I58" s="76">
        <f>I59</f>
        <v>0</v>
      </c>
    </row>
    <row r="59" spans="1:9" ht="47.25" hidden="1" customHeight="1">
      <c r="A59" s="74" t="s">
        <v>225</v>
      </c>
      <c r="B59" s="98">
        <v>951</v>
      </c>
      <c r="C59" s="75" t="s">
        <v>203</v>
      </c>
      <c r="D59" s="75" t="s">
        <v>266</v>
      </c>
      <c r="E59" s="75" t="s">
        <v>271</v>
      </c>
      <c r="F59" s="75" t="s">
        <v>226</v>
      </c>
      <c r="G59" s="76">
        <v>0</v>
      </c>
      <c r="H59" s="76">
        <v>0</v>
      </c>
      <c r="I59" s="76">
        <v>0</v>
      </c>
    </row>
    <row r="60" spans="1:9" ht="111.75" customHeight="1">
      <c r="A60" s="78" t="s">
        <v>273</v>
      </c>
      <c r="B60" s="128">
        <v>951</v>
      </c>
      <c r="C60" s="79" t="s">
        <v>203</v>
      </c>
      <c r="D60" s="79" t="s">
        <v>266</v>
      </c>
      <c r="E60" s="79" t="s">
        <v>274</v>
      </c>
      <c r="F60" s="79" t="s">
        <v>206</v>
      </c>
      <c r="G60" s="80">
        <f>G61+G63</f>
        <v>2693.587</v>
      </c>
      <c r="H60" s="80">
        <f>H61+H63</f>
        <v>2693.587</v>
      </c>
      <c r="I60" s="80">
        <f>I61+I63</f>
        <v>2693.587</v>
      </c>
    </row>
    <row r="61" spans="1:9" ht="97.5" customHeight="1">
      <c r="A61" s="74" t="s">
        <v>215</v>
      </c>
      <c r="B61" s="98">
        <v>951</v>
      </c>
      <c r="C61" s="75" t="s">
        <v>203</v>
      </c>
      <c r="D61" s="75" t="s">
        <v>266</v>
      </c>
      <c r="E61" s="75" t="s">
        <v>274</v>
      </c>
      <c r="F61" s="75" t="s">
        <v>216</v>
      </c>
      <c r="G61" s="76">
        <f>G62</f>
        <v>2358.5709999999999</v>
      </c>
      <c r="H61" s="76">
        <f>H62</f>
        <v>2358.5709999999999</v>
      </c>
      <c r="I61" s="76">
        <f>I62</f>
        <v>2358.5709999999999</v>
      </c>
    </row>
    <row r="62" spans="1:9" ht="47.25">
      <c r="A62" s="74" t="s">
        <v>217</v>
      </c>
      <c r="B62" s="98">
        <v>951</v>
      </c>
      <c r="C62" s="75" t="s">
        <v>203</v>
      </c>
      <c r="D62" s="75" t="s">
        <v>266</v>
      </c>
      <c r="E62" s="75" t="s">
        <v>274</v>
      </c>
      <c r="F62" s="75" t="s">
        <v>218</v>
      </c>
      <c r="G62" s="76">
        <f>'3'!F105</f>
        <v>2358.5709999999999</v>
      </c>
      <c r="H62" s="76">
        <f>'3'!G105</f>
        <v>2358.5709999999999</v>
      </c>
      <c r="I62" s="76">
        <f>'3'!H105</f>
        <v>2358.5709999999999</v>
      </c>
    </row>
    <row r="63" spans="1:9" ht="30.75" customHeight="1">
      <c r="A63" s="74" t="s">
        <v>223</v>
      </c>
      <c r="B63" s="98">
        <v>951</v>
      </c>
      <c r="C63" s="75" t="s">
        <v>203</v>
      </c>
      <c r="D63" s="75" t="s">
        <v>266</v>
      </c>
      <c r="E63" s="75" t="s">
        <v>274</v>
      </c>
      <c r="F63" s="75" t="s">
        <v>224</v>
      </c>
      <c r="G63" s="76">
        <f>G64</f>
        <v>335.01600000000002</v>
      </c>
      <c r="H63" s="76">
        <f>H64</f>
        <v>335.01600000000002</v>
      </c>
      <c r="I63" s="76">
        <f>I64</f>
        <v>335.01600000000002</v>
      </c>
    </row>
    <row r="64" spans="1:9" ht="47.25">
      <c r="A64" s="74" t="s">
        <v>225</v>
      </c>
      <c r="B64" s="98">
        <v>951</v>
      </c>
      <c r="C64" s="75" t="s">
        <v>203</v>
      </c>
      <c r="D64" s="75" t="s">
        <v>266</v>
      </c>
      <c r="E64" s="75" t="s">
        <v>274</v>
      </c>
      <c r="F64" s="75" t="s">
        <v>226</v>
      </c>
      <c r="G64" s="76">
        <f>'3'!F107</f>
        <v>335.01600000000002</v>
      </c>
      <c r="H64" s="76">
        <f>'3'!G107</f>
        <v>335.01600000000002</v>
      </c>
      <c r="I64" s="76">
        <f>'3'!H107</f>
        <v>335.01600000000002</v>
      </c>
    </row>
    <row r="65" spans="1:9" ht="79.5" customHeight="1">
      <c r="A65" s="78" t="s">
        <v>275</v>
      </c>
      <c r="B65" s="128">
        <v>951</v>
      </c>
      <c r="C65" s="79" t="s">
        <v>203</v>
      </c>
      <c r="D65" s="79" t="s">
        <v>266</v>
      </c>
      <c r="E65" s="79" t="s">
        <v>276</v>
      </c>
      <c r="F65" s="79" t="s">
        <v>206</v>
      </c>
      <c r="G65" s="80">
        <f>G68+G66</f>
        <v>461.44500000000005</v>
      </c>
      <c r="H65" s="80">
        <f t="shared" ref="H65:I65" si="8">H68+H66</f>
        <v>481.61</v>
      </c>
      <c r="I65" s="80">
        <f t="shared" si="8"/>
        <v>500.87400000000002</v>
      </c>
    </row>
    <row r="66" spans="1:9" ht="96" customHeight="1">
      <c r="A66" s="74" t="s">
        <v>215</v>
      </c>
      <c r="B66" s="98">
        <v>951</v>
      </c>
      <c r="C66" s="75" t="s">
        <v>203</v>
      </c>
      <c r="D66" s="75" t="s">
        <v>266</v>
      </c>
      <c r="E66" s="75" t="s">
        <v>276</v>
      </c>
      <c r="F66" s="75" t="s">
        <v>216</v>
      </c>
      <c r="G66" s="80">
        <f>G67</f>
        <v>194.41789</v>
      </c>
      <c r="H66" s="80">
        <f>H67</f>
        <v>0</v>
      </c>
      <c r="I66" s="80">
        <f>I67</f>
        <v>0</v>
      </c>
    </row>
    <row r="67" spans="1:9" ht="46.5" customHeight="1">
      <c r="A67" s="70" t="s">
        <v>217</v>
      </c>
      <c r="B67" s="130">
        <v>951</v>
      </c>
      <c r="C67" s="71" t="s">
        <v>203</v>
      </c>
      <c r="D67" s="71" t="s">
        <v>266</v>
      </c>
      <c r="E67" s="71" t="s">
        <v>276</v>
      </c>
      <c r="F67" s="71" t="s">
        <v>218</v>
      </c>
      <c r="G67" s="76">
        <f>'3'!F109</f>
        <v>194.41789</v>
      </c>
      <c r="H67" s="72">
        <f>'3'!G109</f>
        <v>0</v>
      </c>
      <c r="I67" s="72">
        <f>'3'!H109</f>
        <v>0</v>
      </c>
    </row>
    <row r="68" spans="1:9" ht="31.5">
      <c r="A68" s="70" t="s">
        <v>223</v>
      </c>
      <c r="B68" s="130">
        <v>951</v>
      </c>
      <c r="C68" s="71" t="s">
        <v>203</v>
      </c>
      <c r="D68" s="71" t="s">
        <v>266</v>
      </c>
      <c r="E68" s="71" t="s">
        <v>276</v>
      </c>
      <c r="F68" s="71" t="s">
        <v>224</v>
      </c>
      <c r="G68" s="76">
        <f>G69</f>
        <v>267.02711000000005</v>
      </c>
      <c r="H68" s="72">
        <f>H69</f>
        <v>481.61</v>
      </c>
      <c r="I68" s="72">
        <f>I69</f>
        <v>500.87400000000002</v>
      </c>
    </row>
    <row r="69" spans="1:9" ht="47.25">
      <c r="A69" s="74" t="s">
        <v>225</v>
      </c>
      <c r="B69" s="98">
        <v>951</v>
      </c>
      <c r="C69" s="75" t="s">
        <v>203</v>
      </c>
      <c r="D69" s="75" t="s">
        <v>266</v>
      </c>
      <c r="E69" s="75" t="s">
        <v>276</v>
      </c>
      <c r="F69" s="75" t="s">
        <v>226</v>
      </c>
      <c r="G69" s="76">
        <f>'3'!F111</f>
        <v>267.02711000000005</v>
      </c>
      <c r="H69" s="76">
        <f>'3'!G111</f>
        <v>481.61</v>
      </c>
      <c r="I69" s="76">
        <f>'3'!H111</f>
        <v>500.87400000000002</v>
      </c>
    </row>
    <row r="70" spans="1:9" s="210" customFormat="1" ht="31.5" hidden="1">
      <c r="A70" s="104" t="s">
        <v>277</v>
      </c>
      <c r="B70" s="139">
        <v>951</v>
      </c>
      <c r="C70" s="105" t="s">
        <v>203</v>
      </c>
      <c r="D70" s="105" t="s">
        <v>266</v>
      </c>
      <c r="E70" s="105" t="s">
        <v>278</v>
      </c>
      <c r="F70" s="105" t="s">
        <v>206</v>
      </c>
      <c r="G70" s="106">
        <f>G71</f>
        <v>0</v>
      </c>
      <c r="H70" s="106">
        <f>H71</f>
        <v>0</v>
      </c>
      <c r="I70" s="106">
        <f>I71</f>
        <v>0</v>
      </c>
    </row>
    <row r="71" spans="1:9" ht="47.25" hidden="1">
      <c r="A71" s="74" t="s">
        <v>225</v>
      </c>
      <c r="B71" s="98">
        <v>951</v>
      </c>
      <c r="C71" s="75" t="s">
        <v>203</v>
      </c>
      <c r="D71" s="75" t="s">
        <v>266</v>
      </c>
      <c r="E71" s="75" t="s">
        <v>278</v>
      </c>
      <c r="F71" s="75" t="s">
        <v>226</v>
      </c>
      <c r="G71" s="76"/>
      <c r="H71" s="76"/>
      <c r="I71" s="76"/>
    </row>
    <row r="72" spans="1:9" ht="78.75" hidden="1" customHeight="1">
      <c r="A72" s="78" t="s">
        <v>865</v>
      </c>
      <c r="B72" s="98">
        <v>951</v>
      </c>
      <c r="C72" s="75" t="s">
        <v>203</v>
      </c>
      <c r="D72" s="75" t="s">
        <v>266</v>
      </c>
      <c r="E72" s="79" t="s">
        <v>280</v>
      </c>
      <c r="F72" s="79" t="s">
        <v>206</v>
      </c>
      <c r="G72" s="80">
        <f>G73+G74</f>
        <v>0</v>
      </c>
      <c r="H72" s="80">
        <f>H73+H74</f>
        <v>0</v>
      </c>
      <c r="I72" s="80">
        <f>I73+I74</f>
        <v>0</v>
      </c>
    </row>
    <row r="73" spans="1:9" ht="94.5" hidden="1" customHeight="1">
      <c r="A73" s="103" t="s">
        <v>287</v>
      </c>
      <c r="B73" s="98">
        <v>951</v>
      </c>
      <c r="C73" s="75" t="s">
        <v>203</v>
      </c>
      <c r="D73" s="75" t="s">
        <v>266</v>
      </c>
      <c r="E73" s="75" t="s">
        <v>288</v>
      </c>
      <c r="F73" s="75" t="s">
        <v>286</v>
      </c>
      <c r="G73" s="76"/>
      <c r="H73" s="76"/>
      <c r="I73" s="76"/>
    </row>
    <row r="74" spans="1:9" ht="94.5" hidden="1" customHeight="1">
      <c r="A74" s="103" t="s">
        <v>866</v>
      </c>
      <c r="B74" s="98">
        <v>951</v>
      </c>
      <c r="C74" s="75" t="s">
        <v>203</v>
      </c>
      <c r="D74" s="75" t="s">
        <v>266</v>
      </c>
      <c r="E74" s="75" t="s">
        <v>282</v>
      </c>
      <c r="F74" s="75" t="s">
        <v>286</v>
      </c>
      <c r="G74" s="76"/>
      <c r="H74" s="76"/>
      <c r="I74" s="76"/>
    </row>
    <row r="75" spans="1:9" s="211" customFormat="1" ht="78.75" hidden="1">
      <c r="A75" s="78" t="s">
        <v>289</v>
      </c>
      <c r="B75" s="98">
        <v>951</v>
      </c>
      <c r="C75" s="79" t="s">
        <v>203</v>
      </c>
      <c r="D75" s="79" t="s">
        <v>266</v>
      </c>
      <c r="E75" s="79" t="s">
        <v>290</v>
      </c>
      <c r="F75" s="79" t="s">
        <v>206</v>
      </c>
      <c r="G75" s="80">
        <f t="shared" ref="G75:I78" si="9">G76</f>
        <v>0</v>
      </c>
      <c r="H75" s="80">
        <f t="shared" si="9"/>
        <v>0</v>
      </c>
      <c r="I75" s="80">
        <f t="shared" si="9"/>
        <v>0</v>
      </c>
    </row>
    <row r="76" spans="1:9" ht="94.5" hidden="1" customHeight="1">
      <c r="A76" s="74" t="s">
        <v>215</v>
      </c>
      <c r="B76" s="98">
        <v>951</v>
      </c>
      <c r="C76" s="75" t="s">
        <v>203</v>
      </c>
      <c r="D76" s="75" t="s">
        <v>266</v>
      </c>
      <c r="E76" s="75" t="s">
        <v>290</v>
      </c>
      <c r="F76" s="75" t="s">
        <v>216</v>
      </c>
      <c r="G76" s="76">
        <f t="shared" si="9"/>
        <v>0</v>
      </c>
      <c r="H76" s="76">
        <f t="shared" si="9"/>
        <v>0</v>
      </c>
      <c r="I76" s="76">
        <f t="shared" si="9"/>
        <v>0</v>
      </c>
    </row>
    <row r="77" spans="1:9" ht="47.25" hidden="1">
      <c r="A77" s="74" t="s">
        <v>217</v>
      </c>
      <c r="B77" s="98">
        <v>951</v>
      </c>
      <c r="C77" s="75" t="s">
        <v>203</v>
      </c>
      <c r="D77" s="75" t="s">
        <v>266</v>
      </c>
      <c r="E77" s="75" t="s">
        <v>290</v>
      </c>
      <c r="F77" s="75" t="s">
        <v>218</v>
      </c>
      <c r="G77" s="76"/>
      <c r="H77" s="76"/>
      <c r="I77" s="76"/>
    </row>
    <row r="78" spans="1:9" ht="30.75" customHeight="1">
      <c r="A78" s="104" t="s">
        <v>209</v>
      </c>
      <c r="B78" s="133">
        <v>951</v>
      </c>
      <c r="C78" s="101" t="s">
        <v>203</v>
      </c>
      <c r="D78" s="101" t="s">
        <v>266</v>
      </c>
      <c r="E78" s="101" t="s">
        <v>210</v>
      </c>
      <c r="F78" s="101" t="s">
        <v>206</v>
      </c>
      <c r="G78" s="102">
        <f t="shared" si="9"/>
        <v>11339.325999999999</v>
      </c>
      <c r="H78" s="102">
        <f>H79</f>
        <v>8158.0599999999995</v>
      </c>
      <c r="I78" s="102">
        <f>I79</f>
        <v>8540.9</v>
      </c>
    </row>
    <row r="79" spans="1:9" ht="53.25" customHeight="1">
      <c r="A79" s="74" t="s">
        <v>211</v>
      </c>
      <c r="B79" s="98">
        <v>951</v>
      </c>
      <c r="C79" s="75" t="s">
        <v>203</v>
      </c>
      <c r="D79" s="75" t="s">
        <v>266</v>
      </c>
      <c r="E79" s="75" t="s">
        <v>212</v>
      </c>
      <c r="F79" s="75" t="s">
        <v>206</v>
      </c>
      <c r="G79" s="76">
        <f>G80+G85+G113+G116+G119+G122+G125+G88+G91+G96</f>
        <v>11339.325999999999</v>
      </c>
      <c r="H79" s="76">
        <f>H80+H85+H88+H91+H113+H116+H119+H122+H125</f>
        <v>8158.0599999999995</v>
      </c>
      <c r="I79" s="76">
        <f>I80+I85+I88+I91+I113+I116+I119+I122+I125</f>
        <v>8540.9</v>
      </c>
    </row>
    <row r="80" spans="1:9" ht="53.25" customHeight="1">
      <c r="A80" s="74" t="s">
        <v>291</v>
      </c>
      <c r="B80" s="98">
        <v>951</v>
      </c>
      <c r="C80" s="75" t="s">
        <v>203</v>
      </c>
      <c r="D80" s="75" t="s">
        <v>266</v>
      </c>
      <c r="E80" s="75" t="s">
        <v>228</v>
      </c>
      <c r="F80" s="75" t="s">
        <v>206</v>
      </c>
      <c r="G80" s="76">
        <f>G81+G83</f>
        <v>7603.4699999999993</v>
      </c>
      <c r="H80" s="76">
        <f>H81+H83</f>
        <v>7968.0599999999995</v>
      </c>
      <c r="I80" s="76">
        <f>I81+I83</f>
        <v>8350.9</v>
      </c>
    </row>
    <row r="81" spans="1:9" ht="94.5" customHeight="1">
      <c r="A81" s="74" t="s">
        <v>215</v>
      </c>
      <c r="B81" s="98">
        <v>951</v>
      </c>
      <c r="C81" s="75" t="s">
        <v>203</v>
      </c>
      <c r="D81" s="75" t="s">
        <v>266</v>
      </c>
      <c r="E81" s="75" t="s">
        <v>228</v>
      </c>
      <c r="F81" s="75" t="s">
        <v>216</v>
      </c>
      <c r="G81" s="76">
        <f>G82</f>
        <v>7387.82</v>
      </c>
      <c r="H81" s="76">
        <f>H82</f>
        <v>7752.41</v>
      </c>
      <c r="I81" s="76">
        <f>I82</f>
        <v>8135.25</v>
      </c>
    </row>
    <row r="82" spans="1:9" ht="47.25">
      <c r="A82" s="74" t="s">
        <v>217</v>
      </c>
      <c r="B82" s="98">
        <v>951</v>
      </c>
      <c r="C82" s="75" t="s">
        <v>203</v>
      </c>
      <c r="D82" s="75" t="s">
        <v>266</v>
      </c>
      <c r="E82" s="75" t="s">
        <v>228</v>
      </c>
      <c r="F82" s="75" t="s">
        <v>218</v>
      </c>
      <c r="G82" s="76">
        <f>'3'!F129</f>
        <v>7387.82</v>
      </c>
      <c r="H82" s="76">
        <f>'3'!G129</f>
        <v>7752.41</v>
      </c>
      <c r="I82" s="76">
        <f>'3'!H129</f>
        <v>8135.25</v>
      </c>
    </row>
    <row r="83" spans="1:9" ht="31.5">
      <c r="A83" s="74" t="s">
        <v>223</v>
      </c>
      <c r="B83" s="98">
        <v>951</v>
      </c>
      <c r="C83" s="75" t="s">
        <v>203</v>
      </c>
      <c r="D83" s="75" t="s">
        <v>266</v>
      </c>
      <c r="E83" s="75" t="s">
        <v>228</v>
      </c>
      <c r="F83" s="75" t="s">
        <v>224</v>
      </c>
      <c r="G83" s="76">
        <f>G84</f>
        <v>215.65</v>
      </c>
      <c r="H83" s="76">
        <f>H84</f>
        <v>215.65</v>
      </c>
      <c r="I83" s="76">
        <f>I84</f>
        <v>215.65</v>
      </c>
    </row>
    <row r="84" spans="1:9" ht="51.75" customHeight="1">
      <c r="A84" s="74" t="s">
        <v>225</v>
      </c>
      <c r="B84" s="98">
        <v>951</v>
      </c>
      <c r="C84" s="75" t="s">
        <v>203</v>
      </c>
      <c r="D84" s="75" t="s">
        <v>266</v>
      </c>
      <c r="E84" s="75" t="s">
        <v>228</v>
      </c>
      <c r="F84" s="75" t="s">
        <v>226</v>
      </c>
      <c r="G84" s="76">
        <f>'3'!F131</f>
        <v>215.65</v>
      </c>
      <c r="H84" s="76">
        <f>'3'!G131</f>
        <v>215.65</v>
      </c>
      <c r="I84" s="76">
        <f>'3'!H131</f>
        <v>215.65</v>
      </c>
    </row>
    <row r="85" spans="1:9" ht="15.75" hidden="1" customHeight="1">
      <c r="A85" s="78" t="s">
        <v>292</v>
      </c>
      <c r="B85" s="128">
        <v>951</v>
      </c>
      <c r="C85" s="79" t="s">
        <v>203</v>
      </c>
      <c r="D85" s="79" t="s">
        <v>266</v>
      </c>
      <c r="E85" s="79" t="s">
        <v>293</v>
      </c>
      <c r="F85" s="79" t="s">
        <v>206</v>
      </c>
      <c r="G85" s="80">
        <f t="shared" ref="G85:I86" si="10">G86</f>
        <v>0</v>
      </c>
      <c r="H85" s="80">
        <f t="shared" si="10"/>
        <v>0</v>
      </c>
      <c r="I85" s="80">
        <f t="shared" si="10"/>
        <v>0</v>
      </c>
    </row>
    <row r="86" spans="1:9" ht="15.75" hidden="1" customHeight="1">
      <c r="A86" s="74" t="s">
        <v>229</v>
      </c>
      <c r="B86" s="98">
        <v>951</v>
      </c>
      <c r="C86" s="75" t="s">
        <v>203</v>
      </c>
      <c r="D86" s="75" t="s">
        <v>266</v>
      </c>
      <c r="E86" s="75" t="s">
        <v>293</v>
      </c>
      <c r="F86" s="75" t="s">
        <v>230</v>
      </c>
      <c r="G86" s="76">
        <f t="shared" si="10"/>
        <v>0</v>
      </c>
      <c r="H86" s="76">
        <f t="shared" si="10"/>
        <v>0</v>
      </c>
      <c r="I86" s="76">
        <f t="shared" si="10"/>
        <v>0</v>
      </c>
    </row>
    <row r="87" spans="1:9" ht="15.75" hidden="1" customHeight="1">
      <c r="A87" s="74" t="s">
        <v>292</v>
      </c>
      <c r="B87" s="98">
        <v>951</v>
      </c>
      <c r="C87" s="75" t="s">
        <v>203</v>
      </c>
      <c r="D87" s="75" t="s">
        <v>266</v>
      </c>
      <c r="E87" s="75" t="s">
        <v>293</v>
      </c>
      <c r="F87" s="75" t="s">
        <v>294</v>
      </c>
      <c r="G87" s="76">
        <f>'5'!D274</f>
        <v>0</v>
      </c>
      <c r="H87" s="76">
        <f>'5'!E274</f>
        <v>0</v>
      </c>
      <c r="I87" s="76">
        <f>'5'!F274</f>
        <v>0</v>
      </c>
    </row>
    <row r="88" spans="1:9" ht="66" customHeight="1">
      <c r="A88" s="78" t="s">
        <v>296</v>
      </c>
      <c r="B88" s="128">
        <v>951</v>
      </c>
      <c r="C88" s="79" t="s">
        <v>203</v>
      </c>
      <c r="D88" s="79" t="s">
        <v>266</v>
      </c>
      <c r="E88" s="79" t="s">
        <v>297</v>
      </c>
      <c r="F88" s="79" t="s">
        <v>206</v>
      </c>
      <c r="G88" s="80">
        <f t="shared" ref="G88:I89" si="11">G89</f>
        <v>500</v>
      </c>
      <c r="H88" s="80">
        <f t="shared" si="11"/>
        <v>50</v>
      </c>
      <c r="I88" s="80">
        <f t="shared" si="11"/>
        <v>50</v>
      </c>
    </row>
    <row r="89" spans="1:9" ht="31.5">
      <c r="A89" s="74" t="s">
        <v>223</v>
      </c>
      <c r="B89" s="98">
        <v>951</v>
      </c>
      <c r="C89" s="75" t="s">
        <v>203</v>
      </c>
      <c r="D89" s="75" t="s">
        <v>266</v>
      </c>
      <c r="E89" s="75" t="s">
        <v>297</v>
      </c>
      <c r="F89" s="75" t="s">
        <v>224</v>
      </c>
      <c r="G89" s="76">
        <f t="shared" si="11"/>
        <v>500</v>
      </c>
      <c r="H89" s="76">
        <f t="shared" si="11"/>
        <v>50</v>
      </c>
      <c r="I89" s="76">
        <f t="shared" si="11"/>
        <v>50</v>
      </c>
    </row>
    <row r="90" spans="1:9" ht="52.5" customHeight="1">
      <c r="A90" s="74" t="s">
        <v>225</v>
      </c>
      <c r="B90" s="98">
        <v>951</v>
      </c>
      <c r="C90" s="75" t="s">
        <v>203</v>
      </c>
      <c r="D90" s="75" t="s">
        <v>266</v>
      </c>
      <c r="E90" s="75" t="s">
        <v>297</v>
      </c>
      <c r="F90" s="75" t="s">
        <v>226</v>
      </c>
      <c r="G90" s="76">
        <f>'5'!D276</f>
        <v>500</v>
      </c>
      <c r="H90" s="76">
        <f>'5'!E276</f>
        <v>50</v>
      </c>
      <c r="I90" s="76">
        <f>'5'!F276</f>
        <v>50</v>
      </c>
    </row>
    <row r="91" spans="1:9" ht="20.25" customHeight="1">
      <c r="A91" s="78" t="s">
        <v>298</v>
      </c>
      <c r="B91" s="128" t="s">
        <v>864</v>
      </c>
      <c r="C91" s="79" t="s">
        <v>203</v>
      </c>
      <c r="D91" s="79" t="s">
        <v>266</v>
      </c>
      <c r="E91" s="79" t="s">
        <v>299</v>
      </c>
      <c r="F91" s="79" t="s">
        <v>206</v>
      </c>
      <c r="G91" s="80">
        <f>G92+G94</f>
        <v>2148.04</v>
      </c>
      <c r="H91" s="80">
        <f t="shared" ref="H91:I91" si="12">H92+H94</f>
        <v>60</v>
      </c>
      <c r="I91" s="80">
        <f t="shared" si="12"/>
        <v>60</v>
      </c>
    </row>
    <row r="92" spans="1:9" ht="34.15" customHeight="1">
      <c r="A92" s="74" t="s">
        <v>223</v>
      </c>
      <c r="B92" s="98" t="s">
        <v>864</v>
      </c>
      <c r="C92" s="75" t="s">
        <v>203</v>
      </c>
      <c r="D92" s="75" t="s">
        <v>266</v>
      </c>
      <c r="E92" s="75" t="s">
        <v>299</v>
      </c>
      <c r="F92" s="75" t="s">
        <v>224</v>
      </c>
      <c r="G92" s="76">
        <f>G93</f>
        <v>2148.04</v>
      </c>
      <c r="H92" s="76">
        <f>H93</f>
        <v>60</v>
      </c>
      <c r="I92" s="76">
        <f>I93</f>
        <v>60</v>
      </c>
    </row>
    <row r="93" spans="1:9" ht="51" customHeight="1">
      <c r="A93" s="74" t="s">
        <v>225</v>
      </c>
      <c r="B93" s="98" t="s">
        <v>864</v>
      </c>
      <c r="C93" s="75" t="s">
        <v>203</v>
      </c>
      <c r="D93" s="75" t="s">
        <v>266</v>
      </c>
      <c r="E93" s="75" t="s">
        <v>299</v>
      </c>
      <c r="F93" s="75" t="s">
        <v>226</v>
      </c>
      <c r="G93" s="76">
        <f>'5'!D295</f>
        <v>2148.04</v>
      </c>
      <c r="H93" s="76">
        <f>'5'!E295</f>
        <v>60</v>
      </c>
      <c r="I93" s="76">
        <f>'5'!F295</f>
        <v>60</v>
      </c>
    </row>
    <row r="94" spans="1:9" ht="15.75" hidden="1" customHeight="1">
      <c r="A94" s="74" t="s">
        <v>229</v>
      </c>
      <c r="B94" s="98" t="s">
        <v>864</v>
      </c>
      <c r="C94" s="75" t="s">
        <v>203</v>
      </c>
      <c r="D94" s="75" t="s">
        <v>266</v>
      </c>
      <c r="E94" s="75" t="s">
        <v>299</v>
      </c>
      <c r="F94" s="75" t="s">
        <v>230</v>
      </c>
      <c r="G94" s="76">
        <f>G95</f>
        <v>0</v>
      </c>
      <c r="H94" s="76">
        <f>H95</f>
        <v>0</v>
      </c>
      <c r="I94" s="76">
        <f>I95</f>
        <v>0</v>
      </c>
    </row>
    <row r="95" spans="1:9" hidden="1">
      <c r="A95" s="74" t="s">
        <v>231</v>
      </c>
      <c r="B95" s="98" t="s">
        <v>864</v>
      </c>
      <c r="C95" s="75" t="s">
        <v>203</v>
      </c>
      <c r="D95" s="75" t="s">
        <v>266</v>
      </c>
      <c r="E95" s="75" t="s">
        <v>299</v>
      </c>
      <c r="F95" s="75" t="s">
        <v>232</v>
      </c>
      <c r="G95" s="76"/>
      <c r="H95" s="76"/>
      <c r="I95" s="76"/>
    </row>
    <row r="96" spans="1:9" ht="94.5" customHeight="1">
      <c r="A96" s="78" t="s">
        <v>300</v>
      </c>
      <c r="B96" s="128" t="s">
        <v>864</v>
      </c>
      <c r="C96" s="79" t="s">
        <v>203</v>
      </c>
      <c r="D96" s="79" t="s">
        <v>266</v>
      </c>
      <c r="E96" s="75" t="s">
        <v>301</v>
      </c>
      <c r="F96" s="79" t="s">
        <v>206</v>
      </c>
      <c r="G96" s="80">
        <f>G97+G99</f>
        <v>107.81599999999999</v>
      </c>
      <c r="H96" s="80">
        <f>H97+H99</f>
        <v>0</v>
      </c>
      <c r="I96" s="80">
        <f>I97+I99</f>
        <v>0</v>
      </c>
    </row>
    <row r="97" spans="1:9" ht="31.5" customHeight="1">
      <c r="A97" s="74" t="s">
        <v>223</v>
      </c>
      <c r="B97" s="98" t="s">
        <v>864</v>
      </c>
      <c r="C97" s="75" t="s">
        <v>203</v>
      </c>
      <c r="D97" s="75" t="s">
        <v>266</v>
      </c>
      <c r="E97" s="75" t="s">
        <v>301</v>
      </c>
      <c r="F97" s="75" t="s">
        <v>224</v>
      </c>
      <c r="G97" s="76">
        <f>G98</f>
        <v>107.81599999999999</v>
      </c>
      <c r="H97" s="76">
        <f>H98</f>
        <v>0</v>
      </c>
      <c r="I97" s="76">
        <f>I98</f>
        <v>0</v>
      </c>
    </row>
    <row r="98" spans="1:9" ht="47.25" customHeight="1">
      <c r="A98" s="74" t="s">
        <v>225</v>
      </c>
      <c r="B98" s="98" t="s">
        <v>864</v>
      </c>
      <c r="C98" s="75" t="s">
        <v>203</v>
      </c>
      <c r="D98" s="75" t="s">
        <v>266</v>
      </c>
      <c r="E98" s="75" t="s">
        <v>301</v>
      </c>
      <c r="F98" s="75" t="s">
        <v>226</v>
      </c>
      <c r="G98" s="76">
        <f>'5'!D304</f>
        <v>107.81599999999999</v>
      </c>
      <c r="H98" s="76">
        <v>0</v>
      </c>
      <c r="I98" s="76">
        <v>0</v>
      </c>
    </row>
    <row r="99" spans="1:9" ht="15.75" hidden="1" customHeight="1">
      <c r="A99" s="74" t="s">
        <v>229</v>
      </c>
      <c r="B99" s="98" t="s">
        <v>864</v>
      </c>
      <c r="C99" s="75" t="s">
        <v>203</v>
      </c>
      <c r="D99" s="75" t="s">
        <v>266</v>
      </c>
      <c r="E99" s="75" t="s">
        <v>302</v>
      </c>
      <c r="F99" s="75" t="s">
        <v>230</v>
      </c>
      <c r="G99" s="76">
        <f>G100</f>
        <v>0</v>
      </c>
      <c r="H99" s="76">
        <f>H100</f>
        <v>0</v>
      </c>
      <c r="I99" s="76">
        <f>I100</f>
        <v>0</v>
      </c>
    </row>
    <row r="100" spans="1:9" ht="15.75" hidden="1" customHeight="1">
      <c r="A100" s="74" t="s">
        <v>231</v>
      </c>
      <c r="B100" s="98" t="s">
        <v>864</v>
      </c>
      <c r="C100" s="75" t="s">
        <v>203</v>
      </c>
      <c r="D100" s="75" t="s">
        <v>266</v>
      </c>
      <c r="E100" s="75" t="s">
        <v>302</v>
      </c>
      <c r="F100" s="75" t="s">
        <v>232</v>
      </c>
      <c r="G100" s="76"/>
      <c r="H100" s="76"/>
      <c r="I100" s="76"/>
    </row>
    <row r="101" spans="1:9" ht="78.75" customHeight="1">
      <c r="A101" s="104" t="s">
        <v>303</v>
      </c>
      <c r="B101" s="139" t="s">
        <v>864</v>
      </c>
      <c r="C101" s="105" t="s">
        <v>203</v>
      </c>
      <c r="D101" s="105" t="s">
        <v>266</v>
      </c>
      <c r="E101" s="105" t="s">
        <v>205</v>
      </c>
      <c r="F101" s="105" t="s">
        <v>206</v>
      </c>
      <c r="G101" s="106">
        <f t="shared" ref="G101:G103" si="13">G102</f>
        <v>1101.2040000000002</v>
      </c>
      <c r="H101" s="106">
        <f t="shared" ref="H101:I103" si="14">H102</f>
        <v>0</v>
      </c>
      <c r="I101" s="106">
        <f t="shared" si="14"/>
        <v>0</v>
      </c>
    </row>
    <row r="102" spans="1:9" ht="32.25" customHeight="1">
      <c r="A102" s="74" t="s">
        <v>258</v>
      </c>
      <c r="B102" s="98" t="s">
        <v>864</v>
      </c>
      <c r="C102" s="75" t="s">
        <v>203</v>
      </c>
      <c r="D102" s="75" t="s">
        <v>266</v>
      </c>
      <c r="E102" s="75" t="s">
        <v>210</v>
      </c>
      <c r="F102" s="75" t="s">
        <v>206</v>
      </c>
      <c r="G102" s="76">
        <f t="shared" si="13"/>
        <v>1101.2040000000002</v>
      </c>
      <c r="H102" s="76">
        <f t="shared" si="14"/>
        <v>0</v>
      </c>
      <c r="I102" s="76">
        <f t="shared" si="14"/>
        <v>0</v>
      </c>
    </row>
    <row r="103" spans="1:9" ht="47.25" customHeight="1">
      <c r="A103" s="74" t="s">
        <v>211</v>
      </c>
      <c r="B103" s="98" t="s">
        <v>864</v>
      </c>
      <c r="C103" s="75" t="s">
        <v>203</v>
      </c>
      <c r="D103" s="75" t="s">
        <v>266</v>
      </c>
      <c r="E103" s="75" t="s">
        <v>212</v>
      </c>
      <c r="F103" s="75" t="s">
        <v>206</v>
      </c>
      <c r="G103" s="76">
        <f t="shared" si="13"/>
        <v>1101.2040000000002</v>
      </c>
      <c r="H103" s="76">
        <f t="shared" si="14"/>
        <v>0</v>
      </c>
      <c r="I103" s="76">
        <f t="shared" si="14"/>
        <v>0</v>
      </c>
    </row>
    <row r="104" spans="1:9" ht="85.5" customHeight="1">
      <c r="A104" s="74" t="s">
        <v>304</v>
      </c>
      <c r="B104" s="98" t="s">
        <v>864</v>
      </c>
      <c r="C104" s="75" t="s">
        <v>203</v>
      </c>
      <c r="D104" s="75" t="s">
        <v>266</v>
      </c>
      <c r="E104" s="75" t="s">
        <v>305</v>
      </c>
      <c r="F104" s="75" t="s">
        <v>206</v>
      </c>
      <c r="G104" s="76">
        <f>G106+G108</f>
        <v>1101.2040000000002</v>
      </c>
      <c r="H104" s="76">
        <f>H106+H108</f>
        <v>0</v>
      </c>
      <c r="I104" s="76">
        <f>I106+I108</f>
        <v>0</v>
      </c>
    </row>
    <row r="105" spans="1:9" ht="93" customHeight="1">
      <c r="A105" s="74" t="s">
        <v>215</v>
      </c>
      <c r="B105" s="98" t="s">
        <v>864</v>
      </c>
      <c r="C105" s="75" t="s">
        <v>203</v>
      </c>
      <c r="D105" s="75" t="s">
        <v>266</v>
      </c>
      <c r="E105" s="98" t="s">
        <v>305</v>
      </c>
      <c r="F105" s="75" t="s">
        <v>216</v>
      </c>
      <c r="G105" s="76">
        <f>G106</f>
        <v>634.60400000000004</v>
      </c>
      <c r="H105" s="76">
        <f>H106</f>
        <v>0</v>
      </c>
      <c r="I105" s="76">
        <f>I106</f>
        <v>0</v>
      </c>
    </row>
    <row r="106" spans="1:9" ht="31.9" customHeight="1">
      <c r="A106" s="74" t="s">
        <v>217</v>
      </c>
      <c r="B106" s="98" t="s">
        <v>864</v>
      </c>
      <c r="C106" s="75" t="s">
        <v>203</v>
      </c>
      <c r="D106" s="75" t="s">
        <v>266</v>
      </c>
      <c r="E106" s="98" t="s">
        <v>305</v>
      </c>
      <c r="F106" s="75" t="s">
        <v>218</v>
      </c>
      <c r="G106" s="76">
        <f>'3'!F155</f>
        <v>634.60400000000004</v>
      </c>
      <c r="H106" s="76">
        <f>'3'!G155</f>
        <v>0</v>
      </c>
      <c r="I106" s="76">
        <f>'3'!H155</f>
        <v>0</v>
      </c>
    </row>
    <row r="107" spans="1:9" ht="31.5">
      <c r="A107" s="74" t="s">
        <v>223</v>
      </c>
      <c r="B107" s="98" t="s">
        <v>864</v>
      </c>
      <c r="C107" s="75" t="s">
        <v>203</v>
      </c>
      <c r="D107" s="75" t="s">
        <v>266</v>
      </c>
      <c r="E107" s="98" t="s">
        <v>305</v>
      </c>
      <c r="F107" s="75" t="s">
        <v>224</v>
      </c>
      <c r="G107" s="76">
        <f>G108</f>
        <v>466.6</v>
      </c>
      <c r="H107" s="76">
        <f>H108</f>
        <v>0</v>
      </c>
      <c r="I107" s="76">
        <f>I108</f>
        <v>0</v>
      </c>
    </row>
    <row r="108" spans="1:9" ht="46.5" customHeight="1">
      <c r="A108" s="74" t="s">
        <v>225</v>
      </c>
      <c r="B108" s="98" t="s">
        <v>864</v>
      </c>
      <c r="C108" s="75" t="s">
        <v>203</v>
      </c>
      <c r="D108" s="75" t="s">
        <v>266</v>
      </c>
      <c r="E108" s="98" t="s">
        <v>305</v>
      </c>
      <c r="F108" s="75" t="s">
        <v>226</v>
      </c>
      <c r="G108" s="76">
        <f>'3'!F157</f>
        <v>466.6</v>
      </c>
      <c r="H108" s="76">
        <f>'3'!G157</f>
        <v>0</v>
      </c>
      <c r="I108" s="76">
        <f>'3'!H157</f>
        <v>0</v>
      </c>
    </row>
    <row r="109" spans="1:9" ht="31.5" hidden="1" customHeight="1">
      <c r="A109" s="74" t="s">
        <v>258</v>
      </c>
      <c r="B109" s="98" t="s">
        <v>864</v>
      </c>
      <c r="C109" s="75" t="s">
        <v>203</v>
      </c>
      <c r="D109" s="75" t="s">
        <v>266</v>
      </c>
      <c r="E109" s="75" t="s">
        <v>210</v>
      </c>
      <c r="F109" s="76" t="str">
        <f>F110</f>
        <v>000</v>
      </c>
      <c r="G109" s="76">
        <f t="shared" ref="G109:I117" si="15">G110</f>
        <v>0</v>
      </c>
      <c r="H109" s="76">
        <f t="shared" ref="H109:I111" si="16">H110</f>
        <v>0</v>
      </c>
      <c r="I109" s="76">
        <f t="shared" si="16"/>
        <v>0</v>
      </c>
    </row>
    <row r="110" spans="1:9" ht="47.25" hidden="1" customHeight="1">
      <c r="A110" s="74" t="s">
        <v>211</v>
      </c>
      <c r="B110" s="98" t="s">
        <v>864</v>
      </c>
      <c r="C110" s="75" t="s">
        <v>203</v>
      </c>
      <c r="D110" s="75" t="s">
        <v>266</v>
      </c>
      <c r="E110" s="75" t="s">
        <v>212</v>
      </c>
      <c r="F110" s="75" t="s">
        <v>206</v>
      </c>
      <c r="G110" s="76">
        <f t="shared" si="15"/>
        <v>0</v>
      </c>
      <c r="H110" s="76">
        <f t="shared" si="16"/>
        <v>0</v>
      </c>
      <c r="I110" s="76">
        <f t="shared" si="16"/>
        <v>0</v>
      </c>
    </row>
    <row r="111" spans="1:9" ht="94.5" hidden="1" customHeight="1">
      <c r="A111" s="74" t="s">
        <v>215</v>
      </c>
      <c r="B111" s="98" t="s">
        <v>864</v>
      </c>
      <c r="C111" s="75" t="s">
        <v>203</v>
      </c>
      <c r="D111" s="75" t="s">
        <v>266</v>
      </c>
      <c r="E111" s="75" t="s">
        <v>306</v>
      </c>
      <c r="F111" s="75" t="s">
        <v>216</v>
      </c>
      <c r="G111" s="76">
        <f t="shared" si="15"/>
        <v>0</v>
      </c>
      <c r="H111" s="76">
        <f t="shared" si="16"/>
        <v>0</v>
      </c>
      <c r="I111" s="76">
        <f t="shared" si="16"/>
        <v>0</v>
      </c>
    </row>
    <row r="112" spans="1:9" ht="47.25" hidden="1" customHeight="1">
      <c r="A112" s="74" t="s">
        <v>217</v>
      </c>
      <c r="B112" s="98" t="s">
        <v>864</v>
      </c>
      <c r="C112" s="75" t="s">
        <v>203</v>
      </c>
      <c r="D112" s="75" t="s">
        <v>266</v>
      </c>
      <c r="E112" s="75" t="s">
        <v>306</v>
      </c>
      <c r="F112" s="75" t="s">
        <v>218</v>
      </c>
      <c r="G112" s="76"/>
      <c r="H112" s="76"/>
      <c r="I112" s="76"/>
    </row>
    <row r="113" spans="1:9" ht="47.25" hidden="1" customHeight="1">
      <c r="A113" s="78" t="s">
        <v>307</v>
      </c>
      <c r="B113" s="128" t="s">
        <v>864</v>
      </c>
      <c r="C113" s="79" t="s">
        <v>203</v>
      </c>
      <c r="D113" s="79" t="s">
        <v>266</v>
      </c>
      <c r="E113" s="79" t="s">
        <v>308</v>
      </c>
      <c r="F113" s="79" t="s">
        <v>206</v>
      </c>
      <c r="G113" s="80">
        <f t="shared" si="15"/>
        <v>0</v>
      </c>
      <c r="H113" s="80">
        <f t="shared" si="15"/>
        <v>0</v>
      </c>
      <c r="I113" s="80">
        <f t="shared" si="15"/>
        <v>0</v>
      </c>
    </row>
    <row r="114" spans="1:9" ht="31.5" hidden="1" customHeight="1">
      <c r="A114" s="74" t="s">
        <v>223</v>
      </c>
      <c r="B114" s="98" t="s">
        <v>864</v>
      </c>
      <c r="C114" s="75" t="s">
        <v>203</v>
      </c>
      <c r="D114" s="75" t="s">
        <v>266</v>
      </c>
      <c r="E114" s="75" t="s">
        <v>308</v>
      </c>
      <c r="F114" s="75" t="s">
        <v>224</v>
      </c>
      <c r="G114" s="76">
        <f t="shared" si="15"/>
        <v>0</v>
      </c>
      <c r="H114" s="76">
        <f t="shared" si="15"/>
        <v>0</v>
      </c>
      <c r="I114" s="76">
        <f t="shared" si="15"/>
        <v>0</v>
      </c>
    </row>
    <row r="115" spans="1:9" ht="47.25" hidden="1" customHeight="1">
      <c r="A115" s="74" t="s">
        <v>225</v>
      </c>
      <c r="B115" s="98" t="s">
        <v>864</v>
      </c>
      <c r="C115" s="75" t="s">
        <v>203</v>
      </c>
      <c r="D115" s="75" t="s">
        <v>266</v>
      </c>
      <c r="E115" s="75" t="s">
        <v>308</v>
      </c>
      <c r="F115" s="75" t="s">
        <v>226</v>
      </c>
      <c r="G115" s="76"/>
      <c r="H115" s="76"/>
      <c r="I115" s="76"/>
    </row>
    <row r="116" spans="1:9" ht="31.5" hidden="1">
      <c r="A116" s="104" t="s">
        <v>309</v>
      </c>
      <c r="B116" s="139" t="s">
        <v>864</v>
      </c>
      <c r="C116" s="105" t="s">
        <v>203</v>
      </c>
      <c r="D116" s="105" t="s">
        <v>266</v>
      </c>
      <c r="E116" s="105" t="s">
        <v>310</v>
      </c>
      <c r="F116" s="105" t="s">
        <v>206</v>
      </c>
      <c r="G116" s="106">
        <f t="shared" si="15"/>
        <v>0</v>
      </c>
      <c r="H116" s="106">
        <f t="shared" si="15"/>
        <v>0</v>
      </c>
      <c r="I116" s="106">
        <f t="shared" si="15"/>
        <v>0</v>
      </c>
    </row>
    <row r="117" spans="1:9" ht="31.5" hidden="1" customHeight="1">
      <c r="A117" s="74" t="s">
        <v>223</v>
      </c>
      <c r="B117" s="98" t="s">
        <v>864</v>
      </c>
      <c r="C117" s="75" t="s">
        <v>203</v>
      </c>
      <c r="D117" s="75" t="s">
        <v>266</v>
      </c>
      <c r="E117" s="75" t="s">
        <v>310</v>
      </c>
      <c r="F117" s="75" t="s">
        <v>224</v>
      </c>
      <c r="G117" s="76">
        <f t="shared" si="15"/>
        <v>0</v>
      </c>
      <c r="H117" s="76">
        <f t="shared" si="15"/>
        <v>0</v>
      </c>
      <c r="I117" s="76">
        <f t="shared" si="15"/>
        <v>0</v>
      </c>
    </row>
    <row r="118" spans="1:9" ht="47.25" hidden="1" customHeight="1">
      <c r="A118" s="74" t="s">
        <v>225</v>
      </c>
      <c r="B118" s="98" t="s">
        <v>864</v>
      </c>
      <c r="C118" s="75" t="s">
        <v>203</v>
      </c>
      <c r="D118" s="75" t="s">
        <v>266</v>
      </c>
      <c r="E118" s="75" t="s">
        <v>310</v>
      </c>
      <c r="F118" s="75" t="s">
        <v>226</v>
      </c>
      <c r="G118" s="76">
        <f>'5'!D309</f>
        <v>0</v>
      </c>
      <c r="H118" s="76">
        <f>'5'!E309</f>
        <v>0</v>
      </c>
      <c r="I118" s="76">
        <f>'5'!F309</f>
        <v>0</v>
      </c>
    </row>
    <row r="119" spans="1:9" ht="94.5" hidden="1" customHeight="1">
      <c r="A119" s="78" t="s">
        <v>300</v>
      </c>
      <c r="B119" s="98" t="s">
        <v>864</v>
      </c>
      <c r="C119" s="79" t="s">
        <v>203</v>
      </c>
      <c r="D119" s="79" t="s">
        <v>266</v>
      </c>
      <c r="E119" s="79" t="s">
        <v>301</v>
      </c>
      <c r="F119" s="79" t="s">
        <v>206</v>
      </c>
      <c r="G119" s="80">
        <f t="shared" ref="G119:I123" si="17">G120</f>
        <v>0</v>
      </c>
      <c r="H119" s="80">
        <f t="shared" si="17"/>
        <v>0</v>
      </c>
      <c r="I119" s="80">
        <f t="shared" si="17"/>
        <v>0</v>
      </c>
    </row>
    <row r="120" spans="1:9" ht="31.5" hidden="1" customHeight="1">
      <c r="A120" s="74" t="s">
        <v>223</v>
      </c>
      <c r="B120" s="98" t="s">
        <v>864</v>
      </c>
      <c r="C120" s="75" t="s">
        <v>203</v>
      </c>
      <c r="D120" s="75" t="s">
        <v>266</v>
      </c>
      <c r="E120" s="75" t="s">
        <v>301</v>
      </c>
      <c r="F120" s="75" t="s">
        <v>224</v>
      </c>
      <c r="G120" s="76">
        <f t="shared" si="17"/>
        <v>0</v>
      </c>
      <c r="H120" s="76">
        <f t="shared" si="17"/>
        <v>0</v>
      </c>
      <c r="I120" s="76">
        <f t="shared" si="17"/>
        <v>0</v>
      </c>
    </row>
    <row r="121" spans="1:9" ht="47.25" hidden="1" customHeight="1">
      <c r="A121" s="74" t="s">
        <v>225</v>
      </c>
      <c r="B121" s="98" t="s">
        <v>864</v>
      </c>
      <c r="C121" s="75" t="s">
        <v>203</v>
      </c>
      <c r="D121" s="75" t="s">
        <v>266</v>
      </c>
      <c r="E121" s="75" t="s">
        <v>301</v>
      </c>
      <c r="F121" s="75" t="s">
        <v>226</v>
      </c>
      <c r="G121" s="76"/>
      <c r="H121" s="76"/>
      <c r="I121" s="76"/>
    </row>
    <row r="122" spans="1:9" ht="70.5" customHeight="1">
      <c r="A122" s="78" t="s">
        <v>311</v>
      </c>
      <c r="B122" s="98" t="s">
        <v>864</v>
      </c>
      <c r="C122" s="79" t="s">
        <v>203</v>
      </c>
      <c r="D122" s="79" t="s">
        <v>266</v>
      </c>
      <c r="E122" s="79" t="s">
        <v>312</v>
      </c>
      <c r="F122" s="79" t="s">
        <v>206</v>
      </c>
      <c r="G122" s="80">
        <f t="shared" si="17"/>
        <v>580</v>
      </c>
      <c r="H122" s="80">
        <f t="shared" si="17"/>
        <v>80</v>
      </c>
      <c r="I122" s="80">
        <f t="shared" si="17"/>
        <v>80</v>
      </c>
    </row>
    <row r="123" spans="1:9" ht="35.25" customHeight="1">
      <c r="A123" s="74" t="s">
        <v>223</v>
      </c>
      <c r="B123" s="98" t="s">
        <v>864</v>
      </c>
      <c r="C123" s="75" t="s">
        <v>203</v>
      </c>
      <c r="D123" s="75" t="s">
        <v>266</v>
      </c>
      <c r="E123" s="75" t="s">
        <v>312</v>
      </c>
      <c r="F123" s="75" t="s">
        <v>224</v>
      </c>
      <c r="G123" s="76">
        <f t="shared" si="17"/>
        <v>580</v>
      </c>
      <c r="H123" s="76">
        <f t="shared" si="17"/>
        <v>80</v>
      </c>
      <c r="I123" s="76">
        <f t="shared" si="17"/>
        <v>80</v>
      </c>
    </row>
    <row r="124" spans="1:9" ht="51" customHeight="1">
      <c r="A124" s="74" t="s">
        <v>225</v>
      </c>
      <c r="B124" s="98" t="s">
        <v>864</v>
      </c>
      <c r="C124" s="75" t="s">
        <v>203</v>
      </c>
      <c r="D124" s="75" t="s">
        <v>266</v>
      </c>
      <c r="E124" s="75" t="s">
        <v>312</v>
      </c>
      <c r="F124" s="75" t="s">
        <v>226</v>
      </c>
      <c r="G124" s="76">
        <f>'5'!D310</f>
        <v>580</v>
      </c>
      <c r="H124" s="76">
        <f>'5'!E310</f>
        <v>80</v>
      </c>
      <c r="I124" s="76">
        <f>'5'!F310</f>
        <v>80</v>
      </c>
    </row>
    <row r="125" spans="1:9" ht="63" customHeight="1">
      <c r="A125" s="78" t="s">
        <v>313</v>
      </c>
      <c r="B125" s="98" t="s">
        <v>864</v>
      </c>
      <c r="C125" s="75" t="s">
        <v>203</v>
      </c>
      <c r="D125" s="75" t="s">
        <v>266</v>
      </c>
      <c r="E125" s="75" t="s">
        <v>314</v>
      </c>
      <c r="F125" s="79" t="s">
        <v>206</v>
      </c>
      <c r="G125" s="80">
        <f t="shared" ref="G125:I126" si="18">G126</f>
        <v>400</v>
      </c>
      <c r="H125" s="80">
        <f t="shared" si="18"/>
        <v>0</v>
      </c>
      <c r="I125" s="80">
        <f t="shared" si="18"/>
        <v>0</v>
      </c>
    </row>
    <row r="126" spans="1:9" ht="31.5" customHeight="1">
      <c r="A126" s="74" t="s">
        <v>223</v>
      </c>
      <c r="B126" s="98" t="s">
        <v>864</v>
      </c>
      <c r="C126" s="75" t="s">
        <v>203</v>
      </c>
      <c r="D126" s="75" t="s">
        <v>266</v>
      </c>
      <c r="E126" s="75" t="s">
        <v>314</v>
      </c>
      <c r="F126" s="75" t="s">
        <v>224</v>
      </c>
      <c r="G126" s="76">
        <f t="shared" si="18"/>
        <v>400</v>
      </c>
      <c r="H126" s="76">
        <f t="shared" si="18"/>
        <v>0</v>
      </c>
      <c r="I126" s="76">
        <f t="shared" si="18"/>
        <v>0</v>
      </c>
    </row>
    <row r="127" spans="1:9" ht="47.25" customHeight="1">
      <c r="A127" s="74" t="s">
        <v>225</v>
      </c>
      <c r="B127" s="98" t="s">
        <v>864</v>
      </c>
      <c r="C127" s="75" t="s">
        <v>203</v>
      </c>
      <c r="D127" s="75" t="s">
        <v>266</v>
      </c>
      <c r="E127" s="75" t="s">
        <v>314</v>
      </c>
      <c r="F127" s="75" t="s">
        <v>226</v>
      </c>
      <c r="G127" s="76">
        <f>'5'!D314</f>
        <v>400</v>
      </c>
      <c r="H127" s="76">
        <f>'5'!E314</f>
        <v>0</v>
      </c>
      <c r="I127" s="76">
        <f>'5'!F314</f>
        <v>0</v>
      </c>
    </row>
    <row r="128" spans="1:9" ht="48" customHeight="1">
      <c r="A128" s="78" t="s">
        <v>315</v>
      </c>
      <c r="B128" s="128">
        <v>951</v>
      </c>
      <c r="C128" s="79" t="s">
        <v>203</v>
      </c>
      <c r="D128" s="79" t="s">
        <v>266</v>
      </c>
      <c r="E128" s="79" t="s">
        <v>493</v>
      </c>
      <c r="F128" s="79" t="s">
        <v>206</v>
      </c>
      <c r="G128" s="80">
        <f>G132+G140+G129+G143</f>
        <v>120</v>
      </c>
      <c r="H128" s="80">
        <f>H132+H140+H129+H143</f>
        <v>120</v>
      </c>
      <c r="I128" s="80">
        <f>I132+I140+I129+I143</f>
        <v>140</v>
      </c>
    </row>
    <row r="129" spans="1:9" ht="31.5" hidden="1" customHeight="1">
      <c r="A129" s="108" t="s">
        <v>316</v>
      </c>
      <c r="B129" s="128">
        <v>951</v>
      </c>
      <c r="C129" s="79" t="s">
        <v>203</v>
      </c>
      <c r="D129" s="79" t="s">
        <v>266</v>
      </c>
      <c r="E129" s="98" t="s">
        <v>650</v>
      </c>
      <c r="F129" s="75" t="s">
        <v>206</v>
      </c>
      <c r="G129" s="76">
        <f t="shared" ref="G129:I132" si="19">G130</f>
        <v>0</v>
      </c>
      <c r="H129" s="76">
        <f t="shared" si="19"/>
        <v>0</v>
      </c>
      <c r="I129" s="76">
        <f t="shared" si="19"/>
        <v>0</v>
      </c>
    </row>
    <row r="130" spans="1:9" ht="31.5" hidden="1" customHeight="1">
      <c r="A130" s="74" t="s">
        <v>223</v>
      </c>
      <c r="B130" s="128">
        <v>951</v>
      </c>
      <c r="C130" s="79" t="s">
        <v>203</v>
      </c>
      <c r="D130" s="79" t="s">
        <v>266</v>
      </c>
      <c r="E130" s="98" t="s">
        <v>650</v>
      </c>
      <c r="F130" s="75" t="s">
        <v>224</v>
      </c>
      <c r="G130" s="76">
        <f t="shared" si="19"/>
        <v>0</v>
      </c>
      <c r="H130" s="76">
        <f t="shared" si="19"/>
        <v>0</v>
      </c>
      <c r="I130" s="76">
        <f t="shared" si="19"/>
        <v>0</v>
      </c>
    </row>
    <row r="131" spans="1:9" ht="47.25" hidden="1" customHeight="1">
      <c r="A131" s="74" t="s">
        <v>225</v>
      </c>
      <c r="B131" s="128">
        <v>951</v>
      </c>
      <c r="C131" s="79" t="s">
        <v>203</v>
      </c>
      <c r="D131" s="79" t="s">
        <v>266</v>
      </c>
      <c r="E131" s="98" t="s">
        <v>650</v>
      </c>
      <c r="F131" s="75" t="s">
        <v>226</v>
      </c>
      <c r="G131" s="76"/>
      <c r="H131" s="76"/>
      <c r="I131" s="76"/>
    </row>
    <row r="132" spans="1:9" ht="47.25" hidden="1" customHeight="1">
      <c r="A132" s="108" t="s">
        <v>317</v>
      </c>
      <c r="B132" s="128">
        <v>951</v>
      </c>
      <c r="C132" s="79" t="s">
        <v>203</v>
      </c>
      <c r="D132" s="79" t="s">
        <v>266</v>
      </c>
      <c r="E132" s="98" t="s">
        <v>516</v>
      </c>
      <c r="F132" s="75" t="s">
        <v>206</v>
      </c>
      <c r="G132" s="76">
        <f t="shared" si="19"/>
        <v>0</v>
      </c>
      <c r="H132" s="76">
        <f t="shared" ref="H132:I135" si="20">H133</f>
        <v>0</v>
      </c>
      <c r="I132" s="76">
        <f t="shared" si="20"/>
        <v>0</v>
      </c>
    </row>
    <row r="133" spans="1:9" ht="63" hidden="1" customHeight="1">
      <c r="A133" s="78" t="s">
        <v>318</v>
      </c>
      <c r="B133" s="128">
        <v>951</v>
      </c>
      <c r="C133" s="79" t="s">
        <v>203</v>
      </c>
      <c r="D133" s="79" t="s">
        <v>266</v>
      </c>
      <c r="E133" s="79" t="s">
        <v>205</v>
      </c>
      <c r="F133" s="79" t="s">
        <v>206</v>
      </c>
      <c r="G133" s="80">
        <f>G134+G137</f>
        <v>0</v>
      </c>
      <c r="H133" s="80">
        <f>H134+H137</f>
        <v>0</v>
      </c>
      <c r="I133" s="80">
        <f>I134+I137</f>
        <v>0</v>
      </c>
    </row>
    <row r="134" spans="1:9" ht="94.5" hidden="1" customHeight="1">
      <c r="A134" s="74" t="s">
        <v>319</v>
      </c>
      <c r="B134" s="98">
        <v>951</v>
      </c>
      <c r="C134" s="75" t="s">
        <v>203</v>
      </c>
      <c r="D134" s="75" t="s">
        <v>266</v>
      </c>
      <c r="E134" s="75" t="s">
        <v>867</v>
      </c>
      <c r="F134" s="75" t="s">
        <v>206</v>
      </c>
      <c r="G134" s="76">
        <f t="shared" ref="G134:I144" si="21">G135</f>
        <v>0</v>
      </c>
      <c r="H134" s="76">
        <f t="shared" si="20"/>
        <v>0</v>
      </c>
      <c r="I134" s="76">
        <f t="shared" si="20"/>
        <v>0</v>
      </c>
    </row>
    <row r="135" spans="1:9" ht="47.25" hidden="1" customHeight="1">
      <c r="A135" s="74" t="s">
        <v>320</v>
      </c>
      <c r="B135" s="98">
        <v>951</v>
      </c>
      <c r="C135" s="75" t="s">
        <v>203</v>
      </c>
      <c r="D135" s="75" t="s">
        <v>266</v>
      </c>
      <c r="E135" s="75" t="s">
        <v>867</v>
      </c>
      <c r="F135" s="75" t="s">
        <v>321</v>
      </c>
      <c r="G135" s="76">
        <f t="shared" si="21"/>
        <v>0</v>
      </c>
      <c r="H135" s="76">
        <f t="shared" si="20"/>
        <v>0</v>
      </c>
      <c r="I135" s="76">
        <f t="shared" si="20"/>
        <v>0</v>
      </c>
    </row>
    <row r="136" spans="1:9" ht="15.75" hidden="1" customHeight="1">
      <c r="A136" s="74" t="s">
        <v>322</v>
      </c>
      <c r="B136" s="98">
        <v>951</v>
      </c>
      <c r="C136" s="75" t="s">
        <v>203</v>
      </c>
      <c r="D136" s="75" t="s">
        <v>266</v>
      </c>
      <c r="E136" s="75" t="s">
        <v>867</v>
      </c>
      <c r="F136" s="75" t="s">
        <v>323</v>
      </c>
      <c r="G136" s="76"/>
      <c r="H136" s="76"/>
      <c r="I136" s="76"/>
    </row>
    <row r="137" spans="1:9" ht="110.25" hidden="1" customHeight="1">
      <c r="A137" s="74" t="s">
        <v>324</v>
      </c>
      <c r="B137" s="98">
        <v>951</v>
      </c>
      <c r="C137" s="75" t="s">
        <v>203</v>
      </c>
      <c r="D137" s="75" t="s">
        <v>266</v>
      </c>
      <c r="E137" s="75" t="s">
        <v>868</v>
      </c>
      <c r="F137" s="75" t="s">
        <v>206</v>
      </c>
      <c r="G137" s="76">
        <f t="shared" si="21"/>
        <v>0</v>
      </c>
      <c r="H137" s="76">
        <f t="shared" si="21"/>
        <v>0</v>
      </c>
      <c r="I137" s="76">
        <f t="shared" si="21"/>
        <v>0</v>
      </c>
    </row>
    <row r="138" spans="1:9" ht="47.25" hidden="1" customHeight="1">
      <c r="A138" s="74" t="s">
        <v>320</v>
      </c>
      <c r="B138" s="98">
        <v>951</v>
      </c>
      <c r="C138" s="75" t="s">
        <v>203</v>
      </c>
      <c r="D138" s="75" t="s">
        <v>266</v>
      </c>
      <c r="E138" s="75" t="s">
        <v>868</v>
      </c>
      <c r="F138" s="75" t="s">
        <v>321</v>
      </c>
      <c r="G138" s="76">
        <f t="shared" si="21"/>
        <v>0</v>
      </c>
      <c r="H138" s="76">
        <f t="shared" si="21"/>
        <v>0</v>
      </c>
      <c r="I138" s="76">
        <f t="shared" si="21"/>
        <v>0</v>
      </c>
    </row>
    <row r="139" spans="1:9" ht="15.75" hidden="1" customHeight="1">
      <c r="A139" s="74" t="s">
        <v>322</v>
      </c>
      <c r="B139" s="98">
        <v>951</v>
      </c>
      <c r="C139" s="75" t="s">
        <v>203</v>
      </c>
      <c r="D139" s="75" t="s">
        <v>266</v>
      </c>
      <c r="E139" s="75" t="s">
        <v>868</v>
      </c>
      <c r="F139" s="75" t="s">
        <v>323</v>
      </c>
      <c r="G139" s="76"/>
      <c r="H139" s="76"/>
      <c r="I139" s="76"/>
    </row>
    <row r="140" spans="1:9" ht="94.5" hidden="1" customHeight="1">
      <c r="A140" s="78" t="s">
        <v>325</v>
      </c>
      <c r="B140" s="128">
        <v>951</v>
      </c>
      <c r="C140" s="79" t="s">
        <v>203</v>
      </c>
      <c r="D140" s="79" t="s">
        <v>266</v>
      </c>
      <c r="E140" s="79" t="s">
        <v>522</v>
      </c>
      <c r="F140" s="79" t="s">
        <v>206</v>
      </c>
      <c r="G140" s="80">
        <f t="shared" si="21"/>
        <v>0</v>
      </c>
      <c r="H140" s="80">
        <f t="shared" si="21"/>
        <v>0</v>
      </c>
      <c r="I140" s="80">
        <f t="shared" si="21"/>
        <v>0</v>
      </c>
    </row>
    <row r="141" spans="1:9" ht="31.5" hidden="1" customHeight="1">
      <c r="A141" s="74" t="s">
        <v>223</v>
      </c>
      <c r="B141" s="98">
        <v>951</v>
      </c>
      <c r="C141" s="75" t="s">
        <v>203</v>
      </c>
      <c r="D141" s="75" t="s">
        <v>266</v>
      </c>
      <c r="E141" s="75" t="s">
        <v>522</v>
      </c>
      <c r="F141" s="75" t="s">
        <v>224</v>
      </c>
      <c r="G141" s="76">
        <f t="shared" si="21"/>
        <v>0</v>
      </c>
      <c r="H141" s="76">
        <f t="shared" si="21"/>
        <v>0</v>
      </c>
      <c r="I141" s="76">
        <f t="shared" si="21"/>
        <v>0</v>
      </c>
    </row>
    <row r="142" spans="1:9" ht="47.25" hidden="1" customHeight="1">
      <c r="A142" s="74" t="s">
        <v>225</v>
      </c>
      <c r="B142" s="98">
        <v>951</v>
      </c>
      <c r="C142" s="75" t="s">
        <v>203</v>
      </c>
      <c r="D142" s="75" t="s">
        <v>266</v>
      </c>
      <c r="E142" s="75" t="s">
        <v>522</v>
      </c>
      <c r="F142" s="75" t="s">
        <v>226</v>
      </c>
      <c r="G142" s="76"/>
      <c r="H142" s="76"/>
      <c r="I142" s="76"/>
    </row>
    <row r="143" spans="1:9" ht="36.75" customHeight="1">
      <c r="A143" s="108" t="s">
        <v>326</v>
      </c>
      <c r="B143" s="98">
        <v>951</v>
      </c>
      <c r="C143" s="75" t="s">
        <v>203</v>
      </c>
      <c r="D143" s="75" t="s">
        <v>266</v>
      </c>
      <c r="E143" s="75" t="s">
        <v>327</v>
      </c>
      <c r="F143" s="75" t="s">
        <v>206</v>
      </c>
      <c r="G143" s="76">
        <f t="shared" si="21"/>
        <v>120</v>
      </c>
      <c r="H143" s="76">
        <f t="shared" si="21"/>
        <v>120</v>
      </c>
      <c r="I143" s="76">
        <f t="shared" si="21"/>
        <v>140</v>
      </c>
    </row>
    <row r="144" spans="1:9" ht="36" customHeight="1">
      <c r="A144" s="74" t="s">
        <v>223</v>
      </c>
      <c r="B144" s="98">
        <v>951</v>
      </c>
      <c r="C144" s="75" t="s">
        <v>203</v>
      </c>
      <c r="D144" s="75" t="s">
        <v>266</v>
      </c>
      <c r="E144" s="75" t="s">
        <v>328</v>
      </c>
      <c r="F144" s="75" t="s">
        <v>224</v>
      </c>
      <c r="G144" s="76">
        <f t="shared" si="21"/>
        <v>120</v>
      </c>
      <c r="H144" s="76">
        <f t="shared" si="21"/>
        <v>120</v>
      </c>
      <c r="I144" s="76">
        <f t="shared" si="21"/>
        <v>140</v>
      </c>
    </row>
    <row r="145" spans="1:9" ht="50.25" customHeight="1">
      <c r="A145" s="74" t="s">
        <v>225</v>
      </c>
      <c r="B145" s="98">
        <v>951</v>
      </c>
      <c r="C145" s="75" t="s">
        <v>203</v>
      </c>
      <c r="D145" s="75" t="s">
        <v>266</v>
      </c>
      <c r="E145" s="75" t="s">
        <v>328</v>
      </c>
      <c r="F145" s="75" t="s">
        <v>226</v>
      </c>
      <c r="G145" s="76">
        <f>'5'!D104</f>
        <v>120</v>
      </c>
      <c r="H145" s="76">
        <f>'5'!E104</f>
        <v>120</v>
      </c>
      <c r="I145" s="76">
        <f>'5'!F104</f>
        <v>140</v>
      </c>
    </row>
    <row r="146" spans="1:9" ht="78.75">
      <c r="A146" s="78" t="s">
        <v>329</v>
      </c>
      <c r="B146" s="128">
        <v>951</v>
      </c>
      <c r="C146" s="79" t="s">
        <v>203</v>
      </c>
      <c r="D146" s="79" t="s">
        <v>266</v>
      </c>
      <c r="E146" s="79" t="s">
        <v>330</v>
      </c>
      <c r="F146" s="79" t="s">
        <v>206</v>
      </c>
      <c r="G146" s="80">
        <f t="shared" ref="G146:I147" si="22">G147</f>
        <v>39</v>
      </c>
      <c r="H146" s="80">
        <f t="shared" si="22"/>
        <v>39</v>
      </c>
      <c r="I146" s="80">
        <f t="shared" si="22"/>
        <v>41</v>
      </c>
    </row>
    <row r="147" spans="1:9" ht="39.75" customHeight="1">
      <c r="A147" s="74" t="s">
        <v>223</v>
      </c>
      <c r="B147" s="98">
        <v>951</v>
      </c>
      <c r="C147" s="75" t="s">
        <v>203</v>
      </c>
      <c r="D147" s="75" t="s">
        <v>266</v>
      </c>
      <c r="E147" s="75" t="s">
        <v>332</v>
      </c>
      <c r="F147" s="75" t="s">
        <v>224</v>
      </c>
      <c r="G147" s="76">
        <f t="shared" si="22"/>
        <v>39</v>
      </c>
      <c r="H147" s="76">
        <f t="shared" si="22"/>
        <v>39</v>
      </c>
      <c r="I147" s="76">
        <f t="shared" si="22"/>
        <v>41</v>
      </c>
    </row>
    <row r="148" spans="1:9" ht="48.75" customHeight="1">
      <c r="A148" s="74" t="s">
        <v>225</v>
      </c>
      <c r="B148" s="98">
        <v>951</v>
      </c>
      <c r="C148" s="75" t="s">
        <v>203</v>
      </c>
      <c r="D148" s="75" t="s">
        <v>266</v>
      </c>
      <c r="E148" s="75" t="s">
        <v>332</v>
      </c>
      <c r="F148" s="75" t="s">
        <v>226</v>
      </c>
      <c r="G148" s="76">
        <f>'5'!D125</f>
        <v>39</v>
      </c>
      <c r="H148" s="76">
        <f>'5'!E125</f>
        <v>39</v>
      </c>
      <c r="I148" s="76">
        <f>'5'!F125</f>
        <v>41</v>
      </c>
    </row>
    <row r="149" spans="1:9" ht="87.75" customHeight="1">
      <c r="A149" s="78" t="s">
        <v>336</v>
      </c>
      <c r="B149" s="128" t="s">
        <v>864</v>
      </c>
      <c r="C149" s="79" t="s">
        <v>203</v>
      </c>
      <c r="D149" s="79" t="s">
        <v>266</v>
      </c>
      <c r="E149" s="79" t="s">
        <v>337</v>
      </c>
      <c r="F149" s="79" t="s">
        <v>206</v>
      </c>
      <c r="G149" s="80">
        <f t="shared" ref="G149:I150" si="23">G150</f>
        <v>20</v>
      </c>
      <c r="H149" s="80">
        <f t="shared" si="23"/>
        <v>0</v>
      </c>
      <c r="I149" s="80">
        <f t="shared" si="23"/>
        <v>0</v>
      </c>
    </row>
    <row r="150" spans="1:9" ht="69.75" customHeight="1">
      <c r="A150" s="74" t="s">
        <v>338</v>
      </c>
      <c r="B150" s="128" t="s">
        <v>864</v>
      </c>
      <c r="C150" s="75" t="s">
        <v>203</v>
      </c>
      <c r="D150" s="75" t="s">
        <v>266</v>
      </c>
      <c r="E150" s="75" t="s">
        <v>339</v>
      </c>
      <c r="F150" s="75" t="s">
        <v>224</v>
      </c>
      <c r="G150" s="76">
        <f t="shared" si="23"/>
        <v>20</v>
      </c>
      <c r="H150" s="76">
        <f t="shared" si="23"/>
        <v>0</v>
      </c>
      <c r="I150" s="76">
        <f t="shared" si="23"/>
        <v>0</v>
      </c>
    </row>
    <row r="151" spans="1:9" ht="35.25" customHeight="1">
      <c r="A151" s="74" t="s">
        <v>340</v>
      </c>
      <c r="B151" s="128" t="s">
        <v>864</v>
      </c>
      <c r="C151" s="75" t="s">
        <v>203</v>
      </c>
      <c r="D151" s="75" t="s">
        <v>266</v>
      </c>
      <c r="E151" s="75" t="s">
        <v>341</v>
      </c>
      <c r="F151" s="75" t="s">
        <v>226</v>
      </c>
      <c r="G151" s="76">
        <f>'5'!D234</f>
        <v>20</v>
      </c>
      <c r="H151" s="76">
        <f>'5'!E234</f>
        <v>0</v>
      </c>
      <c r="I151" s="76">
        <f>'5'!F234</f>
        <v>0</v>
      </c>
    </row>
    <row r="152" spans="1:9" hidden="1">
      <c r="A152" s="100" t="s">
        <v>342</v>
      </c>
      <c r="B152" s="128" t="s">
        <v>864</v>
      </c>
      <c r="C152" s="75" t="s">
        <v>203</v>
      </c>
      <c r="D152" s="75" t="s">
        <v>266</v>
      </c>
      <c r="E152" s="101" t="s">
        <v>205</v>
      </c>
      <c r="F152" s="101" t="s">
        <v>206</v>
      </c>
      <c r="G152" s="102">
        <f t="shared" ref="G152:I163" si="24">G153</f>
        <v>0</v>
      </c>
      <c r="H152" s="102">
        <f t="shared" ref="H152:I160" si="25">H153</f>
        <v>0</v>
      </c>
      <c r="I152" s="102">
        <f t="shared" si="25"/>
        <v>0</v>
      </c>
    </row>
    <row r="153" spans="1:9" ht="78.75" hidden="1" customHeight="1">
      <c r="A153" s="78" t="s">
        <v>344</v>
      </c>
      <c r="B153" s="128" t="s">
        <v>864</v>
      </c>
      <c r="C153" s="75" t="s">
        <v>203</v>
      </c>
      <c r="D153" s="75" t="s">
        <v>266</v>
      </c>
      <c r="E153" s="75" t="s">
        <v>205</v>
      </c>
      <c r="F153" s="75" t="s">
        <v>206</v>
      </c>
      <c r="G153" s="76">
        <f t="shared" si="24"/>
        <v>0</v>
      </c>
      <c r="H153" s="76">
        <f t="shared" si="25"/>
        <v>0</v>
      </c>
      <c r="I153" s="76">
        <f t="shared" si="25"/>
        <v>0</v>
      </c>
    </row>
    <row r="154" spans="1:9" ht="47.25" hidden="1" customHeight="1">
      <c r="A154" s="74" t="s">
        <v>346</v>
      </c>
      <c r="B154" s="128" t="s">
        <v>864</v>
      </c>
      <c r="C154" s="75" t="s">
        <v>203</v>
      </c>
      <c r="D154" s="75" t="s">
        <v>266</v>
      </c>
      <c r="E154" s="75" t="s">
        <v>347</v>
      </c>
      <c r="F154" s="75" t="s">
        <v>206</v>
      </c>
      <c r="G154" s="76">
        <f t="shared" si="24"/>
        <v>0</v>
      </c>
      <c r="H154" s="76">
        <f t="shared" si="25"/>
        <v>0</v>
      </c>
      <c r="I154" s="76">
        <f t="shared" si="25"/>
        <v>0</v>
      </c>
    </row>
    <row r="155" spans="1:9" ht="15.75" hidden="1" customHeight="1">
      <c r="A155" s="74" t="s">
        <v>348</v>
      </c>
      <c r="B155" s="128" t="s">
        <v>864</v>
      </c>
      <c r="C155" s="75" t="s">
        <v>203</v>
      </c>
      <c r="D155" s="75" t="s">
        <v>266</v>
      </c>
      <c r="E155" s="75" t="s">
        <v>347</v>
      </c>
      <c r="F155" s="75" t="s">
        <v>349</v>
      </c>
      <c r="G155" s="76">
        <f t="shared" si="24"/>
        <v>0</v>
      </c>
      <c r="H155" s="76">
        <f t="shared" si="25"/>
        <v>0</v>
      </c>
      <c r="I155" s="76">
        <f t="shared" si="25"/>
        <v>0</v>
      </c>
    </row>
    <row r="156" spans="1:9" ht="15.75" hidden="1" customHeight="1">
      <c r="A156" s="74" t="s">
        <v>267</v>
      </c>
      <c r="B156" s="128" t="s">
        <v>864</v>
      </c>
      <c r="C156" s="75" t="s">
        <v>203</v>
      </c>
      <c r="D156" s="75" t="s">
        <v>266</v>
      </c>
      <c r="E156" s="75" t="s">
        <v>347</v>
      </c>
      <c r="F156" s="75" t="s">
        <v>350</v>
      </c>
      <c r="G156" s="76"/>
      <c r="H156" s="76"/>
      <c r="I156" s="76"/>
    </row>
    <row r="157" spans="1:9" ht="47.25" hidden="1" customHeight="1">
      <c r="A157" s="100" t="s">
        <v>351</v>
      </c>
      <c r="B157" s="133" t="s">
        <v>864</v>
      </c>
      <c r="C157" s="101" t="s">
        <v>203</v>
      </c>
      <c r="D157" s="101" t="s">
        <v>266</v>
      </c>
      <c r="E157" s="101" t="s">
        <v>205</v>
      </c>
      <c r="F157" s="101" t="s">
        <v>206</v>
      </c>
      <c r="G157" s="102">
        <f t="shared" si="24"/>
        <v>0</v>
      </c>
      <c r="H157" s="102">
        <f t="shared" si="25"/>
        <v>0</v>
      </c>
      <c r="I157" s="102">
        <f t="shared" si="25"/>
        <v>0</v>
      </c>
    </row>
    <row r="158" spans="1:9" ht="63" hidden="1" customHeight="1">
      <c r="A158" s="74" t="s">
        <v>352</v>
      </c>
      <c r="B158" s="98" t="s">
        <v>864</v>
      </c>
      <c r="C158" s="75" t="s">
        <v>203</v>
      </c>
      <c r="D158" s="75" t="s">
        <v>266</v>
      </c>
      <c r="E158" s="75" t="s">
        <v>354</v>
      </c>
      <c r="F158" s="75" t="s">
        <v>206</v>
      </c>
      <c r="G158" s="76">
        <f t="shared" si="24"/>
        <v>0</v>
      </c>
      <c r="H158" s="76">
        <f t="shared" si="25"/>
        <v>0</v>
      </c>
      <c r="I158" s="76">
        <f t="shared" si="25"/>
        <v>0</v>
      </c>
    </row>
    <row r="159" spans="1:9" ht="47.25" hidden="1" customHeight="1">
      <c r="A159" s="74" t="s">
        <v>355</v>
      </c>
      <c r="B159" s="98" t="s">
        <v>864</v>
      </c>
      <c r="C159" s="75" t="s">
        <v>203</v>
      </c>
      <c r="D159" s="75" t="s">
        <v>266</v>
      </c>
      <c r="E159" s="75" t="s">
        <v>354</v>
      </c>
      <c r="F159" s="75" t="s">
        <v>206</v>
      </c>
      <c r="G159" s="76">
        <f t="shared" si="24"/>
        <v>0</v>
      </c>
      <c r="H159" s="76">
        <f t="shared" si="25"/>
        <v>0</v>
      </c>
      <c r="I159" s="76">
        <f t="shared" si="25"/>
        <v>0</v>
      </c>
    </row>
    <row r="160" spans="1:9" ht="31.5" hidden="1" customHeight="1">
      <c r="A160" s="74" t="s">
        <v>223</v>
      </c>
      <c r="B160" s="98" t="s">
        <v>864</v>
      </c>
      <c r="C160" s="75" t="s">
        <v>203</v>
      </c>
      <c r="D160" s="75" t="s">
        <v>266</v>
      </c>
      <c r="E160" s="75" t="s">
        <v>354</v>
      </c>
      <c r="F160" s="75" t="s">
        <v>224</v>
      </c>
      <c r="G160" s="76">
        <f t="shared" si="24"/>
        <v>0</v>
      </c>
      <c r="H160" s="76">
        <f t="shared" si="25"/>
        <v>0</v>
      </c>
      <c r="I160" s="76">
        <f t="shared" si="25"/>
        <v>0</v>
      </c>
    </row>
    <row r="161" spans="1:12" ht="47.25" hidden="1" customHeight="1">
      <c r="A161" s="74" t="s">
        <v>225</v>
      </c>
      <c r="B161" s="98" t="s">
        <v>864</v>
      </c>
      <c r="C161" s="75" t="s">
        <v>203</v>
      </c>
      <c r="D161" s="75" t="s">
        <v>266</v>
      </c>
      <c r="E161" s="75" t="s">
        <v>354</v>
      </c>
      <c r="F161" s="75" t="s">
        <v>226</v>
      </c>
      <c r="G161" s="76"/>
      <c r="H161" s="76"/>
      <c r="I161" s="76"/>
    </row>
    <row r="162" spans="1:12" ht="94.5" hidden="1" customHeight="1">
      <c r="A162" s="78" t="s">
        <v>869</v>
      </c>
      <c r="B162" s="128" t="s">
        <v>864</v>
      </c>
      <c r="C162" s="75" t="s">
        <v>203</v>
      </c>
      <c r="D162" s="75" t="s">
        <v>266</v>
      </c>
      <c r="E162" s="79" t="s">
        <v>357</v>
      </c>
      <c r="F162" s="75" t="s">
        <v>206</v>
      </c>
      <c r="G162" s="80">
        <f t="shared" si="24"/>
        <v>0</v>
      </c>
      <c r="H162" s="80">
        <f t="shared" si="24"/>
        <v>0</v>
      </c>
      <c r="I162" s="80">
        <f t="shared" si="24"/>
        <v>0</v>
      </c>
    </row>
    <row r="163" spans="1:12" ht="94.5" hidden="1" customHeight="1">
      <c r="A163" s="74" t="s">
        <v>215</v>
      </c>
      <c r="B163" s="98" t="s">
        <v>864</v>
      </c>
      <c r="C163" s="75" t="s">
        <v>203</v>
      </c>
      <c r="D163" s="75" t="s">
        <v>266</v>
      </c>
      <c r="E163" s="75" t="s">
        <v>357</v>
      </c>
      <c r="F163" s="75" t="s">
        <v>216</v>
      </c>
      <c r="G163" s="76">
        <f t="shared" si="24"/>
        <v>0</v>
      </c>
      <c r="H163" s="76">
        <f t="shared" si="24"/>
        <v>0</v>
      </c>
      <c r="I163" s="76">
        <f t="shared" si="24"/>
        <v>0</v>
      </c>
    </row>
    <row r="164" spans="1:12" ht="47.25" hidden="1" customHeight="1">
      <c r="A164" s="74" t="s">
        <v>217</v>
      </c>
      <c r="B164" s="98" t="s">
        <v>864</v>
      </c>
      <c r="C164" s="75" t="s">
        <v>203</v>
      </c>
      <c r="D164" s="75" t="s">
        <v>266</v>
      </c>
      <c r="E164" s="75" t="s">
        <v>357</v>
      </c>
      <c r="F164" s="75" t="s">
        <v>218</v>
      </c>
      <c r="G164" s="76"/>
      <c r="H164" s="76"/>
      <c r="I164" s="76"/>
    </row>
    <row r="165" spans="1:12" ht="78.75" hidden="1" customHeight="1">
      <c r="A165" s="78" t="s">
        <v>358</v>
      </c>
      <c r="B165" s="128" t="s">
        <v>864</v>
      </c>
      <c r="C165" s="75" t="s">
        <v>203</v>
      </c>
      <c r="D165" s="75" t="s">
        <v>266</v>
      </c>
      <c r="E165" s="79" t="s">
        <v>359</v>
      </c>
      <c r="F165" s="79" t="s">
        <v>206</v>
      </c>
      <c r="G165" s="80">
        <f>G166+G168</f>
        <v>0</v>
      </c>
      <c r="H165" s="80">
        <f>H166+H168</f>
        <v>0</v>
      </c>
      <c r="I165" s="80">
        <f>I166+I168</f>
        <v>0</v>
      </c>
    </row>
    <row r="166" spans="1:12" ht="94.5" hidden="1" customHeight="1">
      <c r="A166" s="74" t="s">
        <v>215</v>
      </c>
      <c r="B166" s="98" t="s">
        <v>864</v>
      </c>
      <c r="C166" s="75" t="s">
        <v>203</v>
      </c>
      <c r="D166" s="75" t="s">
        <v>266</v>
      </c>
      <c r="E166" s="75" t="s">
        <v>359</v>
      </c>
      <c r="F166" s="75" t="s">
        <v>216</v>
      </c>
      <c r="G166" s="76">
        <f>G167</f>
        <v>0</v>
      </c>
      <c r="H166" s="76">
        <f>H167</f>
        <v>0</v>
      </c>
      <c r="I166" s="76">
        <f>I167</f>
        <v>0</v>
      </c>
    </row>
    <row r="167" spans="1:12" ht="47.25" hidden="1" customHeight="1">
      <c r="A167" s="74" t="s">
        <v>217</v>
      </c>
      <c r="B167" s="98" t="s">
        <v>864</v>
      </c>
      <c r="C167" s="75" t="s">
        <v>203</v>
      </c>
      <c r="D167" s="75" t="s">
        <v>266</v>
      </c>
      <c r="E167" s="75" t="s">
        <v>359</v>
      </c>
      <c r="F167" s="75" t="s">
        <v>218</v>
      </c>
      <c r="G167" s="76"/>
      <c r="H167" s="76"/>
      <c r="I167" s="76"/>
    </row>
    <row r="168" spans="1:12" ht="31.5" hidden="1" customHeight="1">
      <c r="A168" s="74" t="s">
        <v>223</v>
      </c>
      <c r="B168" s="98" t="s">
        <v>864</v>
      </c>
      <c r="C168" s="75" t="s">
        <v>203</v>
      </c>
      <c r="D168" s="75" t="s">
        <v>266</v>
      </c>
      <c r="E168" s="75" t="s">
        <v>359</v>
      </c>
      <c r="F168" s="75" t="s">
        <v>224</v>
      </c>
      <c r="G168" s="76">
        <f>G169</f>
        <v>0</v>
      </c>
      <c r="H168" s="76">
        <f>H169</f>
        <v>0</v>
      </c>
      <c r="I168" s="76">
        <f>I169</f>
        <v>0</v>
      </c>
    </row>
    <row r="169" spans="1:12" ht="47.25" hidden="1" customHeight="1">
      <c r="A169" s="74" t="s">
        <v>225</v>
      </c>
      <c r="B169" s="98" t="s">
        <v>864</v>
      </c>
      <c r="C169" s="75" t="s">
        <v>203</v>
      </c>
      <c r="D169" s="75" t="s">
        <v>266</v>
      </c>
      <c r="E169" s="75" t="s">
        <v>359</v>
      </c>
      <c r="F169" s="75" t="s">
        <v>226</v>
      </c>
      <c r="G169" s="76"/>
      <c r="H169" s="76"/>
      <c r="I169" s="76"/>
    </row>
    <row r="170" spans="1:12" ht="110.25" hidden="1" customHeight="1">
      <c r="A170" s="78" t="s">
        <v>360</v>
      </c>
      <c r="B170" s="128" t="s">
        <v>864</v>
      </c>
      <c r="C170" s="75" t="s">
        <v>203</v>
      </c>
      <c r="D170" s="75" t="s">
        <v>266</v>
      </c>
      <c r="E170" s="79" t="s">
        <v>361</v>
      </c>
      <c r="F170" s="79" t="s">
        <v>206</v>
      </c>
      <c r="G170" s="80">
        <f t="shared" ref="G170:I174" si="26">G171</f>
        <v>0</v>
      </c>
      <c r="H170" s="80">
        <f t="shared" si="26"/>
        <v>0</v>
      </c>
      <c r="I170" s="80">
        <f t="shared" si="26"/>
        <v>0</v>
      </c>
    </row>
    <row r="171" spans="1:12" ht="31.5" hidden="1" customHeight="1">
      <c r="A171" s="74" t="s">
        <v>223</v>
      </c>
      <c r="B171" s="98" t="s">
        <v>864</v>
      </c>
      <c r="C171" s="75" t="s">
        <v>203</v>
      </c>
      <c r="D171" s="75" t="s">
        <v>266</v>
      </c>
      <c r="E171" s="75" t="s">
        <v>361</v>
      </c>
      <c r="F171" s="75" t="s">
        <v>224</v>
      </c>
      <c r="G171" s="76">
        <f t="shared" si="26"/>
        <v>0</v>
      </c>
      <c r="H171" s="76">
        <f t="shared" si="26"/>
        <v>0</v>
      </c>
      <c r="I171" s="76">
        <f t="shared" si="26"/>
        <v>0</v>
      </c>
    </row>
    <row r="172" spans="1:12" ht="47.25" hidden="1" customHeight="1">
      <c r="A172" s="74" t="s">
        <v>225</v>
      </c>
      <c r="B172" s="98" t="s">
        <v>864</v>
      </c>
      <c r="C172" s="75" t="s">
        <v>203</v>
      </c>
      <c r="D172" s="75" t="s">
        <v>266</v>
      </c>
      <c r="E172" s="75" t="s">
        <v>361</v>
      </c>
      <c r="F172" s="75" t="s">
        <v>226</v>
      </c>
      <c r="G172" s="76"/>
      <c r="H172" s="76"/>
      <c r="I172" s="76"/>
    </row>
    <row r="173" spans="1:12" ht="84" customHeight="1">
      <c r="A173" s="78" t="s">
        <v>362</v>
      </c>
      <c r="B173" s="128" t="s">
        <v>864</v>
      </c>
      <c r="C173" s="79" t="s">
        <v>203</v>
      </c>
      <c r="D173" s="79" t="s">
        <v>266</v>
      </c>
      <c r="E173" s="79" t="s">
        <v>363</v>
      </c>
      <c r="F173" s="79" t="s">
        <v>206</v>
      </c>
      <c r="G173" s="80">
        <f t="shared" si="26"/>
        <v>20</v>
      </c>
      <c r="H173" s="80">
        <f t="shared" si="26"/>
        <v>0</v>
      </c>
      <c r="I173" s="80">
        <f t="shared" si="26"/>
        <v>0</v>
      </c>
    </row>
    <row r="174" spans="1:12" ht="36.75" customHeight="1">
      <c r="A174" s="74" t="s">
        <v>223</v>
      </c>
      <c r="B174" s="98" t="s">
        <v>864</v>
      </c>
      <c r="C174" s="75" t="s">
        <v>203</v>
      </c>
      <c r="D174" s="75" t="s">
        <v>266</v>
      </c>
      <c r="E174" s="75" t="s">
        <v>364</v>
      </c>
      <c r="F174" s="75" t="s">
        <v>224</v>
      </c>
      <c r="G174" s="76">
        <f t="shared" si="26"/>
        <v>20</v>
      </c>
      <c r="H174" s="76">
        <f t="shared" si="26"/>
        <v>0</v>
      </c>
      <c r="I174" s="76">
        <f t="shared" si="26"/>
        <v>0</v>
      </c>
    </row>
    <row r="175" spans="1:12" ht="52.5" customHeight="1">
      <c r="A175" s="74" t="s">
        <v>225</v>
      </c>
      <c r="B175" s="98" t="s">
        <v>864</v>
      </c>
      <c r="C175" s="75" t="s">
        <v>203</v>
      </c>
      <c r="D175" s="75" t="s">
        <v>266</v>
      </c>
      <c r="E175" s="75" t="s">
        <v>364</v>
      </c>
      <c r="F175" s="75" t="s">
        <v>226</v>
      </c>
      <c r="G175" s="76">
        <f>'5'!D248</f>
        <v>20</v>
      </c>
      <c r="H175" s="76">
        <f>'5'!E248</f>
        <v>0</v>
      </c>
      <c r="I175" s="76">
        <f>'5'!F248</f>
        <v>0</v>
      </c>
    </row>
    <row r="176" spans="1:12" ht="50.25" customHeight="1">
      <c r="A176" s="66" t="s">
        <v>351</v>
      </c>
      <c r="B176" s="199">
        <v>951</v>
      </c>
      <c r="C176" s="67" t="s">
        <v>220</v>
      </c>
      <c r="D176" s="67" t="s">
        <v>204</v>
      </c>
      <c r="E176" s="67" t="s">
        <v>205</v>
      </c>
      <c r="F176" s="67" t="s">
        <v>206</v>
      </c>
      <c r="G176" s="68">
        <f>G181+G185+G188+G177</f>
        <v>8525.27</v>
      </c>
      <c r="H176" s="68">
        <f t="shared" ref="H176:I176" si="27">H181+H185+H188+H177</f>
        <v>50</v>
      </c>
      <c r="I176" s="68">
        <f t="shared" si="27"/>
        <v>50</v>
      </c>
      <c r="J176" s="184"/>
      <c r="K176" s="184"/>
      <c r="L176" s="184"/>
    </row>
    <row r="177" spans="1:12" ht="24" customHeight="1">
      <c r="A177" s="119" t="s">
        <v>365</v>
      </c>
      <c r="B177" s="212" t="s">
        <v>864</v>
      </c>
      <c r="C177" s="136" t="s">
        <v>220</v>
      </c>
      <c r="D177" s="136" t="s">
        <v>353</v>
      </c>
      <c r="E177" s="136" t="s">
        <v>354</v>
      </c>
      <c r="F177" s="136" t="s">
        <v>206</v>
      </c>
      <c r="G177" s="137">
        <f t="shared" ref="G177:G179" si="28">G178</f>
        <v>200</v>
      </c>
      <c r="H177" s="137">
        <f t="shared" ref="H177:I179" si="29">H178</f>
        <v>50</v>
      </c>
      <c r="I177" s="137">
        <f t="shared" si="29"/>
        <v>50</v>
      </c>
      <c r="J177" s="184"/>
      <c r="K177" s="184"/>
      <c r="L177" s="184"/>
    </row>
    <row r="178" spans="1:12" ht="38.25" customHeight="1">
      <c r="A178" s="74" t="s">
        <v>366</v>
      </c>
      <c r="B178" s="98" t="s">
        <v>864</v>
      </c>
      <c r="C178" s="75" t="s">
        <v>220</v>
      </c>
      <c r="D178" s="75" t="s">
        <v>353</v>
      </c>
      <c r="E178" s="71" t="s">
        <v>354</v>
      </c>
      <c r="F178" s="75" t="s">
        <v>206</v>
      </c>
      <c r="G178" s="76">
        <f t="shared" si="28"/>
        <v>200</v>
      </c>
      <c r="H178" s="76">
        <f t="shared" si="29"/>
        <v>50</v>
      </c>
      <c r="I178" s="76">
        <f t="shared" si="29"/>
        <v>50</v>
      </c>
      <c r="J178" s="184"/>
      <c r="K178" s="184"/>
      <c r="L178" s="184"/>
    </row>
    <row r="179" spans="1:12" ht="50.25" customHeight="1">
      <c r="A179" s="74" t="s">
        <v>223</v>
      </c>
      <c r="B179" s="98" t="s">
        <v>864</v>
      </c>
      <c r="C179" s="75" t="s">
        <v>220</v>
      </c>
      <c r="D179" s="75" t="s">
        <v>353</v>
      </c>
      <c r="E179" s="71" t="s">
        <v>354</v>
      </c>
      <c r="F179" s="75" t="s">
        <v>224</v>
      </c>
      <c r="G179" s="76">
        <f t="shared" si="28"/>
        <v>200</v>
      </c>
      <c r="H179" s="76">
        <f t="shared" si="29"/>
        <v>50</v>
      </c>
      <c r="I179" s="76">
        <f t="shared" si="29"/>
        <v>50</v>
      </c>
      <c r="J179" s="184"/>
      <c r="K179" s="184"/>
      <c r="L179" s="184"/>
    </row>
    <row r="180" spans="1:12" ht="50.25" customHeight="1">
      <c r="A180" s="74" t="s">
        <v>225</v>
      </c>
      <c r="B180" s="98" t="s">
        <v>864</v>
      </c>
      <c r="C180" s="75" t="s">
        <v>220</v>
      </c>
      <c r="D180" s="75" t="s">
        <v>353</v>
      </c>
      <c r="E180" s="71" t="s">
        <v>354</v>
      </c>
      <c r="F180" s="75" t="s">
        <v>226</v>
      </c>
      <c r="G180" s="76">
        <f>'3'!F235</f>
        <v>200</v>
      </c>
      <c r="H180" s="76">
        <f>'3'!G235</f>
        <v>50</v>
      </c>
      <c r="I180" s="76">
        <f>'3'!H235</f>
        <v>50</v>
      </c>
      <c r="J180" s="184"/>
      <c r="K180" s="184"/>
      <c r="L180" s="184"/>
    </row>
    <row r="181" spans="1:12" ht="62.25" customHeight="1">
      <c r="A181" s="119" t="s">
        <v>352</v>
      </c>
      <c r="B181" s="212">
        <v>951</v>
      </c>
      <c r="C181" s="136" t="s">
        <v>220</v>
      </c>
      <c r="D181" s="136" t="s">
        <v>367</v>
      </c>
      <c r="E181" s="136" t="s">
        <v>368</v>
      </c>
      <c r="F181" s="136" t="s">
        <v>206</v>
      </c>
      <c r="G181" s="137">
        <f t="shared" ref="G181:I183" si="30">G182</f>
        <v>8314.35</v>
      </c>
      <c r="H181" s="137">
        <f t="shared" si="30"/>
        <v>0</v>
      </c>
      <c r="I181" s="137">
        <f t="shared" si="30"/>
        <v>0</v>
      </c>
    </row>
    <row r="182" spans="1:12" ht="51" customHeight="1">
      <c r="A182" s="74" t="s">
        <v>870</v>
      </c>
      <c r="B182" s="98">
        <v>951</v>
      </c>
      <c r="C182" s="75" t="s">
        <v>220</v>
      </c>
      <c r="D182" s="75" t="s">
        <v>367</v>
      </c>
      <c r="E182" s="75" t="s">
        <v>368</v>
      </c>
      <c r="F182" s="75" t="s">
        <v>206</v>
      </c>
      <c r="G182" s="76">
        <f t="shared" si="30"/>
        <v>8314.35</v>
      </c>
      <c r="H182" s="76">
        <f t="shared" si="30"/>
        <v>0</v>
      </c>
      <c r="I182" s="76">
        <f t="shared" si="30"/>
        <v>0</v>
      </c>
    </row>
    <row r="183" spans="1:12" ht="36.75" customHeight="1">
      <c r="A183" s="74" t="s">
        <v>223</v>
      </c>
      <c r="B183" s="98">
        <v>951</v>
      </c>
      <c r="C183" s="75" t="s">
        <v>220</v>
      </c>
      <c r="D183" s="75" t="s">
        <v>367</v>
      </c>
      <c r="E183" s="75" t="s">
        <v>368</v>
      </c>
      <c r="F183" s="75" t="s">
        <v>224</v>
      </c>
      <c r="G183" s="76">
        <f t="shared" si="30"/>
        <v>8314.35</v>
      </c>
      <c r="H183" s="76">
        <f t="shared" si="30"/>
        <v>0</v>
      </c>
      <c r="I183" s="76">
        <f t="shared" si="30"/>
        <v>0</v>
      </c>
    </row>
    <row r="184" spans="1:12" ht="52.5" customHeight="1">
      <c r="A184" s="74" t="s">
        <v>225</v>
      </c>
      <c r="B184" s="98">
        <v>951</v>
      </c>
      <c r="C184" s="75" t="s">
        <v>220</v>
      </c>
      <c r="D184" s="75" t="s">
        <v>367</v>
      </c>
      <c r="E184" s="75" t="s">
        <v>368</v>
      </c>
      <c r="F184" s="75" t="s">
        <v>226</v>
      </c>
      <c r="G184" s="76">
        <f>'3'!F239</f>
        <v>8314.35</v>
      </c>
      <c r="H184" s="76">
        <f>'3'!G239</f>
        <v>0</v>
      </c>
      <c r="I184" s="76">
        <f>'3'!H239</f>
        <v>0</v>
      </c>
    </row>
    <row r="185" spans="1:12" ht="126" hidden="1" customHeight="1">
      <c r="A185" s="100" t="s">
        <v>372</v>
      </c>
      <c r="B185" s="98">
        <v>951</v>
      </c>
      <c r="C185" s="75" t="s">
        <v>220</v>
      </c>
      <c r="D185" s="75" t="s">
        <v>353</v>
      </c>
      <c r="E185" s="75" t="s">
        <v>354</v>
      </c>
      <c r="F185" s="75" t="s">
        <v>226</v>
      </c>
      <c r="G185" s="102">
        <f t="shared" ref="G185:I186" si="31">G186</f>
        <v>0</v>
      </c>
      <c r="H185" s="102">
        <f t="shared" si="31"/>
        <v>0</v>
      </c>
      <c r="I185" s="102">
        <f t="shared" si="31"/>
        <v>0</v>
      </c>
    </row>
    <row r="186" spans="1:12" ht="31.5" hidden="1" customHeight="1">
      <c r="A186" s="74" t="s">
        <v>223</v>
      </c>
      <c r="B186" s="98">
        <v>951</v>
      </c>
      <c r="C186" s="75" t="s">
        <v>220</v>
      </c>
      <c r="D186" s="75" t="s">
        <v>353</v>
      </c>
      <c r="E186" s="75" t="s">
        <v>354</v>
      </c>
      <c r="F186" s="75" t="s">
        <v>226</v>
      </c>
      <c r="G186" s="72">
        <f t="shared" si="31"/>
        <v>0</v>
      </c>
      <c r="H186" s="72">
        <f t="shared" si="31"/>
        <v>0</v>
      </c>
      <c r="I186" s="72">
        <f t="shared" si="31"/>
        <v>0</v>
      </c>
    </row>
    <row r="187" spans="1:12" ht="47.25" hidden="1" customHeight="1">
      <c r="A187" s="74" t="s">
        <v>225</v>
      </c>
      <c r="B187" s="98">
        <v>951</v>
      </c>
      <c r="C187" s="75" t="s">
        <v>220</v>
      </c>
      <c r="D187" s="75" t="s">
        <v>353</v>
      </c>
      <c r="E187" s="75" t="s">
        <v>354</v>
      </c>
      <c r="F187" s="75" t="s">
        <v>226</v>
      </c>
      <c r="G187" s="76">
        <f>'5'!D301</f>
        <v>0</v>
      </c>
      <c r="H187" s="72">
        <v>0</v>
      </c>
      <c r="I187" s="72">
        <v>0</v>
      </c>
    </row>
    <row r="188" spans="1:12" ht="47.25" customHeight="1">
      <c r="A188" s="119" t="s">
        <v>373</v>
      </c>
      <c r="B188" s="212">
        <v>951</v>
      </c>
      <c r="C188" s="136" t="s">
        <v>220</v>
      </c>
      <c r="D188" s="136" t="s">
        <v>374</v>
      </c>
      <c r="E188" s="136" t="s">
        <v>375</v>
      </c>
      <c r="F188" s="136" t="s">
        <v>206</v>
      </c>
      <c r="G188" s="137">
        <f t="shared" ref="G188:G190" si="32">G189</f>
        <v>10.92</v>
      </c>
      <c r="H188" s="137">
        <f t="shared" ref="H188:I190" si="33">H189</f>
        <v>0</v>
      </c>
      <c r="I188" s="137">
        <f t="shared" si="33"/>
        <v>0</v>
      </c>
    </row>
    <row r="189" spans="1:12" ht="47.25" customHeight="1">
      <c r="A189" s="74" t="s">
        <v>376</v>
      </c>
      <c r="B189" s="98">
        <v>951</v>
      </c>
      <c r="C189" s="75" t="s">
        <v>220</v>
      </c>
      <c r="D189" s="75" t="s">
        <v>374</v>
      </c>
      <c r="E189" s="75" t="s">
        <v>375</v>
      </c>
      <c r="F189" s="75" t="s">
        <v>206</v>
      </c>
      <c r="G189" s="76">
        <f t="shared" si="32"/>
        <v>10.92</v>
      </c>
      <c r="H189" s="76">
        <f t="shared" si="33"/>
        <v>0</v>
      </c>
      <c r="I189" s="76">
        <f t="shared" si="33"/>
        <v>0</v>
      </c>
    </row>
    <row r="190" spans="1:12" ht="47.25" customHeight="1">
      <c r="A190" s="74" t="s">
        <v>223</v>
      </c>
      <c r="B190" s="98">
        <v>951</v>
      </c>
      <c r="C190" s="75" t="s">
        <v>220</v>
      </c>
      <c r="D190" s="75" t="s">
        <v>374</v>
      </c>
      <c r="E190" s="75" t="s">
        <v>375</v>
      </c>
      <c r="F190" s="75" t="s">
        <v>224</v>
      </c>
      <c r="G190" s="76">
        <f t="shared" si="32"/>
        <v>10.92</v>
      </c>
      <c r="H190" s="76">
        <f t="shared" si="33"/>
        <v>0</v>
      </c>
      <c r="I190" s="76">
        <f t="shared" si="33"/>
        <v>0</v>
      </c>
    </row>
    <row r="191" spans="1:12" ht="47.25" customHeight="1">
      <c r="A191" s="74" t="s">
        <v>225</v>
      </c>
      <c r="B191" s="98">
        <v>951</v>
      </c>
      <c r="C191" s="75" t="s">
        <v>220</v>
      </c>
      <c r="D191" s="75" t="s">
        <v>374</v>
      </c>
      <c r="E191" s="75" t="s">
        <v>375</v>
      </c>
      <c r="F191" s="75" t="s">
        <v>226</v>
      </c>
      <c r="G191" s="76">
        <f>'5'!D305</f>
        <v>10.92</v>
      </c>
      <c r="H191" s="76">
        <f>'5'!E305</f>
        <v>0</v>
      </c>
      <c r="I191" s="76">
        <f>'5'!F305</f>
        <v>0</v>
      </c>
    </row>
    <row r="192" spans="1:12">
      <c r="A192" s="66" t="s">
        <v>377</v>
      </c>
      <c r="B192" s="199">
        <v>951</v>
      </c>
      <c r="C192" s="67" t="s">
        <v>234</v>
      </c>
      <c r="D192" s="67" t="s">
        <v>204</v>
      </c>
      <c r="E192" s="67" t="s">
        <v>205</v>
      </c>
      <c r="F192" s="67" t="s">
        <v>206</v>
      </c>
      <c r="G192" s="68">
        <f>G204+G226+G252+G193+G257+G200</f>
        <v>52231.350790000004</v>
      </c>
      <c r="H192" s="68">
        <f>H204+H226+H252+H193+H257+H200</f>
        <v>26416.098269999999</v>
      </c>
      <c r="I192" s="68">
        <f>I204+I226+I252+I193+I257+I200+I202</f>
        <v>34909.098270000002</v>
      </c>
      <c r="J192" s="184"/>
      <c r="K192" s="184"/>
      <c r="L192" s="184"/>
    </row>
    <row r="193" spans="1:9">
      <c r="A193" s="206" t="s">
        <v>378</v>
      </c>
      <c r="B193" s="207" t="s">
        <v>864</v>
      </c>
      <c r="C193" s="208" t="s">
        <v>234</v>
      </c>
      <c r="D193" s="208" t="s">
        <v>236</v>
      </c>
      <c r="E193" s="208" t="s">
        <v>205</v>
      </c>
      <c r="F193" s="208" t="s">
        <v>206</v>
      </c>
      <c r="G193" s="209">
        <f>G194+G197</f>
        <v>1485.3911900000001</v>
      </c>
      <c r="H193" s="209">
        <f t="shared" ref="H193:I193" si="34">H194+H197</f>
        <v>1485.3911900000001</v>
      </c>
      <c r="I193" s="209">
        <f t="shared" si="34"/>
        <v>1485.3911900000001</v>
      </c>
    </row>
    <row r="194" spans="1:9" ht="117.75" customHeight="1">
      <c r="A194" s="74" t="s">
        <v>379</v>
      </c>
      <c r="B194" s="98" t="s">
        <v>864</v>
      </c>
      <c r="C194" s="75" t="s">
        <v>234</v>
      </c>
      <c r="D194" s="75" t="s">
        <v>236</v>
      </c>
      <c r="E194" s="75" t="s">
        <v>380</v>
      </c>
      <c r="F194" s="75" t="s">
        <v>206</v>
      </c>
      <c r="G194" s="76">
        <f t="shared" ref="G194:I195" si="35">G195</f>
        <v>1485.3911900000001</v>
      </c>
      <c r="H194" s="76">
        <f t="shared" si="35"/>
        <v>1485.3911900000001</v>
      </c>
      <c r="I194" s="76">
        <f t="shared" si="35"/>
        <v>1485.3911900000001</v>
      </c>
    </row>
    <row r="195" spans="1:9" ht="36" customHeight="1">
      <c r="A195" s="70" t="s">
        <v>223</v>
      </c>
      <c r="B195" s="130" t="s">
        <v>864</v>
      </c>
      <c r="C195" s="71" t="s">
        <v>234</v>
      </c>
      <c r="D195" s="71" t="s">
        <v>236</v>
      </c>
      <c r="E195" s="71" t="s">
        <v>380</v>
      </c>
      <c r="F195" s="71" t="s">
        <v>224</v>
      </c>
      <c r="G195" s="72">
        <f t="shared" si="35"/>
        <v>1485.3911900000001</v>
      </c>
      <c r="H195" s="72">
        <f t="shared" si="35"/>
        <v>1485.3911900000001</v>
      </c>
      <c r="I195" s="72">
        <f t="shared" si="35"/>
        <v>1485.3911900000001</v>
      </c>
    </row>
    <row r="196" spans="1:9" ht="55.5" customHeight="1">
      <c r="A196" s="74" t="s">
        <v>225</v>
      </c>
      <c r="B196" s="98" t="s">
        <v>864</v>
      </c>
      <c r="C196" s="75" t="s">
        <v>234</v>
      </c>
      <c r="D196" s="75" t="s">
        <v>236</v>
      </c>
      <c r="E196" s="75" t="s">
        <v>380</v>
      </c>
      <c r="F196" s="75" t="s">
        <v>226</v>
      </c>
      <c r="G196" s="76">
        <f>'5'!D321</f>
        <v>1485.3911900000001</v>
      </c>
      <c r="H196" s="76">
        <f>'5'!E321</f>
        <v>1485.3911900000001</v>
      </c>
      <c r="I196" s="76">
        <f>'5'!F321</f>
        <v>1485.3911900000001</v>
      </c>
    </row>
    <row r="197" spans="1:9" ht="78.75" hidden="1" customHeight="1">
      <c r="A197" s="132" t="s">
        <v>381</v>
      </c>
      <c r="B197" s="213" t="s">
        <v>864</v>
      </c>
      <c r="C197" s="127" t="s">
        <v>234</v>
      </c>
      <c r="D197" s="127" t="s">
        <v>236</v>
      </c>
      <c r="E197" s="127" t="s">
        <v>382</v>
      </c>
      <c r="F197" s="127" t="s">
        <v>206</v>
      </c>
      <c r="G197" s="129">
        <f t="shared" ref="G197:I200" si="36">G198</f>
        <v>0</v>
      </c>
      <c r="H197" s="129">
        <f t="shared" si="36"/>
        <v>0</v>
      </c>
      <c r="I197" s="129">
        <f t="shared" si="36"/>
        <v>0</v>
      </c>
    </row>
    <row r="198" spans="1:9" ht="31.5" hidden="1" customHeight="1">
      <c r="A198" s="70" t="s">
        <v>223</v>
      </c>
      <c r="B198" s="130" t="s">
        <v>864</v>
      </c>
      <c r="C198" s="71" t="s">
        <v>234</v>
      </c>
      <c r="D198" s="71" t="s">
        <v>236</v>
      </c>
      <c r="E198" s="71" t="s">
        <v>382</v>
      </c>
      <c r="F198" s="71" t="s">
        <v>224</v>
      </c>
      <c r="G198" s="72">
        <f t="shared" si="36"/>
        <v>0</v>
      </c>
      <c r="H198" s="72">
        <f t="shared" si="36"/>
        <v>0</v>
      </c>
      <c r="I198" s="72">
        <f t="shared" si="36"/>
        <v>0</v>
      </c>
    </row>
    <row r="199" spans="1:9" ht="47.25" hidden="1" customHeight="1">
      <c r="A199" s="70" t="s">
        <v>225</v>
      </c>
      <c r="B199" s="130" t="s">
        <v>864</v>
      </c>
      <c r="C199" s="71" t="s">
        <v>234</v>
      </c>
      <c r="D199" s="71" t="s">
        <v>236</v>
      </c>
      <c r="E199" s="71" t="s">
        <v>382</v>
      </c>
      <c r="F199" s="71" t="s">
        <v>226</v>
      </c>
      <c r="G199" s="72"/>
      <c r="H199" s="72"/>
      <c r="I199" s="72"/>
    </row>
    <row r="200" spans="1:9" ht="21.75" customHeight="1">
      <c r="A200" s="214" t="s">
        <v>871</v>
      </c>
      <c r="B200" s="215" t="s">
        <v>864</v>
      </c>
      <c r="C200" s="87" t="s">
        <v>234</v>
      </c>
      <c r="D200" s="87" t="s">
        <v>236</v>
      </c>
      <c r="E200" s="87" t="s">
        <v>384</v>
      </c>
      <c r="F200" s="87" t="s">
        <v>206</v>
      </c>
      <c r="G200" s="88">
        <f t="shared" si="36"/>
        <v>6004.1562500000009</v>
      </c>
      <c r="H200" s="88">
        <f t="shared" ref="H200:I200" si="37">H201</f>
        <v>0</v>
      </c>
      <c r="I200" s="88">
        <f t="shared" si="37"/>
        <v>0</v>
      </c>
    </row>
    <row r="201" spans="1:9" ht="96.75" customHeight="1">
      <c r="A201" s="78" t="s">
        <v>872</v>
      </c>
      <c r="B201" s="98" t="s">
        <v>864</v>
      </c>
      <c r="C201" s="75" t="s">
        <v>234</v>
      </c>
      <c r="D201" s="75" t="s">
        <v>236</v>
      </c>
      <c r="E201" s="75" t="s">
        <v>385</v>
      </c>
      <c r="F201" s="79" t="s">
        <v>206</v>
      </c>
      <c r="G201" s="76">
        <f>'3'!F256</f>
        <v>6004.1562500000009</v>
      </c>
      <c r="H201" s="76">
        <f>'3'!G256</f>
        <v>0</v>
      </c>
      <c r="I201" s="76">
        <f>'3'!H256</f>
        <v>0</v>
      </c>
    </row>
    <row r="202" spans="1:9" ht="15.75" hidden="1" customHeight="1">
      <c r="A202" s="78" t="s">
        <v>873</v>
      </c>
      <c r="B202" s="98" t="s">
        <v>864</v>
      </c>
      <c r="C202" s="75" t="s">
        <v>234</v>
      </c>
      <c r="D202" s="75" t="s">
        <v>236</v>
      </c>
      <c r="E202" s="75" t="s">
        <v>387</v>
      </c>
      <c r="F202" s="79" t="s">
        <v>206</v>
      </c>
      <c r="G202" s="76">
        <f>G203</f>
        <v>0</v>
      </c>
      <c r="H202" s="76">
        <f>H203</f>
        <v>0</v>
      </c>
      <c r="I202" s="76">
        <f>I203</f>
        <v>0</v>
      </c>
    </row>
    <row r="203" spans="1:9" ht="94.5" hidden="1" customHeight="1">
      <c r="A203" s="78" t="s">
        <v>383</v>
      </c>
      <c r="B203" s="98" t="s">
        <v>864</v>
      </c>
      <c r="C203" s="75" t="s">
        <v>234</v>
      </c>
      <c r="D203" s="75" t="s">
        <v>236</v>
      </c>
      <c r="E203" s="75" t="s">
        <v>387</v>
      </c>
      <c r="F203" s="79" t="s">
        <v>224</v>
      </c>
      <c r="G203" s="76">
        <v>0</v>
      </c>
      <c r="H203" s="76">
        <v>0</v>
      </c>
      <c r="I203" s="76">
        <f>'3'!H261</f>
        <v>0</v>
      </c>
    </row>
    <row r="204" spans="1:9" ht="18.75" customHeight="1">
      <c r="A204" s="206" t="s">
        <v>388</v>
      </c>
      <c r="B204" s="207">
        <v>951</v>
      </c>
      <c r="C204" s="208" t="s">
        <v>234</v>
      </c>
      <c r="D204" s="208" t="s">
        <v>389</v>
      </c>
      <c r="E204" s="208" t="s">
        <v>205</v>
      </c>
      <c r="F204" s="208" t="s">
        <v>206</v>
      </c>
      <c r="G204" s="209">
        <f>G211+G214+G219+G223</f>
        <v>10508.46831</v>
      </c>
      <c r="H204" s="209">
        <f>H205+H209</f>
        <v>3.3870800000000001</v>
      </c>
      <c r="I204" s="209">
        <f>I223</f>
        <v>3.3870800000000001</v>
      </c>
    </row>
    <row r="205" spans="1:9" ht="15.75" hidden="1" customHeight="1">
      <c r="A205" s="70" t="s">
        <v>392</v>
      </c>
      <c r="B205" s="130">
        <v>951</v>
      </c>
      <c r="C205" s="71" t="s">
        <v>234</v>
      </c>
      <c r="D205" s="71" t="s">
        <v>389</v>
      </c>
      <c r="E205" s="71" t="s">
        <v>403</v>
      </c>
      <c r="F205" s="71" t="s">
        <v>206</v>
      </c>
      <c r="G205" s="72">
        <f t="shared" ref="G205:I209" si="38">G206</f>
        <v>0</v>
      </c>
      <c r="H205" s="72">
        <f t="shared" si="38"/>
        <v>0</v>
      </c>
      <c r="I205" s="72">
        <f t="shared" si="38"/>
        <v>0</v>
      </c>
    </row>
    <row r="206" spans="1:9" s="216" customFormat="1" ht="47.25" hidden="1">
      <c r="A206" s="74" t="s">
        <v>874</v>
      </c>
      <c r="B206" s="98">
        <v>951</v>
      </c>
      <c r="C206" s="75" t="s">
        <v>234</v>
      </c>
      <c r="D206" s="75" t="s">
        <v>389</v>
      </c>
      <c r="E206" s="75" t="s">
        <v>403</v>
      </c>
      <c r="F206" s="75" t="s">
        <v>206</v>
      </c>
      <c r="G206" s="76">
        <f t="shared" si="38"/>
        <v>0</v>
      </c>
      <c r="H206" s="76">
        <f t="shared" si="38"/>
        <v>0</v>
      </c>
      <c r="I206" s="76">
        <f t="shared" si="38"/>
        <v>0</v>
      </c>
    </row>
    <row r="207" spans="1:9" s="216" customFormat="1" ht="15.75" hidden="1" customHeight="1">
      <c r="A207" s="74" t="s">
        <v>229</v>
      </c>
      <c r="B207" s="98">
        <v>951</v>
      </c>
      <c r="C207" s="75" t="s">
        <v>234</v>
      </c>
      <c r="D207" s="75" t="s">
        <v>389</v>
      </c>
      <c r="E207" s="75" t="s">
        <v>403</v>
      </c>
      <c r="F207" s="75" t="s">
        <v>230</v>
      </c>
      <c r="G207" s="76">
        <f t="shared" si="38"/>
        <v>0</v>
      </c>
      <c r="H207" s="76">
        <f t="shared" si="38"/>
        <v>0</v>
      </c>
      <c r="I207" s="76">
        <f t="shared" si="38"/>
        <v>0</v>
      </c>
    </row>
    <row r="208" spans="1:9" s="216" customFormat="1" ht="47.25" hidden="1" customHeight="1">
      <c r="A208" s="74" t="s">
        <v>395</v>
      </c>
      <c r="B208" s="98">
        <v>951</v>
      </c>
      <c r="C208" s="75" t="s">
        <v>234</v>
      </c>
      <c r="D208" s="75" t="s">
        <v>389</v>
      </c>
      <c r="E208" s="75" t="s">
        <v>403</v>
      </c>
      <c r="F208" s="75" t="s">
        <v>396</v>
      </c>
      <c r="G208" s="76"/>
      <c r="H208" s="76"/>
      <c r="I208" s="76"/>
    </row>
    <row r="209" spans="1:9" ht="116.25" customHeight="1">
      <c r="A209" s="78" t="s">
        <v>390</v>
      </c>
      <c r="B209" s="128" t="s">
        <v>864</v>
      </c>
      <c r="C209" s="79" t="s">
        <v>234</v>
      </c>
      <c r="D209" s="79" t="s">
        <v>389</v>
      </c>
      <c r="E209" s="79" t="s">
        <v>205</v>
      </c>
      <c r="F209" s="79" t="s">
        <v>206</v>
      </c>
      <c r="G209" s="80">
        <f t="shared" si="38"/>
        <v>10508.46831</v>
      </c>
      <c r="H209" s="80">
        <f t="shared" ref="H209:I209" si="39">H210</f>
        <v>3.3870800000000001</v>
      </c>
      <c r="I209" s="80">
        <f t="shared" si="39"/>
        <v>0</v>
      </c>
    </row>
    <row r="210" spans="1:9" ht="21" customHeight="1">
      <c r="A210" s="74" t="s">
        <v>392</v>
      </c>
      <c r="B210" s="98">
        <v>951</v>
      </c>
      <c r="C210" s="75" t="s">
        <v>234</v>
      </c>
      <c r="D210" s="75" t="s">
        <v>389</v>
      </c>
      <c r="E210" s="98" t="s">
        <v>391</v>
      </c>
      <c r="F210" s="75" t="s">
        <v>206</v>
      </c>
      <c r="G210" s="76">
        <f>G211+G214+G220</f>
        <v>10508.46831</v>
      </c>
      <c r="H210" s="76">
        <f t="shared" ref="H210:I210" si="40">H211+H214+H220</f>
        <v>3.3870800000000001</v>
      </c>
      <c r="I210" s="76">
        <f t="shared" si="40"/>
        <v>0</v>
      </c>
    </row>
    <row r="211" spans="1:9" ht="88.5" customHeight="1">
      <c r="A211" s="74" t="s">
        <v>123</v>
      </c>
      <c r="B211" s="98">
        <v>951</v>
      </c>
      <c r="C211" s="75" t="s">
        <v>234</v>
      </c>
      <c r="D211" s="75" t="s">
        <v>389</v>
      </c>
      <c r="E211" s="98" t="s">
        <v>397</v>
      </c>
      <c r="F211" s="75" t="s">
        <v>206</v>
      </c>
      <c r="G211" s="76">
        <f t="shared" ref="G211:I212" si="41">G212</f>
        <v>8404.0649799999992</v>
      </c>
      <c r="H211" s="76">
        <f t="shared" ref="H211:I211" si="42">H212</f>
        <v>0</v>
      </c>
      <c r="I211" s="76">
        <f t="shared" si="42"/>
        <v>0</v>
      </c>
    </row>
    <row r="212" spans="1:9" ht="35.25" customHeight="1">
      <c r="A212" s="74" t="s">
        <v>223</v>
      </c>
      <c r="B212" s="98">
        <v>951</v>
      </c>
      <c r="C212" s="75" t="s">
        <v>234</v>
      </c>
      <c r="D212" s="75" t="s">
        <v>389</v>
      </c>
      <c r="E212" s="98" t="s">
        <v>397</v>
      </c>
      <c r="F212" s="75" t="s">
        <v>224</v>
      </c>
      <c r="G212" s="76">
        <f t="shared" si="41"/>
        <v>8404.0649799999992</v>
      </c>
      <c r="H212" s="76">
        <f t="shared" si="41"/>
        <v>0</v>
      </c>
      <c r="I212" s="76">
        <f t="shared" si="41"/>
        <v>0</v>
      </c>
    </row>
    <row r="213" spans="1:9" ht="51" customHeight="1">
      <c r="A213" s="74" t="s">
        <v>225</v>
      </c>
      <c r="B213" s="98">
        <v>951</v>
      </c>
      <c r="C213" s="75" t="s">
        <v>234</v>
      </c>
      <c r="D213" s="75" t="s">
        <v>389</v>
      </c>
      <c r="E213" s="98" t="s">
        <v>397</v>
      </c>
      <c r="F213" s="75" t="s">
        <v>226</v>
      </c>
      <c r="G213" s="76">
        <f>'5'!D253</f>
        <v>8404.0649799999992</v>
      </c>
      <c r="H213" s="76">
        <f>'5'!E253</f>
        <v>0</v>
      </c>
      <c r="I213" s="76">
        <f>'5'!F253</f>
        <v>0</v>
      </c>
    </row>
    <row r="214" spans="1:9" ht="87.75" customHeight="1">
      <c r="A214" s="74" t="s">
        <v>398</v>
      </c>
      <c r="B214" s="98">
        <v>951</v>
      </c>
      <c r="C214" s="75" t="s">
        <v>234</v>
      </c>
      <c r="D214" s="75" t="s">
        <v>389</v>
      </c>
      <c r="E214" s="98" t="s">
        <v>399</v>
      </c>
      <c r="F214" s="75" t="s">
        <v>206</v>
      </c>
      <c r="G214" s="76">
        <f t="shared" ref="G214:I215" si="43">G215</f>
        <v>2101.0162500000001</v>
      </c>
      <c r="H214" s="76">
        <f t="shared" si="43"/>
        <v>0</v>
      </c>
      <c r="I214" s="76">
        <f t="shared" si="43"/>
        <v>0</v>
      </c>
    </row>
    <row r="215" spans="1:9" ht="38.450000000000003" customHeight="1">
      <c r="A215" s="74" t="s">
        <v>223</v>
      </c>
      <c r="B215" s="98">
        <v>951</v>
      </c>
      <c r="C215" s="75" t="s">
        <v>234</v>
      </c>
      <c r="D215" s="75" t="s">
        <v>389</v>
      </c>
      <c r="E215" s="98" t="s">
        <v>399</v>
      </c>
      <c r="F215" s="75" t="s">
        <v>224</v>
      </c>
      <c r="G215" s="76">
        <f t="shared" si="43"/>
        <v>2101.0162500000001</v>
      </c>
      <c r="H215" s="76">
        <f t="shared" si="43"/>
        <v>0</v>
      </c>
      <c r="I215" s="76">
        <f t="shared" si="43"/>
        <v>0</v>
      </c>
    </row>
    <row r="216" spans="1:9" ht="50.25" customHeight="1">
      <c r="A216" s="74" t="s">
        <v>225</v>
      </c>
      <c r="B216" s="98">
        <v>951</v>
      </c>
      <c r="C216" s="75" t="s">
        <v>234</v>
      </c>
      <c r="D216" s="75" t="s">
        <v>389</v>
      </c>
      <c r="E216" s="98" t="s">
        <v>399</v>
      </c>
      <c r="F216" s="75" t="s">
        <v>226</v>
      </c>
      <c r="G216" s="76">
        <f>'5'!D254</f>
        <v>2101.0162500000001</v>
      </c>
      <c r="H216" s="76">
        <f>'5'!E254</f>
        <v>0</v>
      </c>
      <c r="I216" s="76">
        <f>'5'!F254</f>
        <v>0</v>
      </c>
    </row>
    <row r="217" spans="1:9" ht="31.5" hidden="1" customHeight="1">
      <c r="A217" s="74" t="s">
        <v>223</v>
      </c>
      <c r="B217" s="98">
        <v>951</v>
      </c>
      <c r="C217" s="75" t="s">
        <v>234</v>
      </c>
      <c r="D217" s="75" t="s">
        <v>389</v>
      </c>
      <c r="E217" s="75" t="s">
        <v>394</v>
      </c>
      <c r="F217" s="75" t="s">
        <v>224</v>
      </c>
      <c r="G217" s="76">
        <f>G218</f>
        <v>0</v>
      </c>
      <c r="H217" s="76">
        <f>H218</f>
        <v>0</v>
      </c>
      <c r="I217" s="76">
        <f>I218</f>
        <v>0</v>
      </c>
    </row>
    <row r="218" spans="1:9" ht="47.25" hidden="1" customHeight="1">
      <c r="A218" s="74" t="s">
        <v>225</v>
      </c>
      <c r="B218" s="98">
        <v>951</v>
      </c>
      <c r="C218" s="75" t="s">
        <v>234</v>
      </c>
      <c r="D218" s="75" t="s">
        <v>389</v>
      </c>
      <c r="E218" s="75" t="s">
        <v>394</v>
      </c>
      <c r="F218" s="75" t="s">
        <v>226</v>
      </c>
      <c r="G218" s="76"/>
      <c r="H218" s="76"/>
      <c r="I218" s="76"/>
    </row>
    <row r="219" spans="1:9" ht="162" customHeight="1">
      <c r="A219" s="78" t="s">
        <v>160</v>
      </c>
      <c r="B219" s="128" t="s">
        <v>864</v>
      </c>
      <c r="C219" s="79" t="s">
        <v>234</v>
      </c>
      <c r="D219" s="79" t="s">
        <v>389</v>
      </c>
      <c r="E219" s="79" t="s">
        <v>205</v>
      </c>
      <c r="F219" s="79" t="s">
        <v>206</v>
      </c>
      <c r="G219" s="80">
        <f t="shared" ref="G219:I220" si="44">G220</f>
        <v>3.3870800000000001</v>
      </c>
      <c r="H219" s="80">
        <f t="shared" si="44"/>
        <v>3.3870800000000001</v>
      </c>
      <c r="I219" s="80">
        <f t="shared" si="44"/>
        <v>0</v>
      </c>
    </row>
    <row r="220" spans="1:9" ht="35.25" customHeight="1">
      <c r="A220" s="74" t="s">
        <v>223</v>
      </c>
      <c r="B220" s="98" t="s">
        <v>864</v>
      </c>
      <c r="C220" s="75" t="s">
        <v>234</v>
      </c>
      <c r="D220" s="75" t="s">
        <v>389</v>
      </c>
      <c r="E220" s="98" t="s">
        <v>400</v>
      </c>
      <c r="F220" s="75" t="s">
        <v>224</v>
      </c>
      <c r="G220" s="76">
        <f t="shared" si="44"/>
        <v>3.3870800000000001</v>
      </c>
      <c r="H220" s="76">
        <f t="shared" si="44"/>
        <v>3.3870800000000001</v>
      </c>
      <c r="I220" s="76">
        <f t="shared" si="44"/>
        <v>0</v>
      </c>
    </row>
    <row r="221" spans="1:9" ht="54" customHeight="1">
      <c r="A221" s="74" t="s">
        <v>225</v>
      </c>
      <c r="B221" s="98" t="s">
        <v>864</v>
      </c>
      <c r="C221" s="75" t="s">
        <v>234</v>
      </c>
      <c r="D221" s="75" t="s">
        <v>389</v>
      </c>
      <c r="E221" s="98" t="s">
        <v>400</v>
      </c>
      <c r="F221" s="75" t="s">
        <v>226</v>
      </c>
      <c r="G221" s="76">
        <f>'5'!D255</f>
        <v>3.3870800000000001</v>
      </c>
      <c r="H221" s="76">
        <f>'5'!E255</f>
        <v>3.3870800000000001</v>
      </c>
      <c r="I221" s="76">
        <f>'5'!F255</f>
        <v>0</v>
      </c>
    </row>
    <row r="222" spans="1:9" hidden="1">
      <c r="A222" s="74" t="s">
        <v>401</v>
      </c>
      <c r="B222" s="98" t="s">
        <v>864</v>
      </c>
      <c r="C222" s="75" t="s">
        <v>234</v>
      </c>
      <c r="D222" s="75" t="s">
        <v>389</v>
      </c>
      <c r="E222" s="98" t="s">
        <v>205</v>
      </c>
      <c r="F222" s="75" t="s">
        <v>206</v>
      </c>
      <c r="G222" s="76"/>
      <c r="H222" s="76"/>
      <c r="I222" s="76"/>
    </row>
    <row r="223" spans="1:9" ht="168.75" customHeight="1">
      <c r="A223" s="78" t="s">
        <v>160</v>
      </c>
      <c r="B223" s="98" t="s">
        <v>864</v>
      </c>
      <c r="C223" s="75" t="s">
        <v>234</v>
      </c>
      <c r="D223" s="75" t="s">
        <v>389</v>
      </c>
      <c r="E223" s="98" t="s">
        <v>402</v>
      </c>
      <c r="F223" s="75" t="s">
        <v>206</v>
      </c>
      <c r="G223" s="76">
        <f t="shared" ref="G223:G224" si="45">G224</f>
        <v>0</v>
      </c>
      <c r="H223" s="76">
        <f t="shared" ref="H223:I224" si="46">H224</f>
        <v>0</v>
      </c>
      <c r="I223" s="76">
        <f t="shared" si="46"/>
        <v>3.3870800000000001</v>
      </c>
    </row>
    <row r="224" spans="1:9" ht="37.5" customHeight="1">
      <c r="A224" s="74" t="s">
        <v>223</v>
      </c>
      <c r="B224" s="98" t="s">
        <v>864</v>
      </c>
      <c r="C224" s="75" t="s">
        <v>234</v>
      </c>
      <c r="D224" s="75" t="s">
        <v>389</v>
      </c>
      <c r="E224" s="98" t="s">
        <v>402</v>
      </c>
      <c r="F224" s="75" t="s">
        <v>224</v>
      </c>
      <c r="G224" s="76">
        <f t="shared" si="45"/>
        <v>0</v>
      </c>
      <c r="H224" s="76">
        <f t="shared" si="46"/>
        <v>0</v>
      </c>
      <c r="I224" s="76">
        <f t="shared" si="46"/>
        <v>3.3870800000000001</v>
      </c>
    </row>
    <row r="225" spans="1:9" ht="54" customHeight="1">
      <c r="A225" s="74" t="s">
        <v>225</v>
      </c>
      <c r="B225" s="98" t="s">
        <v>864</v>
      </c>
      <c r="C225" s="75" t="s">
        <v>234</v>
      </c>
      <c r="D225" s="75" t="s">
        <v>389</v>
      </c>
      <c r="E225" s="98" t="s">
        <v>402</v>
      </c>
      <c r="F225" s="75" t="s">
        <v>226</v>
      </c>
      <c r="G225" s="76">
        <f>'5'!D329</f>
        <v>0</v>
      </c>
      <c r="H225" s="76">
        <f>'5'!E329</f>
        <v>0</v>
      </c>
      <c r="I225" s="76">
        <f>'5'!F329</f>
        <v>3.3870800000000001</v>
      </c>
    </row>
    <row r="226" spans="1:9" ht="17.25" customHeight="1">
      <c r="A226" s="206" t="s">
        <v>404</v>
      </c>
      <c r="B226" s="207">
        <v>951</v>
      </c>
      <c r="C226" s="208" t="s">
        <v>234</v>
      </c>
      <c r="D226" s="208" t="s">
        <v>353</v>
      </c>
      <c r="E226" s="208" t="s">
        <v>205</v>
      </c>
      <c r="F226" s="208" t="s">
        <v>206</v>
      </c>
      <c r="G226" s="209">
        <f>G228+G235+G246+G244</f>
        <v>32395.0177</v>
      </c>
      <c r="H226" s="209">
        <f t="shared" ref="H226:I226" si="47">H228+H235+H246+H244</f>
        <v>24727.32</v>
      </c>
      <c r="I226" s="209">
        <f t="shared" si="47"/>
        <v>33220.32</v>
      </c>
    </row>
    <row r="227" spans="1:9" ht="83.25" customHeight="1">
      <c r="A227" s="78" t="s">
        <v>405</v>
      </c>
      <c r="B227" s="128" t="s">
        <v>864</v>
      </c>
      <c r="C227" s="79" t="s">
        <v>234</v>
      </c>
      <c r="D227" s="79" t="s">
        <v>353</v>
      </c>
      <c r="E227" s="79" t="s">
        <v>205</v>
      </c>
      <c r="F227" s="79" t="s">
        <v>206</v>
      </c>
      <c r="G227" s="80">
        <f>G228+G234+G238</f>
        <v>21250.397700000001</v>
      </c>
      <c r="H227" s="80">
        <f t="shared" ref="H227:I227" si="48">H228+H234+H238</f>
        <v>24647</v>
      </c>
      <c r="I227" s="80">
        <f t="shared" si="48"/>
        <v>33140</v>
      </c>
    </row>
    <row r="228" spans="1:9" ht="33.6" customHeight="1">
      <c r="A228" s="74" t="s">
        <v>407</v>
      </c>
      <c r="B228" s="98">
        <v>951</v>
      </c>
      <c r="C228" s="75" t="s">
        <v>234</v>
      </c>
      <c r="D228" s="75" t="s">
        <v>353</v>
      </c>
      <c r="E228" s="75" t="s">
        <v>408</v>
      </c>
      <c r="F228" s="75" t="s">
        <v>206</v>
      </c>
      <c r="G228" s="76">
        <f>G229+G231</f>
        <v>4733.8756999999987</v>
      </c>
      <c r="H228" s="76">
        <f>H229+H231</f>
        <v>7358.9079999999994</v>
      </c>
      <c r="I228" s="76">
        <f>I229+I231</f>
        <v>9894.6810000000005</v>
      </c>
    </row>
    <row r="229" spans="1:9" ht="33" customHeight="1">
      <c r="A229" s="74" t="s">
        <v>223</v>
      </c>
      <c r="B229" s="98">
        <v>951</v>
      </c>
      <c r="C229" s="75" t="s">
        <v>234</v>
      </c>
      <c r="D229" s="75" t="s">
        <v>353</v>
      </c>
      <c r="E229" s="75" t="s">
        <v>408</v>
      </c>
      <c r="F229" s="75" t="s">
        <v>224</v>
      </c>
      <c r="G229" s="76">
        <f>G230</f>
        <v>4733.8756999999987</v>
      </c>
      <c r="H229" s="76">
        <f>H230</f>
        <v>7358.9079999999994</v>
      </c>
      <c r="I229" s="76">
        <f>I230</f>
        <v>9894.6810000000005</v>
      </c>
    </row>
    <row r="230" spans="1:9" ht="47.25" customHeight="1">
      <c r="A230" s="74" t="s">
        <v>225</v>
      </c>
      <c r="B230" s="98">
        <v>951</v>
      </c>
      <c r="C230" s="75" t="s">
        <v>234</v>
      </c>
      <c r="D230" s="75" t="s">
        <v>353</v>
      </c>
      <c r="E230" s="75" t="s">
        <v>408</v>
      </c>
      <c r="F230" s="75" t="s">
        <v>226</v>
      </c>
      <c r="G230" s="76">
        <f>'5'!D211</f>
        <v>4733.8756999999987</v>
      </c>
      <c r="H230" s="76">
        <f>'5'!E211</f>
        <v>7358.9079999999994</v>
      </c>
      <c r="I230" s="76">
        <f>'5'!F211</f>
        <v>9894.6810000000005</v>
      </c>
    </row>
    <row r="231" spans="1:9" ht="47.25" hidden="1" customHeight="1">
      <c r="A231" s="74" t="s">
        <v>320</v>
      </c>
      <c r="B231" s="98">
        <v>951</v>
      </c>
      <c r="C231" s="75" t="s">
        <v>234</v>
      </c>
      <c r="D231" s="75" t="s">
        <v>353</v>
      </c>
      <c r="E231" s="75" t="s">
        <v>408</v>
      </c>
      <c r="F231" s="75" t="s">
        <v>321</v>
      </c>
      <c r="G231" s="76"/>
      <c r="H231" s="76"/>
      <c r="I231" s="76"/>
    </row>
    <row r="232" spans="1:9" ht="15.75" hidden="1" customHeight="1">
      <c r="A232" s="74" t="s">
        <v>322</v>
      </c>
      <c r="B232" s="98">
        <v>951</v>
      </c>
      <c r="C232" s="75" t="s">
        <v>234</v>
      </c>
      <c r="D232" s="75" t="s">
        <v>353</v>
      </c>
      <c r="E232" s="75" t="s">
        <v>408</v>
      </c>
      <c r="F232" s="75" t="s">
        <v>323</v>
      </c>
      <c r="G232" s="76"/>
      <c r="H232" s="76"/>
      <c r="I232" s="76"/>
    </row>
    <row r="233" spans="1:9" ht="15.75" hidden="1" customHeight="1">
      <c r="A233" s="74"/>
      <c r="B233" s="98"/>
      <c r="C233" s="75"/>
      <c r="D233" s="75"/>
      <c r="E233" s="75"/>
      <c r="F233" s="75"/>
      <c r="G233" s="76"/>
      <c r="H233" s="76"/>
      <c r="I233" s="76"/>
    </row>
    <row r="234" spans="1:9" ht="18.75" customHeight="1">
      <c r="A234" s="74" t="s">
        <v>348</v>
      </c>
      <c r="B234" s="98">
        <v>951</v>
      </c>
      <c r="C234" s="75" t="s">
        <v>234</v>
      </c>
      <c r="D234" s="75" t="s">
        <v>353</v>
      </c>
      <c r="E234" s="75" t="s">
        <v>409</v>
      </c>
      <c r="F234" s="75" t="s">
        <v>349</v>
      </c>
      <c r="G234" s="76">
        <f>G235+G236+G237</f>
        <v>16516.522000000001</v>
      </c>
      <c r="H234" s="76">
        <f>H235+H236+H237</f>
        <v>17288.092000000001</v>
      </c>
      <c r="I234" s="76">
        <f>I235+I236+I237</f>
        <v>23245.319</v>
      </c>
    </row>
    <row r="235" spans="1:9" ht="16.5" customHeight="1">
      <c r="A235" s="74" t="s">
        <v>410</v>
      </c>
      <c r="B235" s="98">
        <v>951</v>
      </c>
      <c r="C235" s="75" t="s">
        <v>234</v>
      </c>
      <c r="D235" s="75" t="s">
        <v>353</v>
      </c>
      <c r="E235" s="75" t="s">
        <v>409</v>
      </c>
      <c r="F235" s="75" t="s">
        <v>411</v>
      </c>
      <c r="G235" s="76">
        <f>'5'!D212</f>
        <v>16516.522000000001</v>
      </c>
      <c r="H235" s="76">
        <f>'5'!E212</f>
        <v>17288.092000000001</v>
      </c>
      <c r="I235" s="76">
        <f>'5'!F212</f>
        <v>23245.319</v>
      </c>
    </row>
    <row r="236" spans="1:9" ht="110.25" hidden="1">
      <c r="A236" s="74" t="s">
        <v>412</v>
      </c>
      <c r="B236" s="98">
        <v>951</v>
      </c>
      <c r="C236" s="75" t="s">
        <v>234</v>
      </c>
      <c r="D236" s="75" t="s">
        <v>353</v>
      </c>
      <c r="E236" s="75" t="s">
        <v>413</v>
      </c>
      <c r="F236" s="75" t="s">
        <v>411</v>
      </c>
      <c r="G236" s="76"/>
      <c r="H236" s="76"/>
      <c r="I236" s="76"/>
    </row>
    <row r="237" spans="1:9" ht="110.25" hidden="1">
      <c r="A237" s="74" t="s">
        <v>414</v>
      </c>
      <c r="B237" s="98">
        <v>951</v>
      </c>
      <c r="C237" s="75" t="s">
        <v>234</v>
      </c>
      <c r="D237" s="75" t="s">
        <v>353</v>
      </c>
      <c r="E237" s="75" t="s">
        <v>415</v>
      </c>
      <c r="F237" s="75" t="s">
        <v>411</v>
      </c>
      <c r="G237" s="76"/>
      <c r="H237" s="76"/>
      <c r="I237" s="76"/>
    </row>
    <row r="238" spans="1:9" ht="47.25" hidden="1" customHeight="1">
      <c r="A238" s="78" t="s">
        <v>416</v>
      </c>
      <c r="B238" s="98">
        <v>951</v>
      </c>
      <c r="C238" s="75" t="s">
        <v>234</v>
      </c>
      <c r="D238" s="75" t="s">
        <v>353</v>
      </c>
      <c r="E238" s="75" t="s">
        <v>417</v>
      </c>
      <c r="F238" s="79" t="s">
        <v>206</v>
      </c>
      <c r="G238" s="80">
        <f>G240+G242</f>
        <v>0</v>
      </c>
      <c r="H238" s="80">
        <f>H240+H242</f>
        <v>0</v>
      </c>
      <c r="I238" s="80">
        <f>I240+I242</f>
        <v>0</v>
      </c>
    </row>
    <row r="239" spans="1:9" ht="31.5" hidden="1" customHeight="1">
      <c r="A239" s="74" t="s">
        <v>223</v>
      </c>
      <c r="B239" s="98">
        <v>951</v>
      </c>
      <c r="C239" s="75" t="s">
        <v>234</v>
      </c>
      <c r="D239" s="75" t="s">
        <v>353</v>
      </c>
      <c r="E239" s="75" t="s">
        <v>418</v>
      </c>
      <c r="F239" s="75" t="s">
        <v>224</v>
      </c>
      <c r="G239" s="76">
        <f>G240</f>
        <v>0</v>
      </c>
      <c r="H239" s="76">
        <f>H240</f>
        <v>0</v>
      </c>
      <c r="I239" s="76">
        <f>I240</f>
        <v>0</v>
      </c>
    </row>
    <row r="240" spans="1:9" ht="47.25" hidden="1">
      <c r="A240" s="74" t="s">
        <v>225</v>
      </c>
      <c r="B240" s="98">
        <v>951</v>
      </c>
      <c r="C240" s="75" t="s">
        <v>234</v>
      </c>
      <c r="D240" s="75" t="s">
        <v>353</v>
      </c>
      <c r="E240" s="75" t="s">
        <v>419</v>
      </c>
      <c r="F240" s="75" t="s">
        <v>226</v>
      </c>
      <c r="G240" s="76">
        <f>'5'!D215</f>
        <v>0</v>
      </c>
      <c r="H240" s="76">
        <f>'5'!E215</f>
        <v>0</v>
      </c>
      <c r="I240" s="76">
        <f>'5'!F215</f>
        <v>0</v>
      </c>
    </row>
    <row r="241" spans="1:9" ht="31.5" hidden="1">
      <c r="A241" s="74" t="s">
        <v>223</v>
      </c>
      <c r="B241" s="98">
        <v>951</v>
      </c>
      <c r="C241" s="75" t="s">
        <v>234</v>
      </c>
      <c r="D241" s="75" t="s">
        <v>353</v>
      </c>
      <c r="E241" s="75" t="s">
        <v>420</v>
      </c>
      <c r="F241" s="75" t="s">
        <v>224</v>
      </c>
      <c r="G241" s="76">
        <f>G242</f>
        <v>0</v>
      </c>
      <c r="H241" s="76">
        <f>H242</f>
        <v>0</v>
      </c>
      <c r="I241" s="76">
        <f>I242</f>
        <v>0</v>
      </c>
    </row>
    <row r="242" spans="1:9" ht="47.25" hidden="1">
      <c r="A242" s="74" t="s">
        <v>225</v>
      </c>
      <c r="B242" s="98">
        <v>951</v>
      </c>
      <c r="C242" s="75" t="s">
        <v>234</v>
      </c>
      <c r="D242" s="75" t="s">
        <v>353</v>
      </c>
      <c r="E242" s="75" t="s">
        <v>421</v>
      </c>
      <c r="F242" s="75" t="s">
        <v>226</v>
      </c>
      <c r="G242" s="76">
        <f>'5'!D216</f>
        <v>0</v>
      </c>
      <c r="H242" s="76">
        <f>'5'!E216</f>
        <v>0</v>
      </c>
      <c r="I242" s="76">
        <f>'5'!F216</f>
        <v>0</v>
      </c>
    </row>
    <row r="243" spans="1:9" ht="31.5">
      <c r="A243" s="70" t="s">
        <v>422</v>
      </c>
      <c r="B243" s="98">
        <v>951</v>
      </c>
      <c r="C243" s="75" t="s">
        <v>234</v>
      </c>
      <c r="D243" s="75" t="s">
        <v>353</v>
      </c>
      <c r="E243" s="75" t="s">
        <v>418</v>
      </c>
      <c r="F243" s="75" t="s">
        <v>224</v>
      </c>
      <c r="G243" s="76">
        <f>G244</f>
        <v>11000</v>
      </c>
      <c r="H243" s="76">
        <f t="shared" ref="H243:I243" si="49">H244</f>
        <v>0</v>
      </c>
      <c r="I243" s="76">
        <f t="shared" si="49"/>
        <v>0</v>
      </c>
    </row>
    <row r="244" spans="1:9" ht="31.5">
      <c r="A244" s="74" t="s">
        <v>223</v>
      </c>
      <c r="B244" s="98">
        <v>951</v>
      </c>
      <c r="C244" s="75" t="s">
        <v>234</v>
      </c>
      <c r="D244" s="75" t="s">
        <v>353</v>
      </c>
      <c r="E244" s="75" t="s">
        <v>418</v>
      </c>
      <c r="F244" s="75" t="s">
        <v>226</v>
      </c>
      <c r="G244" s="76">
        <f>'3'!F300</f>
        <v>11000</v>
      </c>
      <c r="H244" s="76">
        <f>'3'!G300</f>
        <v>0</v>
      </c>
      <c r="I244" s="76">
        <f>'3'!H300</f>
        <v>0</v>
      </c>
    </row>
    <row r="245" spans="1:9" ht="54" customHeight="1">
      <c r="A245" s="78" t="s">
        <v>209</v>
      </c>
      <c r="B245" s="128" t="s">
        <v>864</v>
      </c>
      <c r="C245" s="79" t="s">
        <v>234</v>
      </c>
      <c r="D245" s="79" t="s">
        <v>353</v>
      </c>
      <c r="E245" s="79" t="s">
        <v>210</v>
      </c>
      <c r="F245" s="79" t="s">
        <v>206</v>
      </c>
      <c r="G245" s="80">
        <f t="shared" ref="G245:I246" si="50">G246</f>
        <v>144.62</v>
      </c>
      <c r="H245" s="80">
        <f t="shared" si="50"/>
        <v>80.319999999999993</v>
      </c>
      <c r="I245" s="80">
        <f t="shared" si="50"/>
        <v>80.319999999999993</v>
      </c>
    </row>
    <row r="246" spans="1:9" ht="49.5" customHeight="1">
      <c r="A246" s="74" t="s">
        <v>211</v>
      </c>
      <c r="B246" s="98" t="s">
        <v>864</v>
      </c>
      <c r="C246" s="75" t="s">
        <v>234</v>
      </c>
      <c r="D246" s="75" t="s">
        <v>353</v>
      </c>
      <c r="E246" s="75" t="s">
        <v>212</v>
      </c>
      <c r="F246" s="75" t="s">
        <v>206</v>
      </c>
      <c r="G246" s="76">
        <f t="shared" si="50"/>
        <v>144.62</v>
      </c>
      <c r="H246" s="76">
        <f t="shared" si="50"/>
        <v>80.319999999999993</v>
      </c>
      <c r="I246" s="76">
        <f t="shared" si="50"/>
        <v>80.319999999999993</v>
      </c>
    </row>
    <row r="247" spans="1:9" ht="19.5" customHeight="1">
      <c r="A247" s="74" t="s">
        <v>423</v>
      </c>
      <c r="B247" s="98" t="s">
        <v>864</v>
      </c>
      <c r="C247" s="75" t="s">
        <v>234</v>
      </c>
      <c r="D247" s="75" t="s">
        <v>353</v>
      </c>
      <c r="E247" s="98" t="s">
        <v>424</v>
      </c>
      <c r="F247" s="75" t="s">
        <v>206</v>
      </c>
      <c r="G247" s="76">
        <f>G248+G250</f>
        <v>144.62</v>
      </c>
      <c r="H247" s="76">
        <f>H248+H250</f>
        <v>80.319999999999993</v>
      </c>
      <c r="I247" s="76">
        <f>I248+I250</f>
        <v>80.319999999999993</v>
      </c>
    </row>
    <row r="248" spans="1:9" ht="36.75" customHeight="1">
      <c r="A248" s="74" t="s">
        <v>223</v>
      </c>
      <c r="B248" s="98" t="s">
        <v>864</v>
      </c>
      <c r="C248" s="75" t="s">
        <v>234</v>
      </c>
      <c r="D248" s="75" t="s">
        <v>353</v>
      </c>
      <c r="E248" s="98" t="s">
        <v>424</v>
      </c>
      <c r="F248" s="75" t="s">
        <v>224</v>
      </c>
      <c r="G248" s="76">
        <f>G249</f>
        <v>64.3</v>
      </c>
      <c r="H248" s="76">
        <f>H249</f>
        <v>0</v>
      </c>
      <c r="I248" s="76">
        <f>I249</f>
        <v>0</v>
      </c>
    </row>
    <row r="249" spans="1:9" ht="53.25" customHeight="1">
      <c r="A249" s="74" t="s">
        <v>225</v>
      </c>
      <c r="B249" s="98" t="s">
        <v>864</v>
      </c>
      <c r="C249" s="75" t="s">
        <v>234</v>
      </c>
      <c r="D249" s="75" t="s">
        <v>353</v>
      </c>
      <c r="E249" s="98" t="s">
        <v>424</v>
      </c>
      <c r="F249" s="75" t="s">
        <v>226</v>
      </c>
      <c r="G249" s="76">
        <v>64.3</v>
      </c>
      <c r="H249" s="76">
        <v>0</v>
      </c>
      <c r="I249" s="76">
        <v>0</v>
      </c>
    </row>
    <row r="250" spans="1:9" ht="18" customHeight="1">
      <c r="A250" s="74" t="s">
        <v>229</v>
      </c>
      <c r="B250" s="98" t="s">
        <v>864</v>
      </c>
      <c r="C250" s="75" t="s">
        <v>234</v>
      </c>
      <c r="D250" s="75" t="s">
        <v>353</v>
      </c>
      <c r="E250" s="98" t="s">
        <v>424</v>
      </c>
      <c r="F250" s="75" t="s">
        <v>230</v>
      </c>
      <c r="G250" s="76">
        <f>G251</f>
        <v>80.319999999999993</v>
      </c>
      <c r="H250" s="76">
        <f>H251</f>
        <v>80.319999999999993</v>
      </c>
      <c r="I250" s="76">
        <f>I251</f>
        <v>80.319999999999993</v>
      </c>
    </row>
    <row r="251" spans="1:9" ht="20.25" customHeight="1">
      <c r="A251" s="74" t="s">
        <v>231</v>
      </c>
      <c r="B251" s="98" t="s">
        <v>864</v>
      </c>
      <c r="C251" s="75" t="s">
        <v>234</v>
      </c>
      <c r="D251" s="75" t="s">
        <v>353</v>
      </c>
      <c r="E251" s="98" t="s">
        <v>424</v>
      </c>
      <c r="F251" s="75" t="s">
        <v>232</v>
      </c>
      <c r="G251" s="76">
        <v>80.319999999999993</v>
      </c>
      <c r="H251" s="76">
        <f>'5'!E306</f>
        <v>80.319999999999993</v>
      </c>
      <c r="I251" s="76">
        <f>'5'!F306</f>
        <v>80.319999999999993</v>
      </c>
    </row>
    <row r="252" spans="1:9" ht="31.5">
      <c r="A252" s="206" t="s">
        <v>425</v>
      </c>
      <c r="B252" s="207">
        <v>951</v>
      </c>
      <c r="C252" s="208" t="s">
        <v>234</v>
      </c>
      <c r="D252" s="208" t="s">
        <v>426</v>
      </c>
      <c r="E252" s="208" t="s">
        <v>205</v>
      </c>
      <c r="F252" s="208" t="s">
        <v>206</v>
      </c>
      <c r="G252" s="209">
        <f>G253+G262</f>
        <v>1838.3173400000001</v>
      </c>
      <c r="H252" s="209">
        <f t="shared" ref="H252:I252" si="51">H253+H262</f>
        <v>200</v>
      </c>
      <c r="I252" s="209">
        <f t="shared" si="51"/>
        <v>200</v>
      </c>
    </row>
    <row r="253" spans="1:9" ht="71.25" customHeight="1">
      <c r="A253" s="74" t="s">
        <v>427</v>
      </c>
      <c r="B253" s="98">
        <v>951</v>
      </c>
      <c r="C253" s="75" t="s">
        <v>234</v>
      </c>
      <c r="D253" s="75" t="s">
        <v>426</v>
      </c>
      <c r="E253" s="75" t="s">
        <v>428</v>
      </c>
      <c r="F253" s="75" t="s">
        <v>206</v>
      </c>
      <c r="G253" s="76">
        <f>G254</f>
        <v>200</v>
      </c>
      <c r="H253" s="76">
        <f t="shared" ref="H253:I255" si="52">H254</f>
        <v>200</v>
      </c>
      <c r="I253" s="76">
        <f t="shared" si="52"/>
        <v>200</v>
      </c>
    </row>
    <row r="254" spans="1:9" ht="36.75" customHeight="1">
      <c r="A254" s="74" t="s">
        <v>429</v>
      </c>
      <c r="B254" s="98">
        <v>951</v>
      </c>
      <c r="C254" s="75" t="s">
        <v>234</v>
      </c>
      <c r="D254" s="75" t="s">
        <v>426</v>
      </c>
      <c r="E254" s="75" t="s">
        <v>430</v>
      </c>
      <c r="F254" s="75" t="s">
        <v>206</v>
      </c>
      <c r="G254" s="76">
        <f>G255+G260</f>
        <v>200</v>
      </c>
      <c r="H254" s="76">
        <f>H255+H260</f>
        <v>200</v>
      </c>
      <c r="I254" s="76">
        <f>I255+I260</f>
        <v>200</v>
      </c>
    </row>
    <row r="255" spans="1:9" ht="17.100000000000001" customHeight="1">
      <c r="A255" s="74" t="s">
        <v>229</v>
      </c>
      <c r="B255" s="98">
        <v>951</v>
      </c>
      <c r="C255" s="75" t="s">
        <v>234</v>
      </c>
      <c r="D255" s="75" t="s">
        <v>426</v>
      </c>
      <c r="E255" s="75" t="s">
        <v>430</v>
      </c>
      <c r="F255" s="75" t="s">
        <v>230</v>
      </c>
      <c r="G255" s="76">
        <f>G256</f>
        <v>197</v>
      </c>
      <c r="H255" s="76">
        <f t="shared" si="52"/>
        <v>197</v>
      </c>
      <c r="I255" s="76">
        <f t="shared" si="52"/>
        <v>197</v>
      </c>
    </row>
    <row r="256" spans="1:9" ht="50.25" customHeight="1">
      <c r="A256" s="74" t="s">
        <v>395</v>
      </c>
      <c r="B256" s="98">
        <v>951</v>
      </c>
      <c r="C256" s="75" t="s">
        <v>234</v>
      </c>
      <c r="D256" s="75" t="s">
        <v>426</v>
      </c>
      <c r="E256" s="75" t="s">
        <v>430</v>
      </c>
      <c r="F256" s="75" t="s">
        <v>396</v>
      </c>
      <c r="G256" s="76">
        <f>'5'!D207</f>
        <v>197</v>
      </c>
      <c r="H256" s="76">
        <f>'5'!E207</f>
        <v>197</v>
      </c>
      <c r="I256" s="76">
        <f>'5'!F207</f>
        <v>197</v>
      </c>
    </row>
    <row r="257" spans="1:9" hidden="1">
      <c r="A257" s="78"/>
      <c r="B257" s="98">
        <v>952</v>
      </c>
      <c r="C257" s="75" t="s">
        <v>234</v>
      </c>
      <c r="D257" s="75" t="s">
        <v>426</v>
      </c>
      <c r="E257" s="75" t="s">
        <v>430</v>
      </c>
      <c r="F257" s="79"/>
      <c r="G257" s="80"/>
      <c r="H257" s="80"/>
      <c r="I257" s="80"/>
    </row>
    <row r="258" spans="1:9" hidden="1">
      <c r="A258" s="74"/>
      <c r="B258" s="98">
        <v>953</v>
      </c>
      <c r="C258" s="75" t="s">
        <v>234</v>
      </c>
      <c r="D258" s="75" t="s">
        <v>426</v>
      </c>
      <c r="E258" s="75" t="s">
        <v>430</v>
      </c>
      <c r="F258" s="75"/>
      <c r="G258" s="76"/>
      <c r="H258" s="76"/>
      <c r="I258" s="76"/>
    </row>
    <row r="259" spans="1:9" hidden="1">
      <c r="A259" s="74"/>
      <c r="B259" s="98">
        <v>954</v>
      </c>
      <c r="C259" s="75" t="s">
        <v>234</v>
      </c>
      <c r="D259" s="75" t="s">
        <v>426</v>
      </c>
      <c r="E259" s="75" t="s">
        <v>430</v>
      </c>
      <c r="F259" s="75"/>
      <c r="G259" s="76"/>
      <c r="H259" s="76"/>
      <c r="I259" s="76"/>
    </row>
    <row r="260" spans="1:9" ht="31.5">
      <c r="A260" s="74" t="s">
        <v>223</v>
      </c>
      <c r="B260" s="98" t="s">
        <v>864</v>
      </c>
      <c r="C260" s="75" t="s">
        <v>234</v>
      </c>
      <c r="D260" s="75" t="s">
        <v>426</v>
      </c>
      <c r="E260" s="75" t="s">
        <v>430</v>
      </c>
      <c r="F260" s="75" t="s">
        <v>224</v>
      </c>
      <c r="G260" s="76">
        <f>G261</f>
        <v>3</v>
      </c>
      <c r="H260" s="76">
        <f>H261</f>
        <v>3</v>
      </c>
      <c r="I260" s="76">
        <f>I261</f>
        <v>3</v>
      </c>
    </row>
    <row r="261" spans="1:9" ht="51" customHeight="1">
      <c r="A261" s="74" t="s">
        <v>225</v>
      </c>
      <c r="B261" s="98" t="s">
        <v>864</v>
      </c>
      <c r="C261" s="75" t="s">
        <v>234</v>
      </c>
      <c r="D261" s="75" t="s">
        <v>426</v>
      </c>
      <c r="E261" s="75" t="s">
        <v>430</v>
      </c>
      <c r="F261" s="75" t="s">
        <v>226</v>
      </c>
      <c r="G261" s="76">
        <f>'5'!D208</f>
        <v>3</v>
      </c>
      <c r="H261" s="76">
        <f>'5'!E208</f>
        <v>3</v>
      </c>
      <c r="I261" s="76">
        <f>'5'!F208</f>
        <v>3</v>
      </c>
    </row>
    <row r="262" spans="1:9" ht="63" customHeight="1">
      <c r="A262" s="78" t="s">
        <v>432</v>
      </c>
      <c r="B262" s="128" t="s">
        <v>864</v>
      </c>
      <c r="C262" s="79" t="s">
        <v>234</v>
      </c>
      <c r="D262" s="79" t="s">
        <v>426</v>
      </c>
      <c r="E262" s="79" t="s">
        <v>433</v>
      </c>
      <c r="F262" s="79" t="s">
        <v>206</v>
      </c>
      <c r="G262" s="80">
        <f>G263+G270+G277+G280</f>
        <v>1638.3173400000001</v>
      </c>
      <c r="H262" s="80">
        <f t="shared" ref="H262:I262" si="53">H263+H270+H277+H280</f>
        <v>0</v>
      </c>
      <c r="I262" s="80">
        <f t="shared" si="53"/>
        <v>0</v>
      </c>
    </row>
    <row r="263" spans="1:9" ht="63" hidden="1" customHeight="1">
      <c r="A263" s="74" t="s">
        <v>875</v>
      </c>
      <c r="B263" s="98" t="s">
        <v>864</v>
      </c>
      <c r="C263" s="75" t="s">
        <v>234</v>
      </c>
      <c r="D263" s="75" t="s">
        <v>426</v>
      </c>
      <c r="E263" s="75" t="s">
        <v>437</v>
      </c>
      <c r="F263" s="75" t="s">
        <v>206</v>
      </c>
      <c r="G263" s="76">
        <f>G264+G267</f>
        <v>0</v>
      </c>
      <c r="H263" s="76">
        <f>H264+H267</f>
        <v>0</v>
      </c>
      <c r="I263" s="76">
        <f>I264+I267</f>
        <v>0</v>
      </c>
    </row>
    <row r="264" spans="1:9" ht="78.75" hidden="1">
      <c r="A264" s="74" t="s">
        <v>876</v>
      </c>
      <c r="B264" s="98" t="s">
        <v>864</v>
      </c>
      <c r="C264" s="75" t="s">
        <v>234</v>
      </c>
      <c r="D264" s="75" t="s">
        <v>426</v>
      </c>
      <c r="E264" s="75" t="s">
        <v>437</v>
      </c>
      <c r="F264" s="75" t="s">
        <v>206</v>
      </c>
      <c r="G264" s="76">
        <f t="shared" ref="G264:I265" si="54">G265</f>
        <v>0</v>
      </c>
      <c r="H264" s="76">
        <f t="shared" si="54"/>
        <v>0</v>
      </c>
      <c r="I264" s="76">
        <f t="shared" si="54"/>
        <v>0</v>
      </c>
    </row>
    <row r="265" spans="1:9" ht="31.5" hidden="1" customHeight="1">
      <c r="A265" s="74" t="s">
        <v>223</v>
      </c>
      <c r="B265" s="98" t="s">
        <v>864</v>
      </c>
      <c r="C265" s="75" t="s">
        <v>234</v>
      </c>
      <c r="D265" s="75" t="s">
        <v>426</v>
      </c>
      <c r="E265" s="75" t="s">
        <v>437</v>
      </c>
      <c r="F265" s="75" t="s">
        <v>224</v>
      </c>
      <c r="G265" s="76">
        <f t="shared" si="54"/>
        <v>0</v>
      </c>
      <c r="H265" s="76">
        <f t="shared" si="54"/>
        <v>0</v>
      </c>
      <c r="I265" s="76">
        <f t="shared" si="54"/>
        <v>0</v>
      </c>
    </row>
    <row r="266" spans="1:9" ht="47.25" hidden="1" customHeight="1">
      <c r="A266" s="74" t="s">
        <v>225</v>
      </c>
      <c r="B266" s="98" t="s">
        <v>864</v>
      </c>
      <c r="C266" s="75" t="s">
        <v>234</v>
      </c>
      <c r="D266" s="75" t="s">
        <v>426</v>
      </c>
      <c r="E266" s="75" t="s">
        <v>437</v>
      </c>
      <c r="F266" s="75" t="s">
        <v>226</v>
      </c>
      <c r="G266" s="76">
        <f>'5'!D259</f>
        <v>0</v>
      </c>
      <c r="H266" s="76">
        <f>'5'!E259</f>
        <v>0</v>
      </c>
      <c r="I266" s="76">
        <f>'5'!F259</f>
        <v>0</v>
      </c>
    </row>
    <row r="267" spans="1:9" ht="110.25" hidden="1" customHeight="1">
      <c r="A267" s="74" t="s">
        <v>438</v>
      </c>
      <c r="B267" s="98" t="s">
        <v>864</v>
      </c>
      <c r="C267" s="75" t="s">
        <v>234</v>
      </c>
      <c r="D267" s="75" t="s">
        <v>426</v>
      </c>
      <c r="E267" s="75" t="s">
        <v>439</v>
      </c>
      <c r="F267" s="75" t="s">
        <v>206</v>
      </c>
      <c r="G267" s="76">
        <f t="shared" ref="G267:I268" si="55">G268</f>
        <v>0</v>
      </c>
      <c r="H267" s="76">
        <f t="shared" si="55"/>
        <v>0</v>
      </c>
      <c r="I267" s="76">
        <f t="shared" si="55"/>
        <v>0</v>
      </c>
    </row>
    <row r="268" spans="1:9" ht="31.5" hidden="1">
      <c r="A268" s="74" t="s">
        <v>223</v>
      </c>
      <c r="B268" s="98" t="s">
        <v>864</v>
      </c>
      <c r="C268" s="75" t="s">
        <v>234</v>
      </c>
      <c r="D268" s="75" t="s">
        <v>426</v>
      </c>
      <c r="E268" s="75" t="s">
        <v>439</v>
      </c>
      <c r="F268" s="75" t="s">
        <v>224</v>
      </c>
      <c r="G268" s="76">
        <f t="shared" si="55"/>
        <v>0</v>
      </c>
      <c r="H268" s="76">
        <f t="shared" si="55"/>
        <v>0</v>
      </c>
      <c r="I268" s="76">
        <f t="shared" si="55"/>
        <v>0</v>
      </c>
    </row>
    <row r="269" spans="1:9" ht="47.25" hidden="1" customHeight="1">
      <c r="A269" s="74" t="s">
        <v>225</v>
      </c>
      <c r="B269" s="98" t="s">
        <v>864</v>
      </c>
      <c r="C269" s="75" t="s">
        <v>234</v>
      </c>
      <c r="D269" s="75" t="s">
        <v>426</v>
      </c>
      <c r="E269" s="75" t="s">
        <v>439</v>
      </c>
      <c r="F269" s="75" t="s">
        <v>226</v>
      </c>
      <c r="G269" s="76">
        <f>'5'!D260</f>
        <v>0</v>
      </c>
      <c r="H269" s="76">
        <f>'5'!E260</f>
        <v>0</v>
      </c>
      <c r="I269" s="76">
        <f>'5'!F260</f>
        <v>0</v>
      </c>
    </row>
    <row r="270" spans="1:9" ht="157.5" hidden="1" customHeight="1">
      <c r="A270" s="78" t="s">
        <v>877</v>
      </c>
      <c r="B270" s="98" t="s">
        <v>864</v>
      </c>
      <c r="C270" s="75" t="s">
        <v>234</v>
      </c>
      <c r="D270" s="75" t="s">
        <v>426</v>
      </c>
      <c r="E270" s="79" t="s">
        <v>441</v>
      </c>
      <c r="F270" s="79" t="s">
        <v>206</v>
      </c>
      <c r="G270" s="76">
        <f>G271+G274</f>
        <v>0</v>
      </c>
      <c r="H270" s="76">
        <f t="shared" ref="H270:I270" si="56">H271+H274</f>
        <v>0</v>
      </c>
      <c r="I270" s="76">
        <f t="shared" si="56"/>
        <v>0</v>
      </c>
    </row>
    <row r="271" spans="1:9" ht="141.75" hidden="1">
      <c r="A271" s="74" t="s">
        <v>442</v>
      </c>
      <c r="B271" s="98" t="s">
        <v>864</v>
      </c>
      <c r="C271" s="75" t="s">
        <v>234</v>
      </c>
      <c r="D271" s="75" t="s">
        <v>426</v>
      </c>
      <c r="E271" s="75" t="s">
        <v>443</v>
      </c>
      <c r="F271" s="75" t="s">
        <v>206</v>
      </c>
      <c r="G271" s="76">
        <f t="shared" ref="G271:G272" si="57">G272</f>
        <v>0</v>
      </c>
      <c r="H271" s="76">
        <f t="shared" ref="H271:I272" si="58">H272</f>
        <v>0</v>
      </c>
      <c r="I271" s="76">
        <f t="shared" si="58"/>
        <v>0</v>
      </c>
    </row>
    <row r="272" spans="1:9" ht="31.5" hidden="1">
      <c r="A272" s="74" t="s">
        <v>223</v>
      </c>
      <c r="B272" s="98" t="s">
        <v>864</v>
      </c>
      <c r="C272" s="75" t="s">
        <v>234</v>
      </c>
      <c r="D272" s="75" t="s">
        <v>426</v>
      </c>
      <c r="E272" s="75" t="s">
        <v>443</v>
      </c>
      <c r="F272" s="75" t="s">
        <v>224</v>
      </c>
      <c r="G272" s="76">
        <f t="shared" si="57"/>
        <v>0</v>
      </c>
      <c r="H272" s="76">
        <f t="shared" si="58"/>
        <v>0</v>
      </c>
      <c r="I272" s="76">
        <f t="shared" si="58"/>
        <v>0</v>
      </c>
    </row>
    <row r="273" spans="1:12" ht="47.25" hidden="1">
      <c r="A273" s="74" t="s">
        <v>225</v>
      </c>
      <c r="B273" s="98" t="s">
        <v>864</v>
      </c>
      <c r="C273" s="75" t="s">
        <v>234</v>
      </c>
      <c r="D273" s="75" t="s">
        <v>426</v>
      </c>
      <c r="E273" s="75" t="s">
        <v>443</v>
      </c>
      <c r="F273" s="75" t="s">
        <v>226</v>
      </c>
      <c r="G273" s="76">
        <f>'3'!F329</f>
        <v>0</v>
      </c>
      <c r="H273" s="76">
        <f>'3'!G329</f>
        <v>0</v>
      </c>
      <c r="I273" s="76">
        <f>'3'!H329</f>
        <v>0</v>
      </c>
    </row>
    <row r="274" spans="1:12" ht="141.75" hidden="1">
      <c r="A274" s="74" t="s">
        <v>878</v>
      </c>
      <c r="B274" s="98" t="s">
        <v>864</v>
      </c>
      <c r="C274" s="75" t="s">
        <v>234</v>
      </c>
      <c r="D274" s="75" t="s">
        <v>426</v>
      </c>
      <c r="E274" s="75" t="s">
        <v>443</v>
      </c>
      <c r="F274" s="75" t="s">
        <v>206</v>
      </c>
      <c r="G274" s="76">
        <f t="shared" ref="G274:G275" si="59">G275</f>
        <v>0</v>
      </c>
      <c r="H274" s="76">
        <f t="shared" ref="H274:I275" si="60">H275</f>
        <v>0</v>
      </c>
      <c r="I274" s="76">
        <f t="shared" si="60"/>
        <v>0</v>
      </c>
    </row>
    <row r="275" spans="1:12" ht="31.5" hidden="1">
      <c r="A275" s="74" t="s">
        <v>223</v>
      </c>
      <c r="B275" s="98" t="s">
        <v>864</v>
      </c>
      <c r="C275" s="75" t="s">
        <v>234</v>
      </c>
      <c r="D275" s="75" t="s">
        <v>426</v>
      </c>
      <c r="E275" s="75" t="s">
        <v>443</v>
      </c>
      <c r="F275" s="75" t="s">
        <v>224</v>
      </c>
      <c r="G275" s="76">
        <f t="shared" si="59"/>
        <v>0</v>
      </c>
      <c r="H275" s="76">
        <f t="shared" si="60"/>
        <v>0</v>
      </c>
      <c r="I275" s="76">
        <f t="shared" si="60"/>
        <v>0</v>
      </c>
    </row>
    <row r="276" spans="1:12" ht="47.25" hidden="1">
      <c r="A276" s="74" t="s">
        <v>225</v>
      </c>
      <c r="B276" s="98" t="s">
        <v>864</v>
      </c>
      <c r="C276" s="75" t="s">
        <v>234</v>
      </c>
      <c r="D276" s="75" t="s">
        <v>426</v>
      </c>
      <c r="E276" s="75" t="s">
        <v>443</v>
      </c>
      <c r="F276" s="75" t="s">
        <v>226</v>
      </c>
      <c r="G276" s="76">
        <f>'5'!D258</f>
        <v>0</v>
      </c>
      <c r="H276" s="76">
        <f>'5'!E258</f>
        <v>0</v>
      </c>
      <c r="I276" s="76">
        <f>'5'!F258</f>
        <v>0</v>
      </c>
    </row>
    <row r="277" spans="1:12" ht="96.75" customHeight="1">
      <c r="A277" s="74" t="s">
        <v>447</v>
      </c>
      <c r="B277" s="98" t="s">
        <v>864</v>
      </c>
      <c r="C277" s="75" t="s">
        <v>234</v>
      </c>
      <c r="D277" s="75" t="s">
        <v>426</v>
      </c>
      <c r="E277" s="75" t="s">
        <v>446</v>
      </c>
      <c r="F277" s="75" t="s">
        <v>206</v>
      </c>
      <c r="G277" s="76">
        <f t="shared" ref="G277:G278" si="61">G278</f>
        <v>1470.9373399999999</v>
      </c>
      <c r="H277" s="76">
        <f t="shared" ref="H277:I278" si="62">H278</f>
        <v>0</v>
      </c>
      <c r="I277" s="76">
        <f t="shared" si="62"/>
        <v>0</v>
      </c>
    </row>
    <row r="278" spans="1:12" ht="31.5">
      <c r="A278" s="74" t="s">
        <v>223</v>
      </c>
      <c r="B278" s="98" t="s">
        <v>864</v>
      </c>
      <c r="C278" s="75" t="s">
        <v>234</v>
      </c>
      <c r="D278" s="75" t="s">
        <v>426</v>
      </c>
      <c r="E278" s="75" t="s">
        <v>446</v>
      </c>
      <c r="F278" s="75" t="s">
        <v>224</v>
      </c>
      <c r="G278" s="76">
        <f t="shared" si="61"/>
        <v>1470.9373399999999</v>
      </c>
      <c r="H278" s="76">
        <f t="shared" si="62"/>
        <v>0</v>
      </c>
      <c r="I278" s="76">
        <f t="shared" si="62"/>
        <v>0</v>
      </c>
    </row>
    <row r="279" spans="1:12" ht="47.25">
      <c r="A279" s="74" t="s">
        <v>225</v>
      </c>
      <c r="B279" s="98" t="s">
        <v>864</v>
      </c>
      <c r="C279" s="75" t="s">
        <v>234</v>
      </c>
      <c r="D279" s="75" t="s">
        <v>426</v>
      </c>
      <c r="E279" s="75" t="s">
        <v>446</v>
      </c>
      <c r="F279" s="75" t="s">
        <v>226</v>
      </c>
      <c r="G279" s="76">
        <f>'5'!D261</f>
        <v>1470.9373399999999</v>
      </c>
      <c r="H279" s="76">
        <f>'5'!E261</f>
        <v>0</v>
      </c>
      <c r="I279" s="76">
        <f>'5'!F261</f>
        <v>0</v>
      </c>
    </row>
    <row r="280" spans="1:12" ht="94.5">
      <c r="A280" s="74" t="s">
        <v>879</v>
      </c>
      <c r="B280" s="98" t="s">
        <v>864</v>
      </c>
      <c r="C280" s="75" t="s">
        <v>234</v>
      </c>
      <c r="D280" s="75" t="s">
        <v>426</v>
      </c>
      <c r="E280" s="79" t="s">
        <v>448</v>
      </c>
      <c r="F280" s="75" t="s">
        <v>206</v>
      </c>
      <c r="G280" s="76">
        <f t="shared" ref="G280:G281" si="63">G281</f>
        <v>167.38</v>
      </c>
      <c r="H280" s="76">
        <f t="shared" ref="H280:I281" si="64">H281</f>
        <v>0</v>
      </c>
      <c r="I280" s="76">
        <f t="shared" si="64"/>
        <v>0</v>
      </c>
    </row>
    <row r="281" spans="1:12" ht="31.5">
      <c r="A281" s="74" t="s">
        <v>223</v>
      </c>
      <c r="B281" s="98" t="s">
        <v>864</v>
      </c>
      <c r="C281" s="75" t="s">
        <v>234</v>
      </c>
      <c r="D281" s="75" t="s">
        <v>426</v>
      </c>
      <c r="E281" s="75" t="s">
        <v>448</v>
      </c>
      <c r="F281" s="75" t="s">
        <v>224</v>
      </c>
      <c r="G281" s="76">
        <f t="shared" si="63"/>
        <v>167.38</v>
      </c>
      <c r="H281" s="76">
        <f t="shared" si="64"/>
        <v>0</v>
      </c>
      <c r="I281" s="76">
        <f t="shared" si="64"/>
        <v>0</v>
      </c>
    </row>
    <row r="282" spans="1:12" ht="47.25">
      <c r="A282" s="74" t="s">
        <v>225</v>
      </c>
      <c r="B282" s="98" t="s">
        <v>864</v>
      </c>
      <c r="C282" s="75" t="s">
        <v>234</v>
      </c>
      <c r="D282" s="75" t="s">
        <v>426</v>
      </c>
      <c r="E282" s="75" t="s">
        <v>448</v>
      </c>
      <c r="F282" s="75" t="s">
        <v>226</v>
      </c>
      <c r="G282" s="76">
        <f>'5'!D262</f>
        <v>167.38</v>
      </c>
      <c r="H282" s="76">
        <f>'5'!E262</f>
        <v>0</v>
      </c>
      <c r="I282" s="76">
        <f>'5'!F262</f>
        <v>0</v>
      </c>
    </row>
    <row r="283" spans="1:12" ht="29.65" customHeight="1">
      <c r="A283" s="66" t="s">
        <v>449</v>
      </c>
      <c r="B283" s="199">
        <v>951</v>
      </c>
      <c r="C283" s="67" t="s">
        <v>236</v>
      </c>
      <c r="D283" s="67" t="s">
        <v>204</v>
      </c>
      <c r="E283" s="67" t="s">
        <v>205</v>
      </c>
      <c r="F283" s="67" t="s">
        <v>206</v>
      </c>
      <c r="G283" s="68">
        <f>G284+G311+G332</f>
        <v>8846.1227500000005</v>
      </c>
      <c r="H283" s="68">
        <f t="shared" ref="H283:I283" si="65">H284+H311+H332</f>
        <v>227.51564999999999</v>
      </c>
      <c r="I283" s="68">
        <f t="shared" si="65"/>
        <v>207.61626999999999</v>
      </c>
      <c r="J283" s="184"/>
      <c r="K283" s="184"/>
      <c r="L283" s="184"/>
    </row>
    <row r="284" spans="1:12">
      <c r="A284" s="206" t="s">
        <v>450</v>
      </c>
      <c r="B284" s="207">
        <v>951</v>
      </c>
      <c r="C284" s="208" t="s">
        <v>236</v>
      </c>
      <c r="D284" s="208" t="s">
        <v>208</v>
      </c>
      <c r="E284" s="208" t="s">
        <v>205</v>
      </c>
      <c r="F284" s="208" t="s">
        <v>206</v>
      </c>
      <c r="G284" s="209">
        <f>G293+G301+G302+G305+G309</f>
        <v>2896.52585</v>
      </c>
      <c r="H284" s="209">
        <f t="shared" ref="H284:I284" si="66">H293+H301+H302+H305+H309</f>
        <v>125</v>
      </c>
      <c r="I284" s="209">
        <f t="shared" si="66"/>
        <v>105</v>
      </c>
    </row>
    <row r="285" spans="1:12" ht="15.75" hidden="1" customHeight="1">
      <c r="A285" s="70" t="s">
        <v>451</v>
      </c>
      <c r="B285" s="130">
        <v>951</v>
      </c>
      <c r="C285" s="71" t="s">
        <v>236</v>
      </c>
      <c r="D285" s="71" t="s">
        <v>208</v>
      </c>
      <c r="E285" s="71" t="s">
        <v>452</v>
      </c>
      <c r="F285" s="71" t="s">
        <v>206</v>
      </c>
      <c r="G285" s="72">
        <f t="shared" ref="G285:I293" si="67">G286</f>
        <v>0</v>
      </c>
      <c r="H285" s="72">
        <f t="shared" ref="H285:I287" si="68">H286</f>
        <v>0</v>
      </c>
      <c r="I285" s="72">
        <f t="shared" si="68"/>
        <v>0</v>
      </c>
    </row>
    <row r="286" spans="1:12" ht="31.5" hidden="1">
      <c r="A286" s="70" t="s">
        <v>453</v>
      </c>
      <c r="B286" s="130">
        <v>951</v>
      </c>
      <c r="C286" s="71" t="s">
        <v>236</v>
      </c>
      <c r="D286" s="71" t="s">
        <v>208</v>
      </c>
      <c r="E286" s="71" t="s">
        <v>452</v>
      </c>
      <c r="F286" s="71" t="s">
        <v>206</v>
      </c>
      <c r="G286" s="72">
        <f t="shared" si="67"/>
        <v>0</v>
      </c>
      <c r="H286" s="72">
        <f t="shared" si="68"/>
        <v>0</v>
      </c>
      <c r="I286" s="72">
        <f t="shared" si="68"/>
        <v>0</v>
      </c>
    </row>
    <row r="287" spans="1:12" ht="31.5" hidden="1" customHeight="1">
      <c r="A287" s="70" t="s">
        <v>223</v>
      </c>
      <c r="B287" s="130">
        <v>951</v>
      </c>
      <c r="C287" s="71" t="s">
        <v>236</v>
      </c>
      <c r="D287" s="71" t="s">
        <v>208</v>
      </c>
      <c r="E287" s="71" t="s">
        <v>452</v>
      </c>
      <c r="F287" s="71" t="s">
        <v>224</v>
      </c>
      <c r="G287" s="72">
        <f t="shared" si="67"/>
        <v>0</v>
      </c>
      <c r="H287" s="72">
        <f t="shared" si="68"/>
        <v>0</v>
      </c>
      <c r="I287" s="72">
        <f t="shared" si="68"/>
        <v>0</v>
      </c>
    </row>
    <row r="288" spans="1:12" ht="47.25" hidden="1" customHeight="1">
      <c r="A288" s="70" t="s">
        <v>225</v>
      </c>
      <c r="B288" s="130">
        <v>951</v>
      </c>
      <c r="C288" s="71" t="s">
        <v>236</v>
      </c>
      <c r="D288" s="71" t="s">
        <v>208</v>
      </c>
      <c r="E288" s="71" t="s">
        <v>452</v>
      </c>
      <c r="F288" s="71" t="s">
        <v>226</v>
      </c>
      <c r="G288" s="76">
        <v>0</v>
      </c>
      <c r="H288" s="76">
        <v>0</v>
      </c>
      <c r="I288" s="76">
        <v>0</v>
      </c>
    </row>
    <row r="289" spans="1:9" ht="15.75" hidden="1" customHeight="1">
      <c r="A289" s="150" t="s">
        <v>456</v>
      </c>
      <c r="B289" s="217" t="s">
        <v>864</v>
      </c>
      <c r="C289" s="149" t="s">
        <v>236</v>
      </c>
      <c r="D289" s="149" t="s">
        <v>208</v>
      </c>
      <c r="E289" s="149" t="s">
        <v>457</v>
      </c>
      <c r="F289" s="149" t="s">
        <v>206</v>
      </c>
      <c r="G289" s="147">
        <f t="shared" si="67"/>
        <v>0</v>
      </c>
      <c r="H289" s="147">
        <f t="shared" si="67"/>
        <v>0</v>
      </c>
      <c r="I289" s="147">
        <f t="shared" si="67"/>
        <v>0</v>
      </c>
    </row>
    <row r="290" spans="1:9" ht="31.5" hidden="1" customHeight="1">
      <c r="A290" s="70" t="s">
        <v>223</v>
      </c>
      <c r="B290" s="130" t="s">
        <v>864</v>
      </c>
      <c r="C290" s="71" t="s">
        <v>236</v>
      </c>
      <c r="D290" s="71" t="s">
        <v>208</v>
      </c>
      <c r="E290" s="71" t="s">
        <v>457</v>
      </c>
      <c r="F290" s="71" t="s">
        <v>224</v>
      </c>
      <c r="G290" s="76">
        <f t="shared" si="67"/>
        <v>0</v>
      </c>
      <c r="H290" s="76">
        <f t="shared" si="67"/>
        <v>0</v>
      </c>
      <c r="I290" s="76">
        <f t="shared" si="67"/>
        <v>0</v>
      </c>
    </row>
    <row r="291" spans="1:9" ht="47.25" hidden="1" customHeight="1">
      <c r="A291" s="70" t="s">
        <v>225</v>
      </c>
      <c r="B291" s="130" t="s">
        <v>864</v>
      </c>
      <c r="C291" s="71" t="s">
        <v>236</v>
      </c>
      <c r="D291" s="71" t="s">
        <v>208</v>
      </c>
      <c r="E291" s="71" t="s">
        <v>457</v>
      </c>
      <c r="F291" s="71" t="s">
        <v>226</v>
      </c>
      <c r="G291" s="76"/>
      <c r="H291" s="76">
        <v>0</v>
      </c>
      <c r="I291" s="76">
        <v>0</v>
      </c>
    </row>
    <row r="292" spans="1:9" ht="33" customHeight="1">
      <c r="A292" s="74" t="s">
        <v>454</v>
      </c>
      <c r="B292" s="98">
        <v>951</v>
      </c>
      <c r="C292" s="75" t="s">
        <v>236</v>
      </c>
      <c r="D292" s="75" t="s">
        <v>208</v>
      </c>
      <c r="E292" s="75" t="s">
        <v>455</v>
      </c>
      <c r="F292" s="75" t="s">
        <v>206</v>
      </c>
      <c r="G292" s="76">
        <f t="shared" si="67"/>
        <v>1285</v>
      </c>
      <c r="H292" s="76">
        <f t="shared" si="67"/>
        <v>85</v>
      </c>
      <c r="I292" s="76">
        <f t="shared" si="67"/>
        <v>85</v>
      </c>
    </row>
    <row r="293" spans="1:9" ht="33.75" customHeight="1">
      <c r="A293" s="74" t="s">
        <v>223</v>
      </c>
      <c r="B293" s="98">
        <v>951</v>
      </c>
      <c r="C293" s="75" t="s">
        <v>236</v>
      </c>
      <c r="D293" s="75" t="s">
        <v>208</v>
      </c>
      <c r="E293" s="75" t="s">
        <v>455</v>
      </c>
      <c r="F293" s="75" t="s">
        <v>224</v>
      </c>
      <c r="G293" s="76">
        <f t="shared" si="67"/>
        <v>1285</v>
      </c>
      <c r="H293" s="76">
        <f t="shared" si="67"/>
        <v>85</v>
      </c>
      <c r="I293" s="76">
        <f t="shared" si="67"/>
        <v>85</v>
      </c>
    </row>
    <row r="294" spans="1:9" ht="51" customHeight="1">
      <c r="A294" s="74" t="s">
        <v>225</v>
      </c>
      <c r="B294" s="98">
        <v>951</v>
      </c>
      <c r="C294" s="75" t="s">
        <v>236</v>
      </c>
      <c r="D294" s="75" t="s">
        <v>208</v>
      </c>
      <c r="E294" s="75" t="s">
        <v>455</v>
      </c>
      <c r="F294" s="75" t="s">
        <v>226</v>
      </c>
      <c r="G294" s="76">
        <f>'5'!D290</f>
        <v>1285</v>
      </c>
      <c r="H294" s="76">
        <f>'5'!E290</f>
        <v>85</v>
      </c>
      <c r="I294" s="76">
        <f>'5'!F290</f>
        <v>85</v>
      </c>
    </row>
    <row r="295" spans="1:9" ht="47.25" hidden="1">
      <c r="A295" s="78" t="s">
        <v>307</v>
      </c>
      <c r="B295" s="128">
        <v>951</v>
      </c>
      <c r="C295" s="79" t="s">
        <v>236</v>
      </c>
      <c r="D295" s="79" t="s">
        <v>208</v>
      </c>
      <c r="E295" s="79" t="s">
        <v>308</v>
      </c>
      <c r="F295" s="79" t="s">
        <v>206</v>
      </c>
      <c r="G295" s="80">
        <f t="shared" ref="G295:I299" si="69">G296</f>
        <v>0</v>
      </c>
      <c r="H295" s="80">
        <f t="shared" si="69"/>
        <v>0</v>
      </c>
      <c r="I295" s="80">
        <f t="shared" si="69"/>
        <v>0</v>
      </c>
    </row>
    <row r="296" spans="1:9" ht="31.5" hidden="1">
      <c r="A296" s="74" t="s">
        <v>223</v>
      </c>
      <c r="B296" s="98">
        <v>951</v>
      </c>
      <c r="C296" s="75" t="s">
        <v>236</v>
      </c>
      <c r="D296" s="75" t="s">
        <v>208</v>
      </c>
      <c r="E296" s="75" t="s">
        <v>308</v>
      </c>
      <c r="F296" s="75" t="s">
        <v>224</v>
      </c>
      <c r="G296" s="76">
        <f t="shared" si="69"/>
        <v>0</v>
      </c>
      <c r="H296" s="76">
        <f t="shared" si="69"/>
        <v>0</v>
      </c>
      <c r="I296" s="76">
        <f t="shared" si="69"/>
        <v>0</v>
      </c>
    </row>
    <row r="297" spans="1:9" ht="47.25" hidden="1">
      <c r="A297" s="74" t="s">
        <v>225</v>
      </c>
      <c r="B297" s="98">
        <v>951</v>
      </c>
      <c r="C297" s="75" t="s">
        <v>236</v>
      </c>
      <c r="D297" s="75" t="s">
        <v>208</v>
      </c>
      <c r="E297" s="75" t="s">
        <v>308</v>
      </c>
      <c r="F297" s="75" t="s">
        <v>226</v>
      </c>
      <c r="G297" s="76"/>
      <c r="H297" s="76"/>
      <c r="I297" s="76"/>
    </row>
    <row r="298" spans="1:9" ht="96.75" customHeight="1">
      <c r="A298" s="78" t="s">
        <v>880</v>
      </c>
      <c r="B298" s="128" t="s">
        <v>864</v>
      </c>
      <c r="C298" s="79" t="s">
        <v>236</v>
      </c>
      <c r="D298" s="79" t="s">
        <v>208</v>
      </c>
      <c r="E298" s="79" t="s">
        <v>459</v>
      </c>
      <c r="F298" s="79" t="s">
        <v>206</v>
      </c>
      <c r="G298" s="80">
        <f t="shared" si="69"/>
        <v>1471.52585</v>
      </c>
      <c r="H298" s="80">
        <f t="shared" si="69"/>
        <v>0</v>
      </c>
      <c r="I298" s="80">
        <f t="shared" si="69"/>
        <v>0</v>
      </c>
    </row>
    <row r="299" spans="1:9" ht="65.25" customHeight="1">
      <c r="A299" s="74" t="s">
        <v>460</v>
      </c>
      <c r="B299" s="98" t="s">
        <v>864</v>
      </c>
      <c r="C299" s="75" t="s">
        <v>236</v>
      </c>
      <c r="D299" s="75" t="s">
        <v>208</v>
      </c>
      <c r="E299" s="75" t="s">
        <v>459</v>
      </c>
      <c r="F299" s="75" t="s">
        <v>206</v>
      </c>
      <c r="G299" s="76">
        <f t="shared" si="69"/>
        <v>1471.52585</v>
      </c>
      <c r="H299" s="76">
        <f t="shared" si="69"/>
        <v>0</v>
      </c>
      <c r="I299" s="76">
        <f t="shared" si="69"/>
        <v>0</v>
      </c>
    </row>
    <row r="300" spans="1:9" ht="20.25" customHeight="1">
      <c r="A300" s="74" t="s">
        <v>229</v>
      </c>
      <c r="B300" s="98" t="s">
        <v>864</v>
      </c>
      <c r="C300" s="75" t="s">
        <v>236</v>
      </c>
      <c r="D300" s="75" t="s">
        <v>208</v>
      </c>
      <c r="E300" s="75" t="s">
        <v>459</v>
      </c>
      <c r="F300" s="75" t="s">
        <v>230</v>
      </c>
      <c r="G300" s="76">
        <f>G302+G301</f>
        <v>1471.52585</v>
      </c>
      <c r="H300" s="76">
        <f t="shared" ref="H300:I300" si="70">H302+H301</f>
        <v>0</v>
      </c>
      <c r="I300" s="76">
        <f t="shared" si="70"/>
        <v>0</v>
      </c>
    </row>
    <row r="301" spans="1:9" ht="69.75" customHeight="1">
      <c r="A301" s="74" t="s">
        <v>461</v>
      </c>
      <c r="B301" s="98" t="s">
        <v>864</v>
      </c>
      <c r="C301" s="75" t="s">
        <v>236</v>
      </c>
      <c r="D301" s="75" t="s">
        <v>208</v>
      </c>
      <c r="E301" s="75" t="s">
        <v>462</v>
      </c>
      <c r="F301" s="75" t="s">
        <v>396</v>
      </c>
      <c r="G301" s="76">
        <f>'5'!D236</f>
        <v>1456.81059</v>
      </c>
      <c r="H301" s="76">
        <f>'5'!E236</f>
        <v>0</v>
      </c>
      <c r="I301" s="76">
        <f>'5'!F236</f>
        <v>0</v>
      </c>
    </row>
    <row r="302" spans="1:9" ht="65.25" customHeight="1">
      <c r="A302" s="74" t="s">
        <v>463</v>
      </c>
      <c r="B302" s="98" t="s">
        <v>864</v>
      </c>
      <c r="C302" s="75" t="s">
        <v>236</v>
      </c>
      <c r="D302" s="75" t="s">
        <v>208</v>
      </c>
      <c r="E302" s="75" t="s">
        <v>464</v>
      </c>
      <c r="F302" s="75" t="s">
        <v>396</v>
      </c>
      <c r="G302" s="76">
        <f>'5'!D237</f>
        <v>14.715260000000001</v>
      </c>
      <c r="H302" s="76">
        <f>'5'!E237</f>
        <v>0</v>
      </c>
      <c r="I302" s="76">
        <f>'5'!F237</f>
        <v>0</v>
      </c>
    </row>
    <row r="303" spans="1:9" ht="49.5" customHeight="1">
      <c r="A303" s="78" t="s">
        <v>209</v>
      </c>
      <c r="B303" s="98" t="s">
        <v>864</v>
      </c>
      <c r="C303" s="75" t="s">
        <v>236</v>
      </c>
      <c r="D303" s="75" t="s">
        <v>208</v>
      </c>
      <c r="E303" s="79" t="s">
        <v>210</v>
      </c>
      <c r="F303" s="79" t="s">
        <v>206</v>
      </c>
      <c r="G303" s="80">
        <f t="shared" ref="G303:G306" si="71">G304</f>
        <v>120</v>
      </c>
      <c r="H303" s="80">
        <f t="shared" ref="H303:I306" si="72">H304</f>
        <v>20</v>
      </c>
      <c r="I303" s="80">
        <f t="shared" si="72"/>
        <v>20</v>
      </c>
    </row>
    <row r="304" spans="1:9" ht="51" customHeight="1">
      <c r="A304" s="74" t="s">
        <v>211</v>
      </c>
      <c r="B304" s="98" t="s">
        <v>864</v>
      </c>
      <c r="C304" s="75" t="s">
        <v>236</v>
      </c>
      <c r="D304" s="75" t="s">
        <v>208</v>
      </c>
      <c r="E304" s="75" t="s">
        <v>212</v>
      </c>
      <c r="F304" s="75" t="s">
        <v>206</v>
      </c>
      <c r="G304" s="76">
        <f t="shared" si="71"/>
        <v>120</v>
      </c>
      <c r="H304" s="76">
        <f t="shared" si="72"/>
        <v>20</v>
      </c>
      <c r="I304" s="76">
        <f t="shared" si="72"/>
        <v>20</v>
      </c>
    </row>
    <row r="305" spans="1:9" ht="135.75" customHeight="1">
      <c r="A305" s="104" t="s">
        <v>465</v>
      </c>
      <c r="B305" s="139" t="s">
        <v>864</v>
      </c>
      <c r="C305" s="105" t="s">
        <v>236</v>
      </c>
      <c r="D305" s="105" t="s">
        <v>208</v>
      </c>
      <c r="E305" s="105" t="s">
        <v>466</v>
      </c>
      <c r="F305" s="105" t="s">
        <v>206</v>
      </c>
      <c r="G305" s="106">
        <f t="shared" si="71"/>
        <v>120</v>
      </c>
      <c r="H305" s="106">
        <f t="shared" si="72"/>
        <v>20</v>
      </c>
      <c r="I305" s="106">
        <f t="shared" si="72"/>
        <v>20</v>
      </c>
    </row>
    <row r="306" spans="1:9" ht="36.75" customHeight="1">
      <c r="A306" s="74" t="s">
        <v>223</v>
      </c>
      <c r="B306" s="98" t="s">
        <v>864</v>
      </c>
      <c r="C306" s="75" t="s">
        <v>236</v>
      </c>
      <c r="D306" s="75" t="s">
        <v>208</v>
      </c>
      <c r="E306" s="75" t="s">
        <v>466</v>
      </c>
      <c r="F306" s="75" t="s">
        <v>224</v>
      </c>
      <c r="G306" s="76">
        <f t="shared" si="71"/>
        <v>120</v>
      </c>
      <c r="H306" s="76">
        <f t="shared" si="72"/>
        <v>20</v>
      </c>
      <c r="I306" s="76">
        <f t="shared" si="72"/>
        <v>20</v>
      </c>
    </row>
    <row r="307" spans="1:9" ht="53.25" customHeight="1">
      <c r="A307" s="74" t="s">
        <v>225</v>
      </c>
      <c r="B307" s="98" t="s">
        <v>864</v>
      </c>
      <c r="C307" s="75" t="s">
        <v>236</v>
      </c>
      <c r="D307" s="75" t="s">
        <v>208</v>
      </c>
      <c r="E307" s="75" t="s">
        <v>466</v>
      </c>
      <c r="F307" s="75" t="s">
        <v>226</v>
      </c>
      <c r="G307" s="76">
        <f>'5'!D307</f>
        <v>120</v>
      </c>
      <c r="H307" s="76">
        <f>'5'!E307</f>
        <v>20</v>
      </c>
      <c r="I307" s="76">
        <f>'5'!F307</f>
        <v>20</v>
      </c>
    </row>
    <row r="308" spans="1:9" ht="101.25" customHeight="1">
      <c r="A308" s="78" t="s">
        <v>467</v>
      </c>
      <c r="B308" s="128" t="s">
        <v>864</v>
      </c>
      <c r="C308" s="79" t="s">
        <v>236</v>
      </c>
      <c r="D308" s="79" t="s">
        <v>208</v>
      </c>
      <c r="E308" s="79" t="s">
        <v>205</v>
      </c>
      <c r="F308" s="79" t="s">
        <v>206</v>
      </c>
      <c r="G308" s="80">
        <f t="shared" ref="G308:I309" si="73">G309</f>
        <v>20</v>
      </c>
      <c r="H308" s="80">
        <f t="shared" si="73"/>
        <v>20</v>
      </c>
      <c r="I308" s="80">
        <f t="shared" si="73"/>
        <v>0</v>
      </c>
    </row>
    <row r="309" spans="1:9" ht="42" customHeight="1">
      <c r="A309" s="74" t="s">
        <v>223</v>
      </c>
      <c r="B309" s="98" t="s">
        <v>864</v>
      </c>
      <c r="C309" s="75" t="s">
        <v>236</v>
      </c>
      <c r="D309" s="75" t="s">
        <v>208</v>
      </c>
      <c r="E309" s="75" t="s">
        <v>469</v>
      </c>
      <c r="F309" s="75" t="s">
        <v>224</v>
      </c>
      <c r="G309" s="76">
        <f t="shared" si="73"/>
        <v>20</v>
      </c>
      <c r="H309" s="76">
        <f t="shared" si="73"/>
        <v>20</v>
      </c>
      <c r="I309" s="76">
        <f t="shared" si="73"/>
        <v>0</v>
      </c>
    </row>
    <row r="310" spans="1:9" ht="54.75" customHeight="1">
      <c r="A310" s="74" t="s">
        <v>225</v>
      </c>
      <c r="B310" s="98" t="s">
        <v>864</v>
      </c>
      <c r="C310" s="75" t="s">
        <v>236</v>
      </c>
      <c r="D310" s="75" t="s">
        <v>208</v>
      </c>
      <c r="E310" s="75" t="s">
        <v>469</v>
      </c>
      <c r="F310" s="75" t="s">
        <v>226</v>
      </c>
      <c r="G310" s="76">
        <f>'5'!D220</f>
        <v>20</v>
      </c>
      <c r="H310" s="76">
        <f>'5'!E220</f>
        <v>20</v>
      </c>
      <c r="I310" s="76">
        <f>'5'!F220</f>
        <v>0</v>
      </c>
    </row>
    <row r="311" spans="1:9">
      <c r="A311" s="206" t="s">
        <v>470</v>
      </c>
      <c r="B311" s="207">
        <v>951</v>
      </c>
      <c r="C311" s="208" t="s">
        <v>236</v>
      </c>
      <c r="D311" s="208" t="s">
        <v>220</v>
      </c>
      <c r="E311" s="208" t="s">
        <v>205</v>
      </c>
      <c r="F311" s="208" t="s">
        <v>206</v>
      </c>
      <c r="G311" s="209">
        <f>G313+G321+G324+G329</f>
        <v>5947.1779999999999</v>
      </c>
      <c r="H311" s="209">
        <f t="shared" ref="H311:I311" si="74">H313+H324+H329</f>
        <v>100</v>
      </c>
      <c r="I311" s="209">
        <f t="shared" si="74"/>
        <v>100</v>
      </c>
    </row>
    <row r="312" spans="1:9" ht="23.25" customHeight="1">
      <c r="A312" s="74" t="s">
        <v>471</v>
      </c>
      <c r="B312" s="98">
        <v>951</v>
      </c>
      <c r="C312" s="75" t="s">
        <v>236</v>
      </c>
      <c r="D312" s="75" t="s">
        <v>220</v>
      </c>
      <c r="E312" s="75" t="s">
        <v>472</v>
      </c>
      <c r="F312" s="75" t="s">
        <v>206</v>
      </c>
      <c r="G312" s="76">
        <f>G313</f>
        <v>90</v>
      </c>
      <c r="H312" s="76">
        <f t="shared" ref="G312:I313" si="75">H313</f>
        <v>50</v>
      </c>
      <c r="I312" s="76">
        <f t="shared" si="75"/>
        <v>50</v>
      </c>
    </row>
    <row r="313" spans="1:9" ht="34.5" customHeight="1">
      <c r="A313" s="74" t="s">
        <v>223</v>
      </c>
      <c r="B313" s="98">
        <v>951</v>
      </c>
      <c r="C313" s="75" t="s">
        <v>236</v>
      </c>
      <c r="D313" s="75" t="s">
        <v>220</v>
      </c>
      <c r="E313" s="75" t="s">
        <v>472</v>
      </c>
      <c r="F313" s="75" t="s">
        <v>224</v>
      </c>
      <c r="G313" s="76">
        <f t="shared" si="75"/>
        <v>90</v>
      </c>
      <c r="H313" s="76">
        <f t="shared" si="75"/>
        <v>50</v>
      </c>
      <c r="I313" s="76">
        <f t="shared" si="75"/>
        <v>50</v>
      </c>
    </row>
    <row r="314" spans="1:9" ht="54.75" customHeight="1">
      <c r="A314" s="74" t="s">
        <v>225</v>
      </c>
      <c r="B314" s="98">
        <v>951</v>
      </c>
      <c r="C314" s="75" t="s">
        <v>236</v>
      </c>
      <c r="D314" s="75" t="s">
        <v>220</v>
      </c>
      <c r="E314" s="75" t="s">
        <v>472</v>
      </c>
      <c r="F314" s="75" t="s">
        <v>226</v>
      </c>
      <c r="G314" s="76">
        <f>'5'!D283</f>
        <v>90</v>
      </c>
      <c r="H314" s="76">
        <f>'5'!E283</f>
        <v>50</v>
      </c>
      <c r="I314" s="76">
        <f>'5'!F283</f>
        <v>50</v>
      </c>
    </row>
    <row r="315" spans="1:9" ht="110.25" hidden="1" customHeight="1">
      <c r="A315" s="74" t="s">
        <v>477</v>
      </c>
      <c r="B315" s="98">
        <v>952</v>
      </c>
      <c r="C315" s="75" t="s">
        <v>236</v>
      </c>
      <c r="D315" s="75" t="s">
        <v>220</v>
      </c>
      <c r="E315" s="75" t="s">
        <v>478</v>
      </c>
      <c r="F315" s="75" t="s">
        <v>206</v>
      </c>
      <c r="G315" s="76">
        <f t="shared" ref="G315:G316" si="76">G316</f>
        <v>0</v>
      </c>
      <c r="H315" s="76">
        <f t="shared" ref="H315:I316" si="77">H316</f>
        <v>0</v>
      </c>
      <c r="I315" s="76">
        <f t="shared" si="77"/>
        <v>0</v>
      </c>
    </row>
    <row r="316" spans="1:9" ht="31.5" hidden="1" customHeight="1">
      <c r="A316" s="74" t="s">
        <v>223</v>
      </c>
      <c r="B316" s="98">
        <v>953</v>
      </c>
      <c r="C316" s="75" t="s">
        <v>236</v>
      </c>
      <c r="D316" s="75" t="s">
        <v>220</v>
      </c>
      <c r="E316" s="75" t="s">
        <v>478</v>
      </c>
      <c r="F316" s="75" t="s">
        <v>224</v>
      </c>
      <c r="G316" s="76">
        <f t="shared" si="76"/>
        <v>0</v>
      </c>
      <c r="H316" s="76">
        <f t="shared" si="77"/>
        <v>0</v>
      </c>
      <c r="I316" s="76">
        <f t="shared" si="77"/>
        <v>0</v>
      </c>
    </row>
    <row r="317" spans="1:9" ht="47.25" hidden="1">
      <c r="A317" s="74" t="s">
        <v>225</v>
      </c>
      <c r="B317" s="98">
        <v>954</v>
      </c>
      <c r="C317" s="75" t="s">
        <v>236</v>
      </c>
      <c r="D317" s="75" t="s">
        <v>220</v>
      </c>
      <c r="E317" s="75" t="s">
        <v>478</v>
      </c>
      <c r="F317" s="75" t="s">
        <v>226</v>
      </c>
      <c r="G317" s="76">
        <f>'5'!D284</f>
        <v>0</v>
      </c>
      <c r="H317" s="76">
        <f>'5'!E284</f>
        <v>0</v>
      </c>
      <c r="I317" s="76">
        <f>'5'!F284</f>
        <v>0</v>
      </c>
    </row>
    <row r="318" spans="1:9" ht="110.25" hidden="1">
      <c r="A318" s="74" t="s">
        <v>479</v>
      </c>
      <c r="B318" s="98">
        <v>955</v>
      </c>
      <c r="C318" s="75" t="s">
        <v>236</v>
      </c>
      <c r="D318" s="75" t="s">
        <v>220</v>
      </c>
      <c r="E318" s="98" t="s">
        <v>480</v>
      </c>
      <c r="F318" s="75" t="s">
        <v>206</v>
      </c>
      <c r="G318" s="76">
        <f t="shared" ref="G318:I319" si="78">G319</f>
        <v>0</v>
      </c>
      <c r="H318" s="76">
        <f t="shared" si="78"/>
        <v>0</v>
      </c>
      <c r="I318" s="76">
        <f t="shared" si="78"/>
        <v>0</v>
      </c>
    </row>
    <row r="319" spans="1:9" ht="31.5" hidden="1">
      <c r="A319" s="74" t="s">
        <v>223</v>
      </c>
      <c r="B319" s="98">
        <v>956</v>
      </c>
      <c r="C319" s="75" t="s">
        <v>236</v>
      </c>
      <c r="D319" s="75" t="s">
        <v>220</v>
      </c>
      <c r="E319" s="98" t="s">
        <v>480</v>
      </c>
      <c r="F319" s="75" t="s">
        <v>224</v>
      </c>
      <c r="G319" s="76">
        <f t="shared" si="78"/>
        <v>0</v>
      </c>
      <c r="H319" s="76">
        <f t="shared" si="78"/>
        <v>0</v>
      </c>
      <c r="I319" s="76">
        <f t="shared" si="78"/>
        <v>0</v>
      </c>
    </row>
    <row r="320" spans="1:9" ht="47.25" hidden="1">
      <c r="A320" s="74" t="s">
        <v>225</v>
      </c>
      <c r="B320" s="98">
        <v>957</v>
      </c>
      <c r="C320" s="75" t="s">
        <v>236</v>
      </c>
      <c r="D320" s="75" t="s">
        <v>220</v>
      </c>
      <c r="E320" s="98" t="s">
        <v>480</v>
      </c>
      <c r="F320" s="75" t="s">
        <v>226</v>
      </c>
      <c r="G320" s="76">
        <f>'5'!D285</f>
        <v>0</v>
      </c>
      <c r="H320" s="76">
        <f>'5'!E285</f>
        <v>0</v>
      </c>
      <c r="I320" s="76">
        <f>'5'!F285</f>
        <v>0</v>
      </c>
    </row>
    <row r="321" spans="1:9" ht="94.5">
      <c r="A321" s="70" t="s">
        <v>473</v>
      </c>
      <c r="B321" s="98" t="s">
        <v>864</v>
      </c>
      <c r="C321" s="75" t="s">
        <v>236</v>
      </c>
      <c r="D321" s="75" t="s">
        <v>220</v>
      </c>
      <c r="E321" s="98" t="s">
        <v>474</v>
      </c>
      <c r="F321" s="75" t="s">
        <v>206</v>
      </c>
      <c r="G321" s="76">
        <f t="shared" ref="G321:G322" si="79">G322</f>
        <v>897.17800000000011</v>
      </c>
      <c r="H321" s="76">
        <f t="shared" ref="H321:I322" si="80">H322</f>
        <v>0</v>
      </c>
      <c r="I321" s="76">
        <f t="shared" si="80"/>
        <v>0</v>
      </c>
    </row>
    <row r="322" spans="1:9" ht="35.25" customHeight="1">
      <c r="A322" s="74" t="s">
        <v>223</v>
      </c>
      <c r="B322" s="98" t="s">
        <v>864</v>
      </c>
      <c r="C322" s="75" t="s">
        <v>236</v>
      </c>
      <c r="D322" s="75" t="s">
        <v>220</v>
      </c>
      <c r="E322" s="98" t="s">
        <v>474</v>
      </c>
      <c r="F322" s="75" t="s">
        <v>224</v>
      </c>
      <c r="G322" s="76">
        <f t="shared" si="79"/>
        <v>897.17800000000011</v>
      </c>
      <c r="H322" s="76">
        <f t="shared" si="80"/>
        <v>0</v>
      </c>
      <c r="I322" s="76">
        <f t="shared" si="80"/>
        <v>0</v>
      </c>
    </row>
    <row r="323" spans="1:9" ht="47.25">
      <c r="A323" s="74" t="s">
        <v>225</v>
      </c>
      <c r="B323" s="98" t="s">
        <v>864</v>
      </c>
      <c r="C323" s="75" t="s">
        <v>236</v>
      </c>
      <c r="D323" s="75" t="s">
        <v>220</v>
      </c>
      <c r="E323" s="98" t="s">
        <v>474</v>
      </c>
      <c r="F323" s="75" t="s">
        <v>226</v>
      </c>
      <c r="G323" s="76">
        <f>'5'!D286</f>
        <v>897.17800000000011</v>
      </c>
      <c r="H323" s="76">
        <f>'5'!E286</f>
        <v>0</v>
      </c>
      <c r="I323" s="76">
        <f>'5'!F286</f>
        <v>0</v>
      </c>
    </row>
    <row r="324" spans="1:9" ht="19.5" customHeight="1">
      <c r="A324" s="74" t="s">
        <v>456</v>
      </c>
      <c r="B324" s="98">
        <v>951</v>
      </c>
      <c r="C324" s="75" t="s">
        <v>236</v>
      </c>
      <c r="D324" s="75" t="s">
        <v>220</v>
      </c>
      <c r="E324" s="75" t="s">
        <v>457</v>
      </c>
      <c r="F324" s="75" t="s">
        <v>206</v>
      </c>
      <c r="G324" s="76">
        <f>G325+G327</f>
        <v>350</v>
      </c>
      <c r="H324" s="76">
        <f>H325+H327</f>
        <v>50</v>
      </c>
      <c r="I324" s="76">
        <f>I325+I327</f>
        <v>50</v>
      </c>
    </row>
    <row r="325" spans="1:9" ht="36" customHeight="1">
      <c r="A325" s="74" t="s">
        <v>223</v>
      </c>
      <c r="B325" s="98">
        <v>951</v>
      </c>
      <c r="C325" s="75" t="s">
        <v>236</v>
      </c>
      <c r="D325" s="75" t="s">
        <v>220</v>
      </c>
      <c r="E325" s="75" t="s">
        <v>457</v>
      </c>
      <c r="F325" s="75" t="s">
        <v>224</v>
      </c>
      <c r="G325" s="76">
        <f>G326</f>
        <v>350</v>
      </c>
      <c r="H325" s="76">
        <f>H326</f>
        <v>50</v>
      </c>
      <c r="I325" s="76">
        <f>I326</f>
        <v>50</v>
      </c>
    </row>
    <row r="326" spans="1:9" ht="54.75" customHeight="1">
      <c r="A326" s="74" t="s">
        <v>225</v>
      </c>
      <c r="B326" s="98">
        <v>951</v>
      </c>
      <c r="C326" s="75" t="s">
        <v>236</v>
      </c>
      <c r="D326" s="75" t="s">
        <v>220</v>
      </c>
      <c r="E326" s="75" t="s">
        <v>457</v>
      </c>
      <c r="F326" s="75" t="s">
        <v>226</v>
      </c>
      <c r="G326" s="76">
        <f>'5'!D287</f>
        <v>350</v>
      </c>
      <c r="H326" s="76">
        <f>'5'!E287</f>
        <v>50</v>
      </c>
      <c r="I326" s="76">
        <f>'5'!F287</f>
        <v>50</v>
      </c>
    </row>
    <row r="327" spans="1:9" ht="47.25" hidden="1">
      <c r="A327" s="70" t="s">
        <v>320</v>
      </c>
      <c r="B327" s="98">
        <v>952</v>
      </c>
      <c r="C327" s="75" t="s">
        <v>236</v>
      </c>
      <c r="D327" s="75" t="s">
        <v>220</v>
      </c>
      <c r="E327" s="75" t="s">
        <v>457</v>
      </c>
      <c r="F327" s="71" t="s">
        <v>321</v>
      </c>
      <c r="G327" s="72">
        <f>G328</f>
        <v>0</v>
      </c>
      <c r="H327" s="72">
        <f>H328</f>
        <v>0</v>
      </c>
      <c r="I327" s="72">
        <f>I328</f>
        <v>0</v>
      </c>
    </row>
    <row r="328" spans="1:9" hidden="1">
      <c r="A328" s="70" t="s">
        <v>322</v>
      </c>
      <c r="B328" s="98">
        <v>953</v>
      </c>
      <c r="C328" s="75" t="s">
        <v>236</v>
      </c>
      <c r="D328" s="75" t="s">
        <v>220</v>
      </c>
      <c r="E328" s="75" t="s">
        <v>457</v>
      </c>
      <c r="F328" s="71" t="s">
        <v>323</v>
      </c>
      <c r="G328" s="72"/>
      <c r="H328" s="72"/>
      <c r="I328" s="72"/>
    </row>
    <row r="329" spans="1:9" ht="63">
      <c r="A329" s="70" t="s">
        <v>475</v>
      </c>
      <c r="B329" s="98">
        <v>954</v>
      </c>
      <c r="C329" s="75" t="s">
        <v>236</v>
      </c>
      <c r="D329" s="75" t="s">
        <v>220</v>
      </c>
      <c r="E329" s="75" t="s">
        <v>476</v>
      </c>
      <c r="F329" s="71" t="s">
        <v>206</v>
      </c>
      <c r="G329" s="72">
        <f t="shared" ref="G329:G330" si="81">G330</f>
        <v>4610</v>
      </c>
      <c r="H329" s="72">
        <f t="shared" ref="H329:I330" si="82">H330</f>
        <v>0</v>
      </c>
      <c r="I329" s="72">
        <f t="shared" si="82"/>
        <v>0</v>
      </c>
    </row>
    <row r="330" spans="1:9" ht="31.5">
      <c r="A330" s="74" t="s">
        <v>223</v>
      </c>
      <c r="B330" s="98">
        <v>955</v>
      </c>
      <c r="C330" s="75" t="s">
        <v>236</v>
      </c>
      <c r="D330" s="75" t="s">
        <v>220</v>
      </c>
      <c r="E330" s="75" t="s">
        <v>476</v>
      </c>
      <c r="F330" s="71" t="s">
        <v>224</v>
      </c>
      <c r="G330" s="72">
        <f t="shared" si="81"/>
        <v>4610</v>
      </c>
      <c r="H330" s="72">
        <f t="shared" si="82"/>
        <v>0</v>
      </c>
      <c r="I330" s="72">
        <f t="shared" si="82"/>
        <v>0</v>
      </c>
    </row>
    <row r="331" spans="1:9" ht="47.25">
      <c r="A331" s="74" t="s">
        <v>225</v>
      </c>
      <c r="B331" s="98">
        <v>956</v>
      </c>
      <c r="C331" s="75" t="s">
        <v>236</v>
      </c>
      <c r="D331" s="75" t="s">
        <v>220</v>
      </c>
      <c r="E331" s="75" t="s">
        <v>476</v>
      </c>
      <c r="F331" s="71" t="s">
        <v>226</v>
      </c>
      <c r="G331" s="72">
        <f>'3'!F386</f>
        <v>4610</v>
      </c>
      <c r="H331" s="72">
        <f>'3'!G386</f>
        <v>0</v>
      </c>
      <c r="I331" s="72">
        <f>'3'!H386</f>
        <v>0</v>
      </c>
    </row>
    <row r="332" spans="1:9" ht="31.5">
      <c r="A332" s="206" t="s">
        <v>481</v>
      </c>
      <c r="B332" s="207">
        <v>951</v>
      </c>
      <c r="C332" s="208" t="s">
        <v>236</v>
      </c>
      <c r="D332" s="208" t="s">
        <v>236</v>
      </c>
      <c r="E332" s="208" t="s">
        <v>205</v>
      </c>
      <c r="F332" s="208" t="s">
        <v>206</v>
      </c>
      <c r="G332" s="209">
        <f>G340</f>
        <v>2.4188999999999998</v>
      </c>
      <c r="H332" s="209">
        <f t="shared" ref="H332:I332" si="83">H340</f>
        <v>2.5156499999999999</v>
      </c>
      <c r="I332" s="209">
        <f t="shared" si="83"/>
        <v>2.6162699999999997</v>
      </c>
    </row>
    <row r="333" spans="1:9" ht="34.5" customHeight="1">
      <c r="A333" s="70" t="s">
        <v>209</v>
      </c>
      <c r="B333" s="130">
        <v>951</v>
      </c>
      <c r="C333" s="71" t="s">
        <v>236</v>
      </c>
      <c r="D333" s="71" t="s">
        <v>236</v>
      </c>
      <c r="E333" s="71" t="s">
        <v>210</v>
      </c>
      <c r="F333" s="71" t="s">
        <v>206</v>
      </c>
      <c r="G333" s="72">
        <f t="shared" ref="G333:I333" si="84">G334</f>
        <v>2.4188999999999998</v>
      </c>
      <c r="H333" s="72">
        <f t="shared" si="84"/>
        <v>2.5156499999999999</v>
      </c>
      <c r="I333" s="72">
        <f t="shared" si="84"/>
        <v>2.6162699999999997</v>
      </c>
    </row>
    <row r="334" spans="1:9" ht="47.25">
      <c r="A334" s="74" t="s">
        <v>211</v>
      </c>
      <c r="B334" s="98">
        <v>951</v>
      </c>
      <c r="C334" s="75" t="s">
        <v>236</v>
      </c>
      <c r="D334" s="75" t="s">
        <v>236</v>
      </c>
      <c r="E334" s="75" t="s">
        <v>212</v>
      </c>
      <c r="F334" s="75" t="s">
        <v>206</v>
      </c>
      <c r="G334" s="76">
        <f>G335+G340</f>
        <v>2.4188999999999998</v>
      </c>
      <c r="H334" s="76">
        <f>H335+H340</f>
        <v>2.5156499999999999</v>
      </c>
      <c r="I334" s="76">
        <f>I335+I340</f>
        <v>2.6162699999999997</v>
      </c>
    </row>
    <row r="335" spans="1:9" ht="63" hidden="1">
      <c r="A335" s="74" t="s">
        <v>482</v>
      </c>
      <c r="B335" s="98">
        <v>951</v>
      </c>
      <c r="C335" s="75" t="s">
        <v>236</v>
      </c>
      <c r="D335" s="75" t="s">
        <v>236</v>
      </c>
      <c r="E335" s="75" t="s">
        <v>228</v>
      </c>
      <c r="F335" s="75" t="s">
        <v>206</v>
      </c>
      <c r="G335" s="76">
        <f>G336+G338</f>
        <v>0</v>
      </c>
      <c r="H335" s="76">
        <f>H336+H338</f>
        <v>0</v>
      </c>
      <c r="I335" s="76">
        <f>I336+I338</f>
        <v>0</v>
      </c>
    </row>
    <row r="336" spans="1:9" ht="94.5" hidden="1" customHeight="1">
      <c r="A336" s="74" t="s">
        <v>215</v>
      </c>
      <c r="B336" s="98">
        <v>951</v>
      </c>
      <c r="C336" s="75" t="s">
        <v>236</v>
      </c>
      <c r="D336" s="75" t="s">
        <v>236</v>
      </c>
      <c r="E336" s="75" t="s">
        <v>228</v>
      </c>
      <c r="F336" s="75" t="s">
        <v>216</v>
      </c>
      <c r="G336" s="76">
        <f>G337</f>
        <v>0</v>
      </c>
      <c r="H336" s="76">
        <f>H337</f>
        <v>0</v>
      </c>
      <c r="I336" s="76">
        <f>I337</f>
        <v>0</v>
      </c>
    </row>
    <row r="337" spans="1:12" ht="47.25" hidden="1">
      <c r="A337" s="74" t="s">
        <v>217</v>
      </c>
      <c r="B337" s="98">
        <v>951</v>
      </c>
      <c r="C337" s="75" t="s">
        <v>236</v>
      </c>
      <c r="D337" s="75" t="s">
        <v>236</v>
      </c>
      <c r="E337" s="75" t="s">
        <v>228</v>
      </c>
      <c r="F337" s="75" t="s">
        <v>218</v>
      </c>
      <c r="G337" s="76">
        <v>0</v>
      </c>
      <c r="H337" s="76">
        <v>0</v>
      </c>
      <c r="I337" s="76">
        <v>0</v>
      </c>
    </row>
    <row r="338" spans="1:12" ht="31.5" hidden="1">
      <c r="A338" s="74" t="s">
        <v>223</v>
      </c>
      <c r="B338" s="98">
        <v>951</v>
      </c>
      <c r="C338" s="75" t="s">
        <v>236</v>
      </c>
      <c r="D338" s="75" t="s">
        <v>236</v>
      </c>
      <c r="E338" s="75" t="s">
        <v>228</v>
      </c>
      <c r="F338" s="75" t="s">
        <v>224</v>
      </c>
      <c r="G338" s="76">
        <f>G339</f>
        <v>0</v>
      </c>
      <c r="H338" s="76">
        <f>H339</f>
        <v>0</v>
      </c>
      <c r="I338" s="76">
        <f>I339</f>
        <v>0</v>
      </c>
    </row>
    <row r="339" spans="1:12" ht="47.25" hidden="1">
      <c r="A339" s="74" t="s">
        <v>225</v>
      </c>
      <c r="B339" s="98">
        <v>951</v>
      </c>
      <c r="C339" s="75" t="s">
        <v>236</v>
      </c>
      <c r="D339" s="75" t="s">
        <v>236</v>
      </c>
      <c r="E339" s="75" t="s">
        <v>228</v>
      </c>
      <c r="F339" s="75" t="s">
        <v>226</v>
      </c>
      <c r="G339" s="76">
        <v>0</v>
      </c>
      <c r="H339" s="76">
        <v>0</v>
      </c>
      <c r="I339" s="76">
        <v>0</v>
      </c>
    </row>
    <row r="340" spans="1:12" ht="84.75" customHeight="1">
      <c r="A340" s="74" t="s">
        <v>483</v>
      </c>
      <c r="B340" s="98" t="s">
        <v>864</v>
      </c>
      <c r="C340" s="75" t="s">
        <v>236</v>
      </c>
      <c r="D340" s="75" t="s">
        <v>236</v>
      </c>
      <c r="E340" s="75" t="s">
        <v>484</v>
      </c>
      <c r="F340" s="75" t="s">
        <v>206</v>
      </c>
      <c r="G340" s="76">
        <f t="shared" ref="G340:I341" si="85">G341</f>
        <v>2.4188999999999998</v>
      </c>
      <c r="H340" s="76">
        <f t="shared" si="85"/>
        <v>2.5156499999999999</v>
      </c>
      <c r="I340" s="76">
        <f t="shared" si="85"/>
        <v>2.6162699999999997</v>
      </c>
    </row>
    <row r="341" spans="1:12" ht="102" customHeight="1">
      <c r="A341" s="74" t="s">
        <v>485</v>
      </c>
      <c r="B341" s="98" t="s">
        <v>864</v>
      </c>
      <c r="C341" s="75" t="s">
        <v>236</v>
      </c>
      <c r="D341" s="75" t="s">
        <v>236</v>
      </c>
      <c r="E341" s="75" t="s">
        <v>484</v>
      </c>
      <c r="F341" s="75" t="s">
        <v>216</v>
      </c>
      <c r="G341" s="76">
        <f t="shared" si="85"/>
        <v>2.4188999999999998</v>
      </c>
      <c r="H341" s="76">
        <f t="shared" si="85"/>
        <v>2.5156499999999999</v>
      </c>
      <c r="I341" s="76">
        <f t="shared" si="85"/>
        <v>2.6162699999999997</v>
      </c>
    </row>
    <row r="342" spans="1:12" ht="49.5" customHeight="1">
      <c r="A342" s="74" t="s">
        <v>217</v>
      </c>
      <c r="B342" s="98" t="s">
        <v>864</v>
      </c>
      <c r="C342" s="75" t="s">
        <v>236</v>
      </c>
      <c r="D342" s="75" t="s">
        <v>236</v>
      </c>
      <c r="E342" s="75" t="s">
        <v>484</v>
      </c>
      <c r="F342" s="75" t="s">
        <v>218</v>
      </c>
      <c r="G342" s="76">
        <f>'5'!D326</f>
        <v>2.4188999999999998</v>
      </c>
      <c r="H342" s="76">
        <f>'5'!E326</f>
        <v>2.5156499999999999</v>
      </c>
      <c r="I342" s="76">
        <f>'5'!F326</f>
        <v>2.6162699999999997</v>
      </c>
    </row>
    <row r="343" spans="1:12" ht="31.5" hidden="1">
      <c r="A343" s="70" t="s">
        <v>223</v>
      </c>
      <c r="B343" s="130" t="s">
        <v>881</v>
      </c>
      <c r="C343" s="71" t="s">
        <v>236</v>
      </c>
      <c r="D343" s="71" t="s">
        <v>236</v>
      </c>
      <c r="E343" s="71" t="s">
        <v>484</v>
      </c>
      <c r="F343" s="71" t="s">
        <v>224</v>
      </c>
      <c r="G343" s="72">
        <f>G344</f>
        <v>0</v>
      </c>
      <c r="H343" s="72">
        <f>H344</f>
        <v>0</v>
      </c>
      <c r="I343" s="72">
        <f>I344</f>
        <v>0</v>
      </c>
    </row>
    <row r="344" spans="1:12" ht="47.25" hidden="1">
      <c r="A344" s="70" t="s">
        <v>225</v>
      </c>
      <c r="B344" s="130" t="s">
        <v>882</v>
      </c>
      <c r="C344" s="71" t="s">
        <v>236</v>
      </c>
      <c r="D344" s="71" t="s">
        <v>236</v>
      </c>
      <c r="E344" s="71" t="s">
        <v>484</v>
      </c>
      <c r="F344" s="71" t="s">
        <v>226</v>
      </c>
      <c r="G344" s="72"/>
      <c r="H344" s="72"/>
      <c r="I344" s="72"/>
    </row>
    <row r="345" spans="1:12">
      <c r="A345" s="66" t="s">
        <v>486</v>
      </c>
      <c r="B345" s="199" t="s">
        <v>864</v>
      </c>
      <c r="C345" s="67" t="s">
        <v>239</v>
      </c>
      <c r="D345" s="67" t="s">
        <v>204</v>
      </c>
      <c r="E345" s="67" t="s">
        <v>205</v>
      </c>
      <c r="F345" s="67" t="s">
        <v>206</v>
      </c>
      <c r="G345" s="68">
        <f t="shared" ref="G345:I350" si="86">G346</f>
        <v>830</v>
      </c>
      <c r="H345" s="68">
        <f t="shared" si="86"/>
        <v>830</v>
      </c>
      <c r="I345" s="68">
        <f t="shared" si="86"/>
        <v>830</v>
      </c>
      <c r="J345" s="184"/>
      <c r="K345" s="184"/>
      <c r="L345" s="184"/>
    </row>
    <row r="346" spans="1:12" ht="31.5">
      <c r="A346" s="206" t="s">
        <v>487</v>
      </c>
      <c r="B346" s="207" t="s">
        <v>864</v>
      </c>
      <c r="C346" s="208" t="s">
        <v>239</v>
      </c>
      <c r="D346" s="208" t="s">
        <v>236</v>
      </c>
      <c r="E346" s="208" t="s">
        <v>205</v>
      </c>
      <c r="F346" s="208" t="s">
        <v>206</v>
      </c>
      <c r="G346" s="209">
        <f t="shared" si="86"/>
        <v>830</v>
      </c>
      <c r="H346" s="209">
        <f t="shared" si="86"/>
        <v>830</v>
      </c>
      <c r="I346" s="209">
        <f t="shared" si="86"/>
        <v>830</v>
      </c>
    </row>
    <row r="347" spans="1:12" ht="38.25" customHeight="1">
      <c r="A347" s="74" t="s">
        <v>209</v>
      </c>
      <c r="B347" s="98" t="s">
        <v>864</v>
      </c>
      <c r="C347" s="75" t="s">
        <v>239</v>
      </c>
      <c r="D347" s="75" t="s">
        <v>236</v>
      </c>
      <c r="E347" s="75" t="s">
        <v>210</v>
      </c>
      <c r="F347" s="75" t="s">
        <v>206</v>
      </c>
      <c r="G347" s="76">
        <f t="shared" si="86"/>
        <v>830</v>
      </c>
      <c r="H347" s="76">
        <f t="shared" si="86"/>
        <v>830</v>
      </c>
      <c r="I347" s="76">
        <f t="shared" si="86"/>
        <v>830</v>
      </c>
    </row>
    <row r="348" spans="1:12" ht="47.25">
      <c r="A348" s="74" t="s">
        <v>211</v>
      </c>
      <c r="B348" s="98" t="s">
        <v>864</v>
      </c>
      <c r="C348" s="75" t="s">
        <v>239</v>
      </c>
      <c r="D348" s="75" t="s">
        <v>236</v>
      </c>
      <c r="E348" s="75" t="s">
        <v>212</v>
      </c>
      <c r="F348" s="75" t="s">
        <v>206</v>
      </c>
      <c r="G348" s="76">
        <f>G351+G354</f>
        <v>830</v>
      </c>
      <c r="H348" s="76">
        <f t="shared" si="86"/>
        <v>830</v>
      </c>
      <c r="I348" s="76">
        <f t="shared" si="86"/>
        <v>830</v>
      </c>
    </row>
    <row r="349" spans="1:12" ht="31.5">
      <c r="A349" s="74" t="s">
        <v>488</v>
      </c>
      <c r="B349" s="98" t="s">
        <v>864</v>
      </c>
      <c r="C349" s="75" t="s">
        <v>239</v>
      </c>
      <c r="D349" s="75" t="s">
        <v>236</v>
      </c>
      <c r="E349" s="75" t="s">
        <v>489</v>
      </c>
      <c r="F349" s="75" t="s">
        <v>206</v>
      </c>
      <c r="G349" s="76">
        <f t="shared" ref="G349:G350" si="87">G350</f>
        <v>830</v>
      </c>
      <c r="H349" s="76">
        <f t="shared" si="86"/>
        <v>830</v>
      </c>
      <c r="I349" s="76">
        <f t="shared" si="86"/>
        <v>830</v>
      </c>
    </row>
    <row r="350" spans="1:12" ht="31.5">
      <c r="A350" s="74" t="s">
        <v>223</v>
      </c>
      <c r="B350" s="98" t="s">
        <v>864</v>
      </c>
      <c r="C350" s="75" t="s">
        <v>239</v>
      </c>
      <c r="D350" s="75" t="s">
        <v>236</v>
      </c>
      <c r="E350" s="75" t="s">
        <v>489</v>
      </c>
      <c r="F350" s="75" t="s">
        <v>224</v>
      </c>
      <c r="G350" s="76">
        <f t="shared" si="87"/>
        <v>830</v>
      </c>
      <c r="H350" s="76">
        <f t="shared" si="86"/>
        <v>830</v>
      </c>
      <c r="I350" s="76">
        <f t="shared" si="86"/>
        <v>830</v>
      </c>
    </row>
    <row r="351" spans="1:12" ht="47.25">
      <c r="A351" s="74" t="s">
        <v>225</v>
      </c>
      <c r="B351" s="98" t="s">
        <v>864</v>
      </c>
      <c r="C351" s="75" t="s">
        <v>239</v>
      </c>
      <c r="D351" s="75" t="s">
        <v>236</v>
      </c>
      <c r="E351" s="75" t="s">
        <v>489</v>
      </c>
      <c r="F351" s="75" t="s">
        <v>226</v>
      </c>
      <c r="G351" s="76">
        <f>'5'!D313</f>
        <v>830</v>
      </c>
      <c r="H351" s="76">
        <f>'5'!E313</f>
        <v>830</v>
      </c>
      <c r="I351" s="76">
        <f>'5'!F313</f>
        <v>830</v>
      </c>
    </row>
    <row r="352" spans="1:12" ht="31.5" hidden="1">
      <c r="A352" s="89" t="s">
        <v>488</v>
      </c>
      <c r="B352" s="98" t="s">
        <v>864</v>
      </c>
      <c r="C352" s="75" t="s">
        <v>239</v>
      </c>
      <c r="D352" s="75" t="s">
        <v>236</v>
      </c>
      <c r="E352" s="75" t="s">
        <v>490</v>
      </c>
      <c r="F352" s="75" t="s">
        <v>206</v>
      </c>
      <c r="G352" s="76">
        <f t="shared" ref="G352:G353" si="88">G353</f>
        <v>0</v>
      </c>
      <c r="H352" s="76">
        <v>0</v>
      </c>
      <c r="I352" s="76">
        <v>0</v>
      </c>
    </row>
    <row r="353" spans="1:12" hidden="1">
      <c r="A353" s="89" t="s">
        <v>348</v>
      </c>
      <c r="B353" s="98" t="s">
        <v>864</v>
      </c>
      <c r="C353" s="75" t="s">
        <v>239</v>
      </c>
      <c r="D353" s="75" t="s">
        <v>236</v>
      </c>
      <c r="E353" s="75" t="s">
        <v>490</v>
      </c>
      <c r="F353" s="75" t="s">
        <v>349</v>
      </c>
      <c r="G353" s="76">
        <f t="shared" si="88"/>
        <v>0</v>
      </c>
      <c r="H353" s="76">
        <v>0</v>
      </c>
      <c r="I353" s="76">
        <v>0</v>
      </c>
    </row>
    <row r="354" spans="1:12" ht="15.75" hidden="1" customHeight="1">
      <c r="A354" s="89" t="s">
        <v>410</v>
      </c>
      <c r="B354" s="98" t="s">
        <v>864</v>
      </c>
      <c r="C354" s="75" t="s">
        <v>239</v>
      </c>
      <c r="D354" s="75" t="s">
        <v>236</v>
      </c>
      <c r="E354" s="75" t="s">
        <v>490</v>
      </c>
      <c r="F354" s="75" t="s">
        <v>411</v>
      </c>
      <c r="G354" s="76">
        <v>0</v>
      </c>
      <c r="H354" s="76">
        <v>0</v>
      </c>
      <c r="I354" s="76">
        <v>0</v>
      </c>
    </row>
    <row r="355" spans="1:12">
      <c r="A355" s="66" t="s">
        <v>491</v>
      </c>
      <c r="B355" s="199">
        <v>951</v>
      </c>
      <c r="C355" s="199" t="s">
        <v>257</v>
      </c>
      <c r="D355" s="199" t="s">
        <v>204</v>
      </c>
      <c r="E355" s="199" t="s">
        <v>205</v>
      </c>
      <c r="F355" s="199" t="s">
        <v>206</v>
      </c>
      <c r="G355" s="68">
        <f>G367+G401+G397+G392</f>
        <v>29620.089619999999</v>
      </c>
      <c r="H355" s="68">
        <f t="shared" ref="H355:I355" si="89">H367+H401+H397+H392</f>
        <v>27413.674010101011</v>
      </c>
      <c r="I355" s="68">
        <f t="shared" si="89"/>
        <v>33438.965666666663</v>
      </c>
      <c r="J355" s="184"/>
      <c r="K355" s="184"/>
      <c r="L355" s="184"/>
    </row>
    <row r="356" spans="1:12" hidden="1">
      <c r="A356" s="70" t="s">
        <v>883</v>
      </c>
      <c r="B356" s="130">
        <v>951</v>
      </c>
      <c r="C356" s="71" t="s">
        <v>257</v>
      </c>
      <c r="D356" s="71" t="s">
        <v>208</v>
      </c>
      <c r="E356" s="130" t="s">
        <v>205</v>
      </c>
      <c r="F356" s="130" t="s">
        <v>206</v>
      </c>
      <c r="G356" s="72">
        <f>G357</f>
        <v>0</v>
      </c>
      <c r="H356" s="72">
        <f>H357</f>
        <v>0</v>
      </c>
      <c r="I356" s="72">
        <f>I357</f>
        <v>0</v>
      </c>
    </row>
    <row r="357" spans="1:12" ht="31.5" hidden="1">
      <c r="A357" s="134" t="s">
        <v>544</v>
      </c>
      <c r="B357" s="130">
        <v>951</v>
      </c>
      <c r="C357" s="71" t="s">
        <v>257</v>
      </c>
      <c r="D357" s="71" t="s">
        <v>208</v>
      </c>
      <c r="E357" s="71" t="s">
        <v>545</v>
      </c>
      <c r="F357" s="71" t="s">
        <v>206</v>
      </c>
      <c r="G357" s="72">
        <f>G358+G361</f>
        <v>0</v>
      </c>
      <c r="H357" s="72">
        <f>H358+H361</f>
        <v>0</v>
      </c>
      <c r="I357" s="72">
        <f>I358+I361</f>
        <v>0</v>
      </c>
    </row>
    <row r="358" spans="1:12" ht="31.5" hidden="1">
      <c r="A358" s="70" t="s">
        <v>552</v>
      </c>
      <c r="B358" s="130" t="s">
        <v>864</v>
      </c>
      <c r="C358" s="71" t="s">
        <v>257</v>
      </c>
      <c r="D358" s="71" t="s">
        <v>208</v>
      </c>
      <c r="E358" s="71" t="s">
        <v>547</v>
      </c>
      <c r="F358" s="71" t="s">
        <v>206</v>
      </c>
      <c r="G358" s="72">
        <f t="shared" ref="G358:I365" si="90">G359</f>
        <v>0</v>
      </c>
      <c r="H358" s="72">
        <f t="shared" si="90"/>
        <v>0</v>
      </c>
      <c r="I358" s="72">
        <f t="shared" si="90"/>
        <v>0</v>
      </c>
    </row>
    <row r="359" spans="1:12" ht="47.25" hidden="1">
      <c r="A359" s="70" t="s">
        <v>284</v>
      </c>
      <c r="B359" s="130" t="s">
        <v>864</v>
      </c>
      <c r="C359" s="71" t="s">
        <v>257</v>
      </c>
      <c r="D359" s="71" t="s">
        <v>208</v>
      </c>
      <c r="E359" s="71" t="s">
        <v>547</v>
      </c>
      <c r="F359" s="71" t="s">
        <v>283</v>
      </c>
      <c r="G359" s="72">
        <f t="shared" si="90"/>
        <v>0</v>
      </c>
      <c r="H359" s="72">
        <f t="shared" si="90"/>
        <v>0</v>
      </c>
      <c r="I359" s="72">
        <f t="shared" si="90"/>
        <v>0</v>
      </c>
    </row>
    <row r="360" spans="1:12" hidden="1">
      <c r="A360" s="70" t="s">
        <v>497</v>
      </c>
      <c r="B360" s="130" t="s">
        <v>864</v>
      </c>
      <c r="C360" s="71" t="s">
        <v>257</v>
      </c>
      <c r="D360" s="71" t="s">
        <v>208</v>
      </c>
      <c r="E360" s="71" t="s">
        <v>553</v>
      </c>
      <c r="F360" s="71" t="s">
        <v>499</v>
      </c>
      <c r="G360" s="72"/>
      <c r="H360" s="72"/>
      <c r="I360" s="72"/>
    </row>
    <row r="361" spans="1:12" ht="31.5" hidden="1">
      <c r="A361" s="70" t="s">
        <v>554</v>
      </c>
      <c r="B361" s="130" t="s">
        <v>864</v>
      </c>
      <c r="C361" s="71" t="s">
        <v>257</v>
      </c>
      <c r="D361" s="71" t="s">
        <v>208</v>
      </c>
      <c r="E361" s="71" t="s">
        <v>547</v>
      </c>
      <c r="F361" s="71" t="s">
        <v>206</v>
      </c>
      <c r="G361" s="72">
        <f t="shared" si="90"/>
        <v>0</v>
      </c>
      <c r="H361" s="72">
        <f t="shared" si="90"/>
        <v>0</v>
      </c>
      <c r="I361" s="72">
        <f t="shared" si="90"/>
        <v>0</v>
      </c>
    </row>
    <row r="362" spans="1:12" ht="47.25" hidden="1">
      <c r="A362" s="70" t="s">
        <v>284</v>
      </c>
      <c r="B362" s="130" t="s">
        <v>864</v>
      </c>
      <c r="C362" s="71" t="s">
        <v>257</v>
      </c>
      <c r="D362" s="71" t="s">
        <v>208</v>
      </c>
      <c r="E362" s="71" t="s">
        <v>547</v>
      </c>
      <c r="F362" s="71" t="s">
        <v>283</v>
      </c>
      <c r="G362" s="72">
        <f t="shared" si="90"/>
        <v>0</v>
      </c>
      <c r="H362" s="72">
        <f t="shared" si="90"/>
        <v>0</v>
      </c>
      <c r="I362" s="72">
        <f t="shared" si="90"/>
        <v>0</v>
      </c>
    </row>
    <row r="363" spans="1:12" hidden="1">
      <c r="A363" s="70" t="s">
        <v>497</v>
      </c>
      <c r="B363" s="130">
        <v>951</v>
      </c>
      <c r="C363" s="71" t="s">
        <v>257</v>
      </c>
      <c r="D363" s="71" t="s">
        <v>208</v>
      </c>
      <c r="E363" s="71" t="s">
        <v>555</v>
      </c>
      <c r="F363" s="71" t="s">
        <v>499</v>
      </c>
      <c r="G363" s="72"/>
      <c r="H363" s="72"/>
      <c r="I363" s="72"/>
    </row>
    <row r="364" spans="1:12" ht="63" hidden="1">
      <c r="A364" s="132" t="s">
        <v>884</v>
      </c>
      <c r="B364" s="130" t="s">
        <v>864</v>
      </c>
      <c r="C364" s="71" t="s">
        <v>257</v>
      </c>
      <c r="D364" s="71" t="s">
        <v>257</v>
      </c>
      <c r="E364" s="71" t="s">
        <v>406</v>
      </c>
      <c r="F364" s="71" t="s">
        <v>206</v>
      </c>
      <c r="G364" s="72">
        <f t="shared" si="90"/>
        <v>0</v>
      </c>
      <c r="H364" s="72">
        <f t="shared" si="90"/>
        <v>0</v>
      </c>
      <c r="I364" s="72">
        <f t="shared" si="90"/>
        <v>0</v>
      </c>
    </row>
    <row r="365" spans="1:12" ht="31.5" hidden="1">
      <c r="A365" s="70" t="s">
        <v>223</v>
      </c>
      <c r="B365" s="130" t="s">
        <v>864</v>
      </c>
      <c r="C365" s="71" t="s">
        <v>257</v>
      </c>
      <c r="D365" s="71" t="s">
        <v>257</v>
      </c>
      <c r="E365" s="71" t="s">
        <v>885</v>
      </c>
      <c r="F365" s="71" t="s">
        <v>224</v>
      </c>
      <c r="G365" s="72">
        <f t="shared" si="90"/>
        <v>0</v>
      </c>
      <c r="H365" s="72">
        <f t="shared" si="90"/>
        <v>0</v>
      </c>
      <c r="I365" s="72">
        <f t="shared" si="90"/>
        <v>0</v>
      </c>
    </row>
    <row r="366" spans="1:12" ht="47.25" hidden="1">
      <c r="A366" s="70" t="s">
        <v>225</v>
      </c>
      <c r="B366" s="130" t="s">
        <v>864</v>
      </c>
      <c r="C366" s="71" t="s">
        <v>257</v>
      </c>
      <c r="D366" s="71" t="s">
        <v>257</v>
      </c>
      <c r="E366" s="71" t="s">
        <v>885</v>
      </c>
      <c r="F366" s="71" t="s">
        <v>226</v>
      </c>
      <c r="G366" s="72"/>
      <c r="H366" s="72"/>
      <c r="I366" s="72"/>
    </row>
    <row r="367" spans="1:12" ht="18.75" customHeight="1">
      <c r="A367" s="206" t="s">
        <v>573</v>
      </c>
      <c r="B367" s="207" t="s">
        <v>864</v>
      </c>
      <c r="C367" s="208" t="s">
        <v>257</v>
      </c>
      <c r="D367" s="208" t="s">
        <v>220</v>
      </c>
      <c r="E367" s="208" t="s">
        <v>205</v>
      </c>
      <c r="F367" s="208" t="s">
        <v>206</v>
      </c>
      <c r="G367" s="209">
        <f>G373+G376+G388+G390+G380+G383</f>
        <v>29276.089619999999</v>
      </c>
      <c r="H367" s="209">
        <f t="shared" ref="H367:I367" si="91">H373+H376+H388+H390+H380+H383</f>
        <v>27139.674010101011</v>
      </c>
      <c r="I367" s="209">
        <f t="shared" si="91"/>
        <v>33114.965666666663</v>
      </c>
      <c r="J367" s="184"/>
      <c r="K367" s="184"/>
      <c r="L367" s="184"/>
    </row>
    <row r="368" spans="1:12" ht="51" customHeight="1">
      <c r="A368" s="132" t="s">
        <v>591</v>
      </c>
      <c r="B368" s="213" t="s">
        <v>864</v>
      </c>
      <c r="C368" s="127" t="s">
        <v>257</v>
      </c>
      <c r="D368" s="127" t="s">
        <v>220</v>
      </c>
      <c r="E368" s="127" t="s">
        <v>205</v>
      </c>
      <c r="F368" s="127" t="s">
        <v>206</v>
      </c>
      <c r="G368" s="129">
        <f>G369+G379+G386</f>
        <v>29276.089619999999</v>
      </c>
      <c r="H368" s="129">
        <f t="shared" ref="H368:I368" si="92">H369+H379+H386</f>
        <v>27139.674010101011</v>
      </c>
      <c r="I368" s="129">
        <f t="shared" si="92"/>
        <v>33114.965666666663</v>
      </c>
    </row>
    <row r="369" spans="1:9" ht="57" customHeight="1">
      <c r="A369" s="108" t="s">
        <v>593</v>
      </c>
      <c r="B369" s="98" t="s">
        <v>864</v>
      </c>
      <c r="C369" s="75" t="s">
        <v>257</v>
      </c>
      <c r="D369" s="75" t="s">
        <v>220</v>
      </c>
      <c r="E369" s="75" t="s">
        <v>592</v>
      </c>
      <c r="F369" s="75" t="s">
        <v>206</v>
      </c>
      <c r="G369" s="76">
        <f>G374+G377</f>
        <v>25210</v>
      </c>
      <c r="H369" s="76">
        <f>H370+H373+H376</f>
        <v>26129.573</v>
      </c>
      <c r="I369" s="76">
        <f>I370+I373+I376</f>
        <v>25924.976999999999</v>
      </c>
    </row>
    <row r="370" spans="1:9" ht="47.25" hidden="1">
      <c r="A370" s="74" t="s">
        <v>574</v>
      </c>
      <c r="B370" s="98" t="s">
        <v>864</v>
      </c>
      <c r="C370" s="75" t="s">
        <v>257</v>
      </c>
      <c r="D370" s="75" t="s">
        <v>220</v>
      </c>
      <c r="E370" s="75" t="s">
        <v>592</v>
      </c>
      <c r="F370" s="75" t="s">
        <v>206</v>
      </c>
      <c r="G370" s="76">
        <f t="shared" ref="G370:I374" si="93">G371</f>
        <v>0</v>
      </c>
      <c r="H370" s="76">
        <f t="shared" si="93"/>
        <v>0</v>
      </c>
      <c r="I370" s="76">
        <f t="shared" si="93"/>
        <v>0</v>
      </c>
    </row>
    <row r="371" spans="1:9" ht="47.25" hidden="1">
      <c r="A371" s="74" t="s">
        <v>284</v>
      </c>
      <c r="B371" s="98" t="s">
        <v>864</v>
      </c>
      <c r="C371" s="75" t="s">
        <v>257</v>
      </c>
      <c r="D371" s="75" t="s">
        <v>220</v>
      </c>
      <c r="E371" s="75" t="s">
        <v>592</v>
      </c>
      <c r="F371" s="75" t="s">
        <v>283</v>
      </c>
      <c r="G371" s="76">
        <f t="shared" si="93"/>
        <v>0</v>
      </c>
      <c r="H371" s="76">
        <f t="shared" si="93"/>
        <v>0</v>
      </c>
      <c r="I371" s="76">
        <f t="shared" si="93"/>
        <v>0</v>
      </c>
    </row>
    <row r="372" spans="1:9" hidden="1">
      <c r="A372" s="74" t="s">
        <v>497</v>
      </c>
      <c r="B372" s="98" t="s">
        <v>864</v>
      </c>
      <c r="C372" s="75" t="s">
        <v>257</v>
      </c>
      <c r="D372" s="75" t="s">
        <v>220</v>
      </c>
      <c r="E372" s="75" t="s">
        <v>592</v>
      </c>
      <c r="F372" s="75" t="s">
        <v>499</v>
      </c>
      <c r="G372" s="76"/>
      <c r="H372" s="76"/>
      <c r="I372" s="76"/>
    </row>
    <row r="373" spans="1:9" ht="32.25" customHeight="1">
      <c r="A373" s="74" t="s">
        <v>886</v>
      </c>
      <c r="B373" s="98" t="s">
        <v>864</v>
      </c>
      <c r="C373" s="75" t="s">
        <v>257</v>
      </c>
      <c r="D373" s="75" t="s">
        <v>220</v>
      </c>
      <c r="E373" s="75" t="s">
        <v>595</v>
      </c>
      <c r="F373" s="75" t="s">
        <v>206</v>
      </c>
      <c r="G373" s="76">
        <f t="shared" si="93"/>
        <v>17820</v>
      </c>
      <c r="H373" s="76">
        <f t="shared" si="93"/>
        <v>17917.303</v>
      </c>
      <c r="I373" s="76">
        <f t="shared" si="93"/>
        <v>17141.844000000001</v>
      </c>
    </row>
    <row r="374" spans="1:9" ht="48" customHeight="1">
      <c r="A374" s="74" t="s">
        <v>284</v>
      </c>
      <c r="B374" s="98" t="s">
        <v>864</v>
      </c>
      <c r="C374" s="75" t="s">
        <v>257</v>
      </c>
      <c r="D374" s="75" t="s">
        <v>220</v>
      </c>
      <c r="E374" s="75" t="s">
        <v>595</v>
      </c>
      <c r="F374" s="75" t="s">
        <v>283</v>
      </c>
      <c r="G374" s="76">
        <f t="shared" si="93"/>
        <v>17820</v>
      </c>
      <c r="H374" s="76">
        <f t="shared" si="93"/>
        <v>17917.303</v>
      </c>
      <c r="I374" s="76">
        <f t="shared" si="93"/>
        <v>17141.844000000001</v>
      </c>
    </row>
    <row r="375" spans="1:9" ht="21" customHeight="1">
      <c r="A375" s="74" t="s">
        <v>497</v>
      </c>
      <c r="B375" s="98" t="s">
        <v>864</v>
      </c>
      <c r="C375" s="75" t="s">
        <v>257</v>
      </c>
      <c r="D375" s="75" t="s">
        <v>220</v>
      </c>
      <c r="E375" s="75" t="s">
        <v>595</v>
      </c>
      <c r="F375" s="75" t="s">
        <v>499</v>
      </c>
      <c r="G375" s="76">
        <f>'5'!D192</f>
        <v>17820</v>
      </c>
      <c r="H375" s="76">
        <f>'5'!E192</f>
        <v>17917.303</v>
      </c>
      <c r="I375" s="76">
        <f>'5'!F192</f>
        <v>17141.844000000001</v>
      </c>
    </row>
    <row r="376" spans="1:9" ht="33" customHeight="1">
      <c r="A376" s="74" t="s">
        <v>887</v>
      </c>
      <c r="B376" s="98" t="s">
        <v>864</v>
      </c>
      <c r="C376" s="75" t="s">
        <v>257</v>
      </c>
      <c r="D376" s="75" t="s">
        <v>220</v>
      </c>
      <c r="E376" s="75" t="s">
        <v>597</v>
      </c>
      <c r="F376" s="75" t="s">
        <v>206</v>
      </c>
      <c r="G376" s="76">
        <f t="shared" ref="G376:I377" si="94">G377</f>
        <v>7390</v>
      </c>
      <c r="H376" s="76">
        <f t="shared" si="94"/>
        <v>8212.27</v>
      </c>
      <c r="I376" s="76">
        <f t="shared" si="94"/>
        <v>8783.1329999999998</v>
      </c>
    </row>
    <row r="377" spans="1:9" ht="48" customHeight="1">
      <c r="A377" s="74" t="s">
        <v>284</v>
      </c>
      <c r="B377" s="98" t="s">
        <v>864</v>
      </c>
      <c r="C377" s="75" t="s">
        <v>257</v>
      </c>
      <c r="D377" s="75" t="s">
        <v>220</v>
      </c>
      <c r="E377" s="75" t="s">
        <v>597</v>
      </c>
      <c r="F377" s="75" t="s">
        <v>283</v>
      </c>
      <c r="G377" s="76">
        <f t="shared" si="94"/>
        <v>7390</v>
      </c>
      <c r="H377" s="76">
        <f t="shared" si="94"/>
        <v>8212.27</v>
      </c>
      <c r="I377" s="76">
        <f t="shared" si="94"/>
        <v>8783.1329999999998</v>
      </c>
    </row>
    <row r="378" spans="1:9" ht="17.25" customHeight="1">
      <c r="A378" s="74" t="s">
        <v>497</v>
      </c>
      <c r="B378" s="98" t="s">
        <v>864</v>
      </c>
      <c r="C378" s="75" t="s">
        <v>257</v>
      </c>
      <c r="D378" s="75" t="s">
        <v>220</v>
      </c>
      <c r="E378" s="75" t="s">
        <v>597</v>
      </c>
      <c r="F378" s="75" t="s">
        <v>499</v>
      </c>
      <c r="G378" s="76">
        <f>'5'!D194</f>
        <v>7390</v>
      </c>
      <c r="H378" s="76">
        <f>'5'!E194</f>
        <v>8212.27</v>
      </c>
      <c r="I378" s="76">
        <f>'5'!F194</f>
        <v>8783.1329999999998</v>
      </c>
    </row>
    <row r="379" spans="1:9" ht="116.25" customHeight="1">
      <c r="A379" s="104" t="s">
        <v>605</v>
      </c>
      <c r="B379" s="98" t="s">
        <v>864</v>
      </c>
      <c r="C379" s="75" t="s">
        <v>257</v>
      </c>
      <c r="D379" s="75" t="s">
        <v>220</v>
      </c>
      <c r="E379" s="105" t="s">
        <v>606</v>
      </c>
      <c r="F379" s="105" t="s">
        <v>206</v>
      </c>
      <c r="G379" s="106">
        <f>G380+G383</f>
        <v>3055.9886099999999</v>
      </c>
      <c r="H379" s="106">
        <f t="shared" ref="H379:I379" si="95">H380+H383</f>
        <v>0</v>
      </c>
      <c r="I379" s="106">
        <f t="shared" si="95"/>
        <v>6179.8876565656565</v>
      </c>
    </row>
    <row r="380" spans="1:9" ht="104.25" customHeight="1">
      <c r="A380" s="74" t="s">
        <v>607</v>
      </c>
      <c r="B380" s="98" t="s">
        <v>864</v>
      </c>
      <c r="C380" s="75" t="s">
        <v>257</v>
      </c>
      <c r="D380" s="75" t="s">
        <v>220</v>
      </c>
      <c r="E380" s="75" t="s">
        <v>608</v>
      </c>
      <c r="F380" s="75" t="s">
        <v>206</v>
      </c>
      <c r="G380" s="76">
        <f t="shared" ref="G380:G381" si="96">G381</f>
        <v>3025.4287199999999</v>
      </c>
      <c r="H380" s="76">
        <f t="shared" ref="H380:I381" si="97">H381</f>
        <v>0</v>
      </c>
      <c r="I380" s="76">
        <f t="shared" si="97"/>
        <v>6118.08878</v>
      </c>
    </row>
    <row r="381" spans="1:9" ht="47.25">
      <c r="A381" s="74" t="s">
        <v>284</v>
      </c>
      <c r="B381" s="98" t="s">
        <v>864</v>
      </c>
      <c r="C381" s="75" t="s">
        <v>257</v>
      </c>
      <c r="D381" s="75" t="s">
        <v>220</v>
      </c>
      <c r="E381" s="75" t="s">
        <v>608</v>
      </c>
      <c r="F381" s="75" t="s">
        <v>283</v>
      </c>
      <c r="G381" s="76">
        <f t="shared" si="96"/>
        <v>3025.4287199999999</v>
      </c>
      <c r="H381" s="76">
        <f t="shared" si="97"/>
        <v>0</v>
      </c>
      <c r="I381" s="76">
        <f t="shared" si="97"/>
        <v>6118.08878</v>
      </c>
    </row>
    <row r="382" spans="1:9">
      <c r="A382" s="74" t="s">
        <v>497</v>
      </c>
      <c r="B382" s="98" t="s">
        <v>864</v>
      </c>
      <c r="C382" s="75" t="s">
        <v>257</v>
      </c>
      <c r="D382" s="75" t="s">
        <v>220</v>
      </c>
      <c r="E382" s="75" t="s">
        <v>608</v>
      </c>
      <c r="F382" s="75" t="s">
        <v>499</v>
      </c>
      <c r="G382" s="76">
        <f>'3'!F572</f>
        <v>3025.4287199999999</v>
      </c>
      <c r="H382" s="76">
        <f>'3'!G572</f>
        <v>0</v>
      </c>
      <c r="I382" s="76">
        <f>'3'!H572</f>
        <v>6118.08878</v>
      </c>
    </row>
    <row r="383" spans="1:9" ht="131.25" customHeight="1">
      <c r="A383" s="74" t="s">
        <v>610</v>
      </c>
      <c r="B383" s="98" t="s">
        <v>864</v>
      </c>
      <c r="C383" s="75" t="s">
        <v>257</v>
      </c>
      <c r="D383" s="75" t="s">
        <v>220</v>
      </c>
      <c r="E383" s="75" t="s">
        <v>608</v>
      </c>
      <c r="F383" s="75" t="s">
        <v>206</v>
      </c>
      <c r="G383" s="76">
        <f t="shared" ref="G383:G384" si="98">G384</f>
        <v>30.559889999999999</v>
      </c>
      <c r="H383" s="76">
        <f t="shared" ref="H383:I384" si="99">H384</f>
        <v>0</v>
      </c>
      <c r="I383" s="76">
        <f t="shared" si="99"/>
        <v>61.798876565656563</v>
      </c>
    </row>
    <row r="384" spans="1:9" ht="47.25">
      <c r="A384" s="74" t="s">
        <v>284</v>
      </c>
      <c r="B384" s="98" t="s">
        <v>864</v>
      </c>
      <c r="C384" s="75" t="s">
        <v>257</v>
      </c>
      <c r="D384" s="75" t="s">
        <v>220</v>
      </c>
      <c r="E384" s="75" t="s">
        <v>608</v>
      </c>
      <c r="F384" s="75" t="s">
        <v>283</v>
      </c>
      <c r="G384" s="76">
        <f t="shared" si="98"/>
        <v>30.559889999999999</v>
      </c>
      <c r="H384" s="76">
        <f t="shared" si="99"/>
        <v>0</v>
      </c>
      <c r="I384" s="76">
        <f t="shared" si="99"/>
        <v>61.798876565656563</v>
      </c>
    </row>
    <row r="385" spans="1:9">
      <c r="A385" s="74" t="s">
        <v>497</v>
      </c>
      <c r="B385" s="98" t="s">
        <v>864</v>
      </c>
      <c r="C385" s="75" t="s">
        <v>257</v>
      </c>
      <c r="D385" s="75" t="s">
        <v>220</v>
      </c>
      <c r="E385" s="75" t="s">
        <v>608</v>
      </c>
      <c r="F385" s="75" t="s">
        <v>499</v>
      </c>
      <c r="G385" s="76">
        <f>'3'!F575</f>
        <v>30.559889999999999</v>
      </c>
      <c r="H385" s="76">
        <f>'3'!G575</f>
        <v>0</v>
      </c>
      <c r="I385" s="76">
        <f>'3'!H575</f>
        <v>61.798876565656563</v>
      </c>
    </row>
    <row r="386" spans="1:9" ht="54" customHeight="1">
      <c r="A386" s="78" t="s">
        <v>888</v>
      </c>
      <c r="B386" s="98" t="s">
        <v>864</v>
      </c>
      <c r="C386" s="75" t="s">
        <v>257</v>
      </c>
      <c r="D386" s="75" t="s">
        <v>220</v>
      </c>
      <c r="E386" s="79" t="s">
        <v>205</v>
      </c>
      <c r="F386" s="79" t="s">
        <v>206</v>
      </c>
      <c r="G386" s="80">
        <f>G387</f>
        <v>1010.10101</v>
      </c>
      <c r="H386" s="80">
        <f>H387</f>
        <v>1010.10101010101</v>
      </c>
      <c r="I386" s="80">
        <f>I387</f>
        <v>1010.10101010101</v>
      </c>
    </row>
    <row r="387" spans="1:9" ht="85.5" customHeight="1">
      <c r="A387" s="104" t="s">
        <v>600</v>
      </c>
      <c r="B387" s="139" t="s">
        <v>864</v>
      </c>
      <c r="C387" s="105" t="s">
        <v>257</v>
      </c>
      <c r="D387" s="105" t="s">
        <v>220</v>
      </c>
      <c r="E387" s="105" t="s">
        <v>205</v>
      </c>
      <c r="F387" s="105" t="s">
        <v>206</v>
      </c>
      <c r="G387" s="106">
        <f>G388+G390</f>
        <v>1010.10101</v>
      </c>
      <c r="H387" s="106">
        <f>H388+H390</f>
        <v>1010.10101010101</v>
      </c>
      <c r="I387" s="106">
        <f>I388+I390</f>
        <v>1010.10101010101</v>
      </c>
    </row>
    <row r="388" spans="1:9" ht="110.25">
      <c r="A388" s="74" t="s">
        <v>889</v>
      </c>
      <c r="B388" s="98" t="s">
        <v>864</v>
      </c>
      <c r="C388" s="75" t="s">
        <v>257</v>
      </c>
      <c r="D388" s="75" t="s">
        <v>220</v>
      </c>
      <c r="E388" s="75" t="s">
        <v>602</v>
      </c>
      <c r="F388" s="75" t="s">
        <v>283</v>
      </c>
      <c r="G388" s="76">
        <f>G389</f>
        <v>1000</v>
      </c>
      <c r="H388" s="76">
        <f>H389</f>
        <v>1000</v>
      </c>
      <c r="I388" s="76">
        <f>I389</f>
        <v>1000</v>
      </c>
    </row>
    <row r="389" spans="1:9">
      <c r="A389" s="74" t="s">
        <v>497</v>
      </c>
      <c r="B389" s="98" t="s">
        <v>864</v>
      </c>
      <c r="C389" s="75" t="s">
        <v>257</v>
      </c>
      <c r="D389" s="75" t="s">
        <v>220</v>
      </c>
      <c r="E389" s="75" t="s">
        <v>602</v>
      </c>
      <c r="F389" s="75" t="s">
        <v>499</v>
      </c>
      <c r="G389" s="76">
        <f>'3'!F566</f>
        <v>1000</v>
      </c>
      <c r="H389" s="76">
        <f>'3'!G566</f>
        <v>1000</v>
      </c>
      <c r="I389" s="76">
        <f>'3'!H566</f>
        <v>1000</v>
      </c>
    </row>
    <row r="390" spans="1:9" ht="147.75" customHeight="1">
      <c r="A390" s="74" t="s">
        <v>890</v>
      </c>
      <c r="B390" s="98" t="s">
        <v>864</v>
      </c>
      <c r="C390" s="75" t="s">
        <v>257</v>
      </c>
      <c r="D390" s="75" t="s">
        <v>220</v>
      </c>
      <c r="E390" s="75" t="s">
        <v>604</v>
      </c>
      <c r="F390" s="75" t="s">
        <v>283</v>
      </c>
      <c r="G390" s="76">
        <f>G391</f>
        <v>10.10101</v>
      </c>
      <c r="H390" s="76">
        <f>H391</f>
        <v>10.1010101010101</v>
      </c>
      <c r="I390" s="76">
        <f>I391</f>
        <v>10.1010101010101</v>
      </c>
    </row>
    <row r="391" spans="1:9">
      <c r="A391" s="74" t="s">
        <v>497</v>
      </c>
      <c r="B391" s="98" t="s">
        <v>864</v>
      </c>
      <c r="C391" s="75" t="s">
        <v>257</v>
      </c>
      <c r="D391" s="75" t="s">
        <v>220</v>
      </c>
      <c r="E391" s="75" t="s">
        <v>604</v>
      </c>
      <c r="F391" s="75" t="s">
        <v>499</v>
      </c>
      <c r="G391" s="76">
        <f>'5'!D186</f>
        <v>10.10101</v>
      </c>
      <c r="H391" s="76">
        <f>'5'!E186</f>
        <v>10.1010101010101</v>
      </c>
      <c r="I391" s="76">
        <f>'5'!F186</f>
        <v>10.1010101010101</v>
      </c>
    </row>
    <row r="392" spans="1:9" s="211" customFormat="1" ht="47.25">
      <c r="A392" s="132" t="s">
        <v>574</v>
      </c>
      <c r="B392" s="213" t="s">
        <v>864</v>
      </c>
      <c r="C392" s="127" t="s">
        <v>257</v>
      </c>
      <c r="D392" s="127" t="s">
        <v>220</v>
      </c>
      <c r="E392" s="127" t="s">
        <v>598</v>
      </c>
      <c r="F392" s="127" t="s">
        <v>283</v>
      </c>
      <c r="G392" s="129">
        <f>G393</f>
        <v>40</v>
      </c>
      <c r="H392" s="129">
        <f>H393</f>
        <v>0</v>
      </c>
      <c r="I392" s="129">
        <f>I393</f>
        <v>0</v>
      </c>
    </row>
    <row r="393" spans="1:9" ht="47.25">
      <c r="A393" s="70" t="s">
        <v>891</v>
      </c>
      <c r="B393" s="130" t="s">
        <v>864</v>
      </c>
      <c r="C393" s="71" t="s">
        <v>257</v>
      </c>
      <c r="D393" s="71" t="s">
        <v>220</v>
      </c>
      <c r="E393" s="75" t="s">
        <v>598</v>
      </c>
      <c r="F393" s="75" t="s">
        <v>499</v>
      </c>
      <c r="G393" s="76">
        <v>40</v>
      </c>
      <c r="H393" s="76">
        <v>0</v>
      </c>
      <c r="I393" s="76">
        <v>0</v>
      </c>
    </row>
    <row r="394" spans="1:9" s="211" customFormat="1" ht="94.5" hidden="1">
      <c r="A394" s="132" t="s">
        <v>892</v>
      </c>
      <c r="B394" s="130" t="s">
        <v>864</v>
      </c>
      <c r="C394" s="71" t="s">
        <v>257</v>
      </c>
      <c r="D394" s="71" t="s">
        <v>220</v>
      </c>
      <c r="E394" s="75" t="s">
        <v>893</v>
      </c>
      <c r="F394" s="79" t="s">
        <v>206</v>
      </c>
      <c r="G394" s="80">
        <f t="shared" ref="G394:I399" si="100">G395</f>
        <v>0</v>
      </c>
      <c r="H394" s="80">
        <f t="shared" si="100"/>
        <v>0</v>
      </c>
      <c r="I394" s="80">
        <f t="shared" si="100"/>
        <v>0</v>
      </c>
    </row>
    <row r="395" spans="1:9" ht="31.5" hidden="1">
      <c r="A395" s="70" t="s">
        <v>894</v>
      </c>
      <c r="B395" s="130" t="s">
        <v>864</v>
      </c>
      <c r="C395" s="71" t="s">
        <v>257</v>
      </c>
      <c r="D395" s="71" t="s">
        <v>220</v>
      </c>
      <c r="E395" s="75" t="s">
        <v>893</v>
      </c>
      <c r="F395" s="75" t="s">
        <v>283</v>
      </c>
      <c r="G395" s="76">
        <f t="shared" si="100"/>
        <v>0</v>
      </c>
      <c r="H395" s="72">
        <f t="shared" si="100"/>
        <v>0</v>
      </c>
      <c r="I395" s="72">
        <f t="shared" si="100"/>
        <v>0</v>
      </c>
    </row>
    <row r="396" spans="1:9" ht="31.5" hidden="1">
      <c r="A396" s="70" t="s">
        <v>895</v>
      </c>
      <c r="B396" s="130" t="s">
        <v>864</v>
      </c>
      <c r="C396" s="71" t="s">
        <v>257</v>
      </c>
      <c r="D396" s="71" t="s">
        <v>220</v>
      </c>
      <c r="E396" s="75" t="s">
        <v>893</v>
      </c>
      <c r="F396" s="75" t="s">
        <v>499</v>
      </c>
      <c r="G396" s="76">
        <v>0</v>
      </c>
      <c r="H396" s="72">
        <v>0</v>
      </c>
      <c r="I396" s="72">
        <v>0</v>
      </c>
    </row>
    <row r="397" spans="1:9" s="210" customFormat="1" ht="47.25">
      <c r="A397" s="214" t="s">
        <v>896</v>
      </c>
      <c r="B397" s="215" t="s">
        <v>864</v>
      </c>
      <c r="C397" s="87" t="s">
        <v>257</v>
      </c>
      <c r="D397" s="87" t="s">
        <v>236</v>
      </c>
      <c r="E397" s="87" t="s">
        <v>212</v>
      </c>
      <c r="F397" s="87" t="s">
        <v>206</v>
      </c>
      <c r="G397" s="88">
        <f t="shared" si="100"/>
        <v>105</v>
      </c>
      <c r="H397" s="88">
        <f t="shared" ref="H397:I399" si="101">H398</f>
        <v>25</v>
      </c>
      <c r="I397" s="88">
        <f t="shared" si="101"/>
        <v>25</v>
      </c>
    </row>
    <row r="398" spans="1:9" ht="63">
      <c r="A398" s="78" t="s">
        <v>622</v>
      </c>
      <c r="B398" s="128" t="s">
        <v>864</v>
      </c>
      <c r="C398" s="79" t="s">
        <v>257</v>
      </c>
      <c r="D398" s="79" t="s">
        <v>236</v>
      </c>
      <c r="E398" s="79" t="s">
        <v>623</v>
      </c>
      <c r="F398" s="79" t="s">
        <v>206</v>
      </c>
      <c r="G398" s="80">
        <f t="shared" si="100"/>
        <v>105</v>
      </c>
      <c r="H398" s="80">
        <f t="shared" si="101"/>
        <v>25</v>
      </c>
      <c r="I398" s="80">
        <f t="shared" si="101"/>
        <v>25</v>
      </c>
    </row>
    <row r="399" spans="1:9" ht="31.5">
      <c r="A399" s="74" t="s">
        <v>223</v>
      </c>
      <c r="B399" s="98" t="s">
        <v>864</v>
      </c>
      <c r="C399" s="75" t="s">
        <v>257</v>
      </c>
      <c r="D399" s="75" t="s">
        <v>236</v>
      </c>
      <c r="E399" s="75" t="s">
        <v>623</v>
      </c>
      <c r="F399" s="75" t="s">
        <v>224</v>
      </c>
      <c r="G399" s="76">
        <f t="shared" si="100"/>
        <v>105</v>
      </c>
      <c r="H399" s="76">
        <f t="shared" si="101"/>
        <v>25</v>
      </c>
      <c r="I399" s="76">
        <f t="shared" si="101"/>
        <v>25</v>
      </c>
    </row>
    <row r="400" spans="1:9" ht="47.25">
      <c r="A400" s="74" t="s">
        <v>225</v>
      </c>
      <c r="B400" s="98" t="s">
        <v>864</v>
      </c>
      <c r="C400" s="75" t="s">
        <v>257</v>
      </c>
      <c r="D400" s="75" t="s">
        <v>236</v>
      </c>
      <c r="E400" s="75" t="s">
        <v>623</v>
      </c>
      <c r="F400" s="75" t="s">
        <v>226</v>
      </c>
      <c r="G400" s="76">
        <f>25+80</f>
        <v>105</v>
      </c>
      <c r="H400" s="76">
        <v>25</v>
      </c>
      <c r="I400" s="76">
        <v>25</v>
      </c>
    </row>
    <row r="401" spans="1:9">
      <c r="A401" s="214" t="s">
        <v>636</v>
      </c>
      <c r="B401" s="215" t="s">
        <v>864</v>
      </c>
      <c r="C401" s="87" t="s">
        <v>257</v>
      </c>
      <c r="D401" s="87" t="s">
        <v>353</v>
      </c>
      <c r="E401" s="87" t="s">
        <v>205</v>
      </c>
      <c r="F401" s="87" t="s">
        <v>206</v>
      </c>
      <c r="G401" s="88">
        <f>G402+G409+G413+G406</f>
        <v>199</v>
      </c>
      <c r="H401" s="88">
        <f t="shared" ref="H401:I401" si="102">H402+H409+H413+H406</f>
        <v>249</v>
      </c>
      <c r="I401" s="88">
        <f t="shared" si="102"/>
        <v>299</v>
      </c>
    </row>
    <row r="402" spans="1:9" ht="47.25">
      <c r="A402" s="78" t="s">
        <v>315</v>
      </c>
      <c r="B402" s="128">
        <v>951</v>
      </c>
      <c r="C402" s="79" t="s">
        <v>257</v>
      </c>
      <c r="D402" s="79" t="s">
        <v>353</v>
      </c>
      <c r="E402" s="79" t="s">
        <v>493</v>
      </c>
      <c r="F402" s="79" t="s">
        <v>206</v>
      </c>
      <c r="G402" s="80">
        <f t="shared" ref="G402:G404" si="103">G403</f>
        <v>161</v>
      </c>
      <c r="H402" s="80">
        <f t="shared" ref="H402:I404" si="104">H403</f>
        <v>211</v>
      </c>
      <c r="I402" s="80">
        <f t="shared" si="104"/>
        <v>261</v>
      </c>
    </row>
    <row r="403" spans="1:9" ht="34.9" customHeight="1">
      <c r="A403" s="157" t="s">
        <v>897</v>
      </c>
      <c r="B403" s="128">
        <v>951</v>
      </c>
      <c r="C403" s="79" t="s">
        <v>257</v>
      </c>
      <c r="D403" s="79" t="s">
        <v>353</v>
      </c>
      <c r="E403" s="79" t="s">
        <v>650</v>
      </c>
      <c r="F403" s="79" t="s">
        <v>206</v>
      </c>
      <c r="G403" s="80">
        <f t="shared" si="103"/>
        <v>161</v>
      </c>
      <c r="H403" s="80">
        <f t="shared" si="104"/>
        <v>211</v>
      </c>
      <c r="I403" s="80">
        <f t="shared" si="104"/>
        <v>261</v>
      </c>
    </row>
    <row r="404" spans="1:9" ht="33.75" customHeight="1">
      <c r="A404" s="74" t="s">
        <v>223</v>
      </c>
      <c r="B404" s="98">
        <v>951</v>
      </c>
      <c r="C404" s="75" t="s">
        <v>257</v>
      </c>
      <c r="D404" s="75" t="s">
        <v>353</v>
      </c>
      <c r="E404" s="75" t="s">
        <v>651</v>
      </c>
      <c r="F404" s="75" t="s">
        <v>224</v>
      </c>
      <c r="G404" s="76">
        <f t="shared" si="103"/>
        <v>161</v>
      </c>
      <c r="H404" s="76">
        <f t="shared" si="104"/>
        <v>211</v>
      </c>
      <c r="I404" s="76">
        <f t="shared" si="104"/>
        <v>261</v>
      </c>
    </row>
    <row r="405" spans="1:9" ht="50.25" customHeight="1">
      <c r="A405" s="74" t="s">
        <v>225</v>
      </c>
      <c r="B405" s="98">
        <v>951</v>
      </c>
      <c r="C405" s="75" t="s">
        <v>257</v>
      </c>
      <c r="D405" s="75" t="s">
        <v>353</v>
      </c>
      <c r="E405" s="75" t="s">
        <v>651</v>
      </c>
      <c r="F405" s="75" t="s">
        <v>226</v>
      </c>
      <c r="G405" s="76">
        <f>'5'!D101</f>
        <v>161</v>
      </c>
      <c r="H405" s="76">
        <f>'5'!E101</f>
        <v>211</v>
      </c>
      <c r="I405" s="76">
        <f>'5'!F101</f>
        <v>261</v>
      </c>
    </row>
    <row r="406" spans="1:9" ht="47.25">
      <c r="A406" s="104" t="s">
        <v>637</v>
      </c>
      <c r="B406" s="98" t="s">
        <v>864</v>
      </c>
      <c r="C406" s="75" t="s">
        <v>257</v>
      </c>
      <c r="D406" s="75" t="s">
        <v>353</v>
      </c>
      <c r="E406" s="139" t="s">
        <v>638</v>
      </c>
      <c r="F406" s="105" t="s">
        <v>206</v>
      </c>
      <c r="G406" s="106">
        <f t="shared" ref="G406:G407" si="105">G407</f>
        <v>38</v>
      </c>
      <c r="H406" s="106">
        <f t="shared" ref="H406:I407" si="106">H407</f>
        <v>38</v>
      </c>
      <c r="I406" s="106">
        <f t="shared" si="106"/>
        <v>38</v>
      </c>
    </row>
    <row r="407" spans="1:9" ht="47.25">
      <c r="A407" s="74" t="s">
        <v>284</v>
      </c>
      <c r="B407" s="98" t="s">
        <v>864</v>
      </c>
      <c r="C407" s="75" t="s">
        <v>257</v>
      </c>
      <c r="D407" s="75" t="s">
        <v>353</v>
      </c>
      <c r="E407" s="98" t="s">
        <v>638</v>
      </c>
      <c r="F407" s="75" t="s">
        <v>224</v>
      </c>
      <c r="G407" s="76">
        <f t="shared" si="105"/>
        <v>38</v>
      </c>
      <c r="H407" s="76">
        <f t="shared" si="106"/>
        <v>38</v>
      </c>
      <c r="I407" s="76">
        <f t="shared" si="106"/>
        <v>38</v>
      </c>
    </row>
    <row r="408" spans="1:9">
      <c r="A408" s="74" t="s">
        <v>497</v>
      </c>
      <c r="B408" s="98" t="s">
        <v>864</v>
      </c>
      <c r="C408" s="75" t="s">
        <v>257</v>
      </c>
      <c r="D408" s="75" t="s">
        <v>353</v>
      </c>
      <c r="E408" s="98" t="s">
        <v>638</v>
      </c>
      <c r="F408" s="75" t="s">
        <v>226</v>
      </c>
      <c r="G408" s="76">
        <f>'3'!F622</f>
        <v>38</v>
      </c>
      <c r="H408" s="76">
        <f>'3'!G622</f>
        <v>38</v>
      </c>
      <c r="I408" s="76">
        <f>'3'!H622</f>
        <v>38</v>
      </c>
    </row>
    <row r="409" spans="1:9" s="211" customFormat="1" ht="47.25" hidden="1" customHeight="1">
      <c r="A409" s="132" t="s">
        <v>667</v>
      </c>
      <c r="B409" s="213">
        <v>951</v>
      </c>
      <c r="C409" s="127" t="s">
        <v>257</v>
      </c>
      <c r="D409" s="127" t="s">
        <v>353</v>
      </c>
      <c r="E409" s="127" t="s">
        <v>668</v>
      </c>
      <c r="F409" s="127" t="s">
        <v>206</v>
      </c>
      <c r="G409" s="129">
        <f t="shared" ref="G409:I410" si="107">G410</f>
        <v>0</v>
      </c>
      <c r="H409" s="129">
        <f t="shared" si="107"/>
        <v>0</v>
      </c>
      <c r="I409" s="129">
        <f t="shared" si="107"/>
        <v>0</v>
      </c>
    </row>
    <row r="410" spans="1:9" ht="31.5" hidden="1">
      <c r="A410" s="70" t="s">
        <v>223</v>
      </c>
      <c r="B410" s="213">
        <v>951</v>
      </c>
      <c r="C410" s="71" t="s">
        <v>257</v>
      </c>
      <c r="D410" s="71" t="s">
        <v>353</v>
      </c>
      <c r="E410" s="71" t="s">
        <v>669</v>
      </c>
      <c r="F410" s="71" t="s">
        <v>224</v>
      </c>
      <c r="G410" s="72">
        <f t="shared" si="107"/>
        <v>0</v>
      </c>
      <c r="H410" s="72">
        <f t="shared" si="107"/>
        <v>0</v>
      </c>
      <c r="I410" s="72">
        <f t="shared" si="107"/>
        <v>0</v>
      </c>
    </row>
    <row r="411" spans="1:9" ht="47.25" hidden="1" customHeight="1">
      <c r="A411" s="70" t="s">
        <v>225</v>
      </c>
      <c r="B411" s="213">
        <v>951</v>
      </c>
      <c r="C411" s="71" t="s">
        <v>257</v>
      </c>
      <c r="D411" s="71" t="s">
        <v>353</v>
      </c>
      <c r="E411" s="71" t="s">
        <v>669</v>
      </c>
      <c r="F411" s="71" t="s">
        <v>226</v>
      </c>
      <c r="G411" s="72">
        <f>'5'!D245</f>
        <v>0</v>
      </c>
      <c r="H411" s="72">
        <f>'5'!E245</f>
        <v>0</v>
      </c>
      <c r="I411" s="72">
        <f>'5'!F245</f>
        <v>0</v>
      </c>
    </row>
    <row r="412" spans="1:9" hidden="1">
      <c r="A412" s="70"/>
      <c r="B412" s="130"/>
      <c r="C412" s="71"/>
      <c r="D412" s="71"/>
      <c r="E412" s="71"/>
      <c r="F412" s="71"/>
      <c r="G412" s="72"/>
      <c r="H412" s="72"/>
      <c r="I412" s="72"/>
    </row>
    <row r="413" spans="1:9" ht="47.25" hidden="1" customHeight="1">
      <c r="A413" s="70" t="s">
        <v>209</v>
      </c>
      <c r="B413" s="130">
        <v>951</v>
      </c>
      <c r="C413" s="71" t="s">
        <v>257</v>
      </c>
      <c r="D413" s="71" t="s">
        <v>353</v>
      </c>
      <c r="E413" s="71" t="s">
        <v>210</v>
      </c>
      <c r="F413" s="71" t="s">
        <v>206</v>
      </c>
      <c r="G413" s="72">
        <f>G414</f>
        <v>0</v>
      </c>
      <c r="H413" s="72">
        <f>H414</f>
        <v>0</v>
      </c>
      <c r="I413" s="72">
        <f>I414</f>
        <v>0</v>
      </c>
    </row>
    <row r="414" spans="1:9" ht="47.25" hidden="1" customHeight="1">
      <c r="A414" s="70" t="s">
        <v>211</v>
      </c>
      <c r="B414" s="130">
        <v>951</v>
      </c>
      <c r="C414" s="71" t="s">
        <v>257</v>
      </c>
      <c r="D414" s="71" t="s">
        <v>353</v>
      </c>
      <c r="E414" s="71" t="s">
        <v>212</v>
      </c>
      <c r="F414" s="71" t="s">
        <v>206</v>
      </c>
      <c r="G414" s="72">
        <f>G415+G420</f>
        <v>0</v>
      </c>
      <c r="H414" s="72">
        <f>H415+H420</f>
        <v>0</v>
      </c>
      <c r="I414" s="72">
        <f>I415+I420</f>
        <v>0</v>
      </c>
    </row>
    <row r="415" spans="1:9" ht="47.25" hidden="1">
      <c r="A415" s="70" t="s">
        <v>227</v>
      </c>
      <c r="B415" s="130">
        <v>951</v>
      </c>
      <c r="C415" s="71" t="s">
        <v>257</v>
      </c>
      <c r="D415" s="71" t="s">
        <v>353</v>
      </c>
      <c r="E415" s="71" t="s">
        <v>228</v>
      </c>
      <c r="F415" s="71" t="s">
        <v>206</v>
      </c>
      <c r="G415" s="72">
        <f>G416+G418</f>
        <v>0</v>
      </c>
      <c r="H415" s="72">
        <f>H416+H418</f>
        <v>0</v>
      </c>
      <c r="I415" s="72">
        <f>I416+I418</f>
        <v>0</v>
      </c>
    </row>
    <row r="416" spans="1:9" ht="94.5" hidden="1" customHeight="1">
      <c r="A416" s="70" t="s">
        <v>215</v>
      </c>
      <c r="B416" s="130">
        <v>951</v>
      </c>
      <c r="C416" s="71" t="s">
        <v>257</v>
      </c>
      <c r="D416" s="71" t="s">
        <v>353</v>
      </c>
      <c r="E416" s="71" t="s">
        <v>228</v>
      </c>
      <c r="F416" s="71" t="s">
        <v>216</v>
      </c>
      <c r="G416" s="72">
        <f>G417</f>
        <v>0</v>
      </c>
      <c r="H416" s="72">
        <f>H417</f>
        <v>0</v>
      </c>
      <c r="I416" s="72">
        <f>I417</f>
        <v>0</v>
      </c>
    </row>
    <row r="417" spans="1:12" ht="47.25" hidden="1">
      <c r="A417" s="70" t="s">
        <v>217</v>
      </c>
      <c r="B417" s="130">
        <v>951</v>
      </c>
      <c r="C417" s="71" t="s">
        <v>257</v>
      </c>
      <c r="D417" s="71" t="s">
        <v>353</v>
      </c>
      <c r="E417" s="71" t="s">
        <v>228</v>
      </c>
      <c r="F417" s="71" t="s">
        <v>218</v>
      </c>
      <c r="G417" s="147">
        <v>0</v>
      </c>
      <c r="H417" s="147">
        <v>0</v>
      </c>
      <c r="I417" s="147">
        <v>0</v>
      </c>
    </row>
    <row r="418" spans="1:12" ht="31.5" hidden="1">
      <c r="A418" s="70" t="s">
        <v>223</v>
      </c>
      <c r="B418" s="130">
        <v>951</v>
      </c>
      <c r="C418" s="71" t="s">
        <v>257</v>
      </c>
      <c r="D418" s="71" t="s">
        <v>353</v>
      </c>
      <c r="E418" s="71" t="s">
        <v>228</v>
      </c>
      <c r="F418" s="71" t="s">
        <v>224</v>
      </c>
      <c r="G418" s="72">
        <f>G419</f>
        <v>0</v>
      </c>
      <c r="H418" s="72">
        <f>H419</f>
        <v>0</v>
      </c>
      <c r="I418" s="72">
        <f>I419</f>
        <v>0</v>
      </c>
    </row>
    <row r="419" spans="1:12" ht="47.25" hidden="1">
      <c r="A419" s="70" t="s">
        <v>225</v>
      </c>
      <c r="B419" s="130">
        <v>951</v>
      </c>
      <c r="C419" s="71" t="s">
        <v>257</v>
      </c>
      <c r="D419" s="71" t="s">
        <v>353</v>
      </c>
      <c r="E419" s="71" t="s">
        <v>228</v>
      </c>
      <c r="F419" s="71" t="s">
        <v>226</v>
      </c>
      <c r="G419" s="147">
        <v>0</v>
      </c>
      <c r="H419" s="147">
        <v>0</v>
      </c>
      <c r="I419" s="147">
        <v>0</v>
      </c>
    </row>
    <row r="420" spans="1:12" ht="78.75" hidden="1" customHeight="1">
      <c r="A420" s="132" t="s">
        <v>672</v>
      </c>
      <c r="B420" s="213">
        <v>951</v>
      </c>
      <c r="C420" s="127" t="s">
        <v>257</v>
      </c>
      <c r="D420" s="127" t="s">
        <v>353</v>
      </c>
      <c r="E420" s="127" t="s">
        <v>673</v>
      </c>
      <c r="F420" s="127" t="s">
        <v>206</v>
      </c>
      <c r="G420" s="129">
        <f>G421+G423</f>
        <v>0</v>
      </c>
      <c r="H420" s="129">
        <f>H421+H423</f>
        <v>0</v>
      </c>
      <c r="I420" s="129">
        <f>I421+I423</f>
        <v>0</v>
      </c>
    </row>
    <row r="421" spans="1:12" ht="94.5" hidden="1" customHeight="1">
      <c r="A421" s="70" t="s">
        <v>215</v>
      </c>
      <c r="B421" s="130">
        <v>951</v>
      </c>
      <c r="C421" s="71" t="s">
        <v>257</v>
      </c>
      <c r="D421" s="71" t="s">
        <v>353</v>
      </c>
      <c r="E421" s="71" t="s">
        <v>673</v>
      </c>
      <c r="F421" s="71" t="s">
        <v>216</v>
      </c>
      <c r="G421" s="72">
        <f>G422</f>
        <v>0</v>
      </c>
      <c r="H421" s="72">
        <f>H422</f>
        <v>0</v>
      </c>
      <c r="I421" s="72">
        <f>I422</f>
        <v>0</v>
      </c>
    </row>
    <row r="422" spans="1:12" ht="47.25" hidden="1">
      <c r="A422" s="70" t="s">
        <v>217</v>
      </c>
      <c r="B422" s="130">
        <v>951</v>
      </c>
      <c r="C422" s="71" t="s">
        <v>257</v>
      </c>
      <c r="D422" s="71" t="s">
        <v>353</v>
      </c>
      <c r="E422" s="71" t="s">
        <v>673</v>
      </c>
      <c r="F422" s="71" t="s">
        <v>218</v>
      </c>
      <c r="G422" s="72">
        <f>'3'!F695</f>
        <v>0</v>
      </c>
      <c r="H422" s="72">
        <f>'3'!G695</f>
        <v>0</v>
      </c>
      <c r="I422" s="72">
        <f>'3'!H695</f>
        <v>0</v>
      </c>
    </row>
    <row r="423" spans="1:12" ht="31.5" hidden="1">
      <c r="A423" s="70" t="s">
        <v>223</v>
      </c>
      <c r="B423" s="130">
        <v>951</v>
      </c>
      <c r="C423" s="71" t="s">
        <v>257</v>
      </c>
      <c r="D423" s="71" t="s">
        <v>353</v>
      </c>
      <c r="E423" s="71" t="s">
        <v>673</v>
      </c>
      <c r="F423" s="71" t="s">
        <v>224</v>
      </c>
      <c r="G423" s="72">
        <f>G424</f>
        <v>0</v>
      </c>
      <c r="H423" s="72">
        <f>H424</f>
        <v>0</v>
      </c>
      <c r="I423" s="72">
        <f>I424</f>
        <v>0</v>
      </c>
    </row>
    <row r="424" spans="1:12" ht="47.25" hidden="1">
      <c r="A424" s="70" t="s">
        <v>225</v>
      </c>
      <c r="B424" s="130">
        <v>951</v>
      </c>
      <c r="C424" s="71" t="s">
        <v>257</v>
      </c>
      <c r="D424" s="71" t="s">
        <v>353</v>
      </c>
      <c r="E424" s="71" t="s">
        <v>673</v>
      </c>
      <c r="F424" s="71" t="s">
        <v>226</v>
      </c>
      <c r="G424" s="72">
        <f>'3'!F697</f>
        <v>0</v>
      </c>
      <c r="H424" s="72">
        <f>'3'!G697</f>
        <v>0</v>
      </c>
      <c r="I424" s="72">
        <f>'3'!H697</f>
        <v>0</v>
      </c>
    </row>
    <row r="425" spans="1:12">
      <c r="A425" s="66" t="s">
        <v>674</v>
      </c>
      <c r="B425" s="199">
        <v>951</v>
      </c>
      <c r="C425" s="67" t="s">
        <v>389</v>
      </c>
      <c r="D425" s="67" t="s">
        <v>204</v>
      </c>
      <c r="E425" s="67" t="s">
        <v>205</v>
      </c>
      <c r="F425" s="67" t="s">
        <v>206</v>
      </c>
      <c r="G425" s="68">
        <f>G426+G489</f>
        <v>26435.743689999999</v>
      </c>
      <c r="H425" s="68">
        <f t="shared" ref="H425:I425" si="108">H426+H489</f>
        <v>27859.702020000001</v>
      </c>
      <c r="I425" s="68">
        <f t="shared" si="108"/>
        <v>31161.702020000001</v>
      </c>
      <c r="J425" s="184"/>
      <c r="K425" s="184"/>
      <c r="L425" s="184"/>
    </row>
    <row r="426" spans="1:12" ht="17.649999999999999" customHeight="1">
      <c r="A426" s="206" t="s">
        <v>675</v>
      </c>
      <c r="B426" s="207">
        <v>951</v>
      </c>
      <c r="C426" s="208" t="s">
        <v>389</v>
      </c>
      <c r="D426" s="208" t="s">
        <v>203</v>
      </c>
      <c r="E426" s="208" t="s">
        <v>205</v>
      </c>
      <c r="F426" s="208" t="s">
        <v>206</v>
      </c>
      <c r="G426" s="209">
        <f>G429+G435+G438+G470+G478+G481+G484+G432</f>
        <v>25270.043689999999</v>
      </c>
      <c r="H426" s="209">
        <f t="shared" ref="H426:I426" si="109">H429+H435+H438+H470+H478+H481+H484</f>
        <v>24890.702020000001</v>
      </c>
      <c r="I426" s="209">
        <f t="shared" si="109"/>
        <v>28202.702020000001</v>
      </c>
    </row>
    <row r="427" spans="1:12" ht="52.5" customHeight="1">
      <c r="A427" s="78" t="s">
        <v>591</v>
      </c>
      <c r="B427" s="128">
        <v>951</v>
      </c>
      <c r="C427" s="79" t="s">
        <v>389</v>
      </c>
      <c r="D427" s="79" t="s">
        <v>203</v>
      </c>
      <c r="E427" s="79" t="s">
        <v>898</v>
      </c>
      <c r="F427" s="79" t="s">
        <v>206</v>
      </c>
      <c r="G427" s="80">
        <f>G428+G434+G437</f>
        <v>16002.34167</v>
      </c>
      <c r="H427" s="80">
        <f t="shared" ref="H427:I427" si="110">H428+H434+H437</f>
        <v>14568</v>
      </c>
      <c r="I427" s="80">
        <f t="shared" si="110"/>
        <v>15518</v>
      </c>
      <c r="J427" s="184"/>
    </row>
    <row r="428" spans="1:12" ht="71.25" customHeight="1">
      <c r="A428" s="108" t="s">
        <v>677</v>
      </c>
      <c r="B428" s="98">
        <v>951</v>
      </c>
      <c r="C428" s="75" t="s">
        <v>389</v>
      </c>
      <c r="D428" s="75" t="s">
        <v>203</v>
      </c>
      <c r="E428" s="75" t="s">
        <v>678</v>
      </c>
      <c r="F428" s="75" t="s">
        <v>206</v>
      </c>
      <c r="G428" s="76">
        <f>G429+G431</f>
        <v>13980.956</v>
      </c>
      <c r="H428" s="76">
        <f>H429+H431</f>
        <v>14568</v>
      </c>
      <c r="I428" s="76">
        <f>I429+I431</f>
        <v>15518</v>
      </c>
      <c r="J428" s="184"/>
    </row>
    <row r="429" spans="1:12" ht="51" customHeight="1">
      <c r="A429" s="74" t="s">
        <v>284</v>
      </c>
      <c r="B429" s="98">
        <v>951</v>
      </c>
      <c r="C429" s="75" t="s">
        <v>389</v>
      </c>
      <c r="D429" s="75" t="s">
        <v>203</v>
      </c>
      <c r="E429" s="75" t="s">
        <v>679</v>
      </c>
      <c r="F429" s="75" t="s">
        <v>283</v>
      </c>
      <c r="G429" s="76">
        <f>G430</f>
        <v>13510.4</v>
      </c>
      <c r="H429" s="76">
        <f>H430</f>
        <v>14568</v>
      </c>
      <c r="I429" s="76">
        <f>I430</f>
        <v>15518</v>
      </c>
      <c r="J429" s="184"/>
    </row>
    <row r="430" spans="1:12">
      <c r="A430" s="74" t="s">
        <v>497</v>
      </c>
      <c r="B430" s="98">
        <v>951</v>
      </c>
      <c r="C430" s="75" t="s">
        <v>389</v>
      </c>
      <c r="D430" s="75" t="s">
        <v>203</v>
      </c>
      <c r="E430" s="75" t="s">
        <v>680</v>
      </c>
      <c r="F430" s="75" t="s">
        <v>499</v>
      </c>
      <c r="G430" s="76">
        <f>'5'!D156</f>
        <v>13510.4</v>
      </c>
      <c r="H430" s="76">
        <f>'5'!E156</f>
        <v>14568</v>
      </c>
      <c r="I430" s="76">
        <f>'5'!F156</f>
        <v>15518</v>
      </c>
    </row>
    <row r="431" spans="1:12" ht="134.25" customHeight="1">
      <c r="A431" s="74" t="s">
        <v>681</v>
      </c>
      <c r="B431" s="98">
        <v>951</v>
      </c>
      <c r="C431" s="75" t="s">
        <v>389</v>
      </c>
      <c r="D431" s="75" t="s">
        <v>203</v>
      </c>
      <c r="E431" s="75" t="s">
        <v>682</v>
      </c>
      <c r="F431" s="75" t="s">
        <v>283</v>
      </c>
      <c r="G431" s="76">
        <f>G432</f>
        <v>470.55599999999998</v>
      </c>
      <c r="H431" s="76">
        <f>H432</f>
        <v>0</v>
      </c>
      <c r="I431" s="76">
        <f>I432</f>
        <v>0</v>
      </c>
    </row>
    <row r="432" spans="1:12" ht="16.5" customHeight="1">
      <c r="A432" s="74" t="s">
        <v>497</v>
      </c>
      <c r="B432" s="98">
        <v>951</v>
      </c>
      <c r="C432" s="75" t="s">
        <v>389</v>
      </c>
      <c r="D432" s="75" t="s">
        <v>203</v>
      </c>
      <c r="E432" s="75" t="s">
        <v>682</v>
      </c>
      <c r="F432" s="75" t="s">
        <v>499</v>
      </c>
      <c r="G432" s="76">
        <f>'5'!D157</f>
        <v>470.55599999999998</v>
      </c>
      <c r="H432" s="76">
        <f>'5'!E157</f>
        <v>0</v>
      </c>
      <c r="I432" s="76">
        <f>'5'!F157</f>
        <v>0</v>
      </c>
    </row>
    <row r="433" spans="1:9" ht="87.75" customHeight="1">
      <c r="A433" s="100" t="s">
        <v>685</v>
      </c>
      <c r="B433" s="98">
        <v>951</v>
      </c>
      <c r="C433" s="75" t="s">
        <v>389</v>
      </c>
      <c r="D433" s="75" t="s">
        <v>203</v>
      </c>
      <c r="E433" s="101" t="s">
        <v>678</v>
      </c>
      <c r="F433" s="101" t="s">
        <v>206</v>
      </c>
      <c r="G433" s="102">
        <f>G434+G437+G467</f>
        <v>2021.3856700000001</v>
      </c>
      <c r="H433" s="102">
        <f>H434+H437+H467</f>
        <v>0</v>
      </c>
      <c r="I433" s="102">
        <f>I434+I437+I467</f>
        <v>0</v>
      </c>
    </row>
    <row r="434" spans="1:9" ht="99.75" customHeight="1">
      <c r="A434" s="78" t="s">
        <v>686</v>
      </c>
      <c r="B434" s="98">
        <v>951</v>
      </c>
      <c r="C434" s="75" t="s">
        <v>389</v>
      </c>
      <c r="D434" s="75" t="s">
        <v>203</v>
      </c>
      <c r="E434" s="79" t="s">
        <v>687</v>
      </c>
      <c r="F434" s="79" t="s">
        <v>206</v>
      </c>
      <c r="G434" s="80">
        <f t="shared" ref="G434:I435" si="111">G435</f>
        <v>2001.1718100000001</v>
      </c>
      <c r="H434" s="80">
        <f t="shared" si="111"/>
        <v>0</v>
      </c>
      <c r="I434" s="80">
        <f t="shared" si="111"/>
        <v>0</v>
      </c>
    </row>
    <row r="435" spans="1:9" ht="52.5" customHeight="1">
      <c r="A435" s="74" t="s">
        <v>284</v>
      </c>
      <c r="B435" s="98">
        <v>951</v>
      </c>
      <c r="C435" s="75" t="s">
        <v>389</v>
      </c>
      <c r="D435" s="75" t="s">
        <v>203</v>
      </c>
      <c r="E435" s="75" t="s">
        <v>687</v>
      </c>
      <c r="F435" s="75" t="s">
        <v>283</v>
      </c>
      <c r="G435" s="76">
        <f t="shared" si="111"/>
        <v>2001.1718100000001</v>
      </c>
      <c r="H435" s="76">
        <f t="shared" si="111"/>
        <v>0</v>
      </c>
      <c r="I435" s="76">
        <f t="shared" si="111"/>
        <v>0</v>
      </c>
    </row>
    <row r="436" spans="1:9" ht="22.5" customHeight="1">
      <c r="A436" s="74" t="s">
        <v>497</v>
      </c>
      <c r="B436" s="98">
        <v>951</v>
      </c>
      <c r="C436" s="75" t="s">
        <v>389</v>
      </c>
      <c r="D436" s="75" t="s">
        <v>203</v>
      </c>
      <c r="E436" s="75" t="s">
        <v>687</v>
      </c>
      <c r="F436" s="75" t="s">
        <v>499</v>
      </c>
      <c r="G436" s="76">
        <f>'3'!F716</f>
        <v>2001.1718100000001</v>
      </c>
      <c r="H436" s="76">
        <f>'3'!G716</f>
        <v>0</v>
      </c>
      <c r="I436" s="76">
        <f>'3'!H716</f>
        <v>0</v>
      </c>
    </row>
    <row r="437" spans="1:9" ht="133.5" customHeight="1">
      <c r="A437" s="78" t="s">
        <v>688</v>
      </c>
      <c r="B437" s="98">
        <v>951</v>
      </c>
      <c r="C437" s="75" t="s">
        <v>389</v>
      </c>
      <c r="D437" s="75" t="s">
        <v>203</v>
      </c>
      <c r="E437" s="79" t="s">
        <v>687</v>
      </c>
      <c r="F437" s="79" t="s">
        <v>206</v>
      </c>
      <c r="G437" s="80">
        <f t="shared" ref="G437:I438" si="112">G438</f>
        <v>20.21386</v>
      </c>
      <c r="H437" s="80">
        <f t="shared" si="112"/>
        <v>0</v>
      </c>
      <c r="I437" s="80">
        <f t="shared" si="112"/>
        <v>0</v>
      </c>
    </row>
    <row r="438" spans="1:9" ht="51" customHeight="1">
      <c r="A438" s="74" t="s">
        <v>284</v>
      </c>
      <c r="B438" s="98">
        <v>951</v>
      </c>
      <c r="C438" s="75" t="s">
        <v>389</v>
      </c>
      <c r="D438" s="75" t="s">
        <v>203</v>
      </c>
      <c r="E438" s="75" t="s">
        <v>687</v>
      </c>
      <c r="F438" s="75" t="s">
        <v>283</v>
      </c>
      <c r="G438" s="76">
        <f t="shared" si="112"/>
        <v>20.21386</v>
      </c>
      <c r="H438" s="76">
        <f t="shared" si="112"/>
        <v>0</v>
      </c>
      <c r="I438" s="76">
        <f t="shared" si="112"/>
        <v>0</v>
      </c>
    </row>
    <row r="439" spans="1:9" ht="18.75" customHeight="1">
      <c r="A439" s="74" t="s">
        <v>497</v>
      </c>
      <c r="B439" s="98">
        <v>951</v>
      </c>
      <c r="C439" s="75" t="s">
        <v>389</v>
      </c>
      <c r="D439" s="75" t="s">
        <v>203</v>
      </c>
      <c r="E439" s="75" t="s">
        <v>687</v>
      </c>
      <c r="F439" s="75" t="s">
        <v>499</v>
      </c>
      <c r="G439" s="76">
        <f>'3'!F719</f>
        <v>20.21386</v>
      </c>
      <c r="H439" s="76">
        <f>'3'!G719</f>
        <v>0</v>
      </c>
      <c r="I439" s="76">
        <f>'3'!H719</f>
        <v>0</v>
      </c>
    </row>
    <row r="440" spans="1:9" ht="47.25" hidden="1" customHeight="1">
      <c r="A440" s="100" t="s">
        <v>510</v>
      </c>
      <c r="B440" s="133">
        <v>951</v>
      </c>
      <c r="C440" s="101" t="s">
        <v>389</v>
      </c>
      <c r="D440" s="101" t="s">
        <v>203</v>
      </c>
      <c r="E440" s="101" t="s">
        <v>678</v>
      </c>
      <c r="F440" s="101" t="s">
        <v>206</v>
      </c>
      <c r="G440" s="102">
        <f>G444+G441</f>
        <v>0</v>
      </c>
      <c r="H440" s="102">
        <f>H444+H441</f>
        <v>0</v>
      </c>
      <c r="I440" s="102">
        <f>I444+I441</f>
        <v>0</v>
      </c>
    </row>
    <row r="441" spans="1:9" ht="94.5" hidden="1" customHeight="1">
      <c r="A441" s="74" t="s">
        <v>133</v>
      </c>
      <c r="B441" s="98">
        <v>951</v>
      </c>
      <c r="C441" s="75" t="s">
        <v>389</v>
      </c>
      <c r="D441" s="75" t="s">
        <v>203</v>
      </c>
      <c r="E441" s="75" t="s">
        <v>707</v>
      </c>
      <c r="F441" s="75" t="s">
        <v>206</v>
      </c>
      <c r="G441" s="76">
        <f t="shared" ref="G441:I445" si="113">G442</f>
        <v>0</v>
      </c>
      <c r="H441" s="76">
        <f t="shared" si="113"/>
        <v>0</v>
      </c>
      <c r="I441" s="76">
        <f t="shared" si="113"/>
        <v>0</v>
      </c>
    </row>
    <row r="442" spans="1:9" ht="47.25" hidden="1" customHeight="1">
      <c r="A442" s="74" t="s">
        <v>284</v>
      </c>
      <c r="B442" s="98">
        <v>951</v>
      </c>
      <c r="C442" s="75" t="s">
        <v>389</v>
      </c>
      <c r="D442" s="75" t="s">
        <v>203</v>
      </c>
      <c r="E442" s="75" t="s">
        <v>707</v>
      </c>
      <c r="F442" s="75" t="s">
        <v>283</v>
      </c>
      <c r="G442" s="76">
        <f t="shared" si="113"/>
        <v>0</v>
      </c>
      <c r="H442" s="76">
        <f t="shared" si="113"/>
        <v>0</v>
      </c>
      <c r="I442" s="76">
        <f t="shared" si="113"/>
        <v>0</v>
      </c>
    </row>
    <row r="443" spans="1:9" ht="15.75" hidden="1" customHeight="1">
      <c r="A443" s="74" t="s">
        <v>497</v>
      </c>
      <c r="B443" s="98">
        <v>951</v>
      </c>
      <c r="C443" s="75" t="s">
        <v>389</v>
      </c>
      <c r="D443" s="75" t="s">
        <v>203</v>
      </c>
      <c r="E443" s="75" t="s">
        <v>707</v>
      </c>
      <c r="F443" s="75" t="s">
        <v>499</v>
      </c>
      <c r="G443" s="76">
        <v>0</v>
      </c>
      <c r="H443" s="76">
        <v>0</v>
      </c>
      <c r="I443" s="76">
        <v>0</v>
      </c>
    </row>
    <row r="444" spans="1:9" ht="94.5" hidden="1" customHeight="1">
      <c r="A444" s="74" t="s">
        <v>708</v>
      </c>
      <c r="B444" s="98">
        <v>951</v>
      </c>
      <c r="C444" s="75" t="s">
        <v>389</v>
      </c>
      <c r="D444" s="75" t="s">
        <v>203</v>
      </c>
      <c r="E444" s="75" t="s">
        <v>899</v>
      </c>
      <c r="F444" s="75" t="s">
        <v>206</v>
      </c>
      <c r="G444" s="76">
        <f t="shared" si="113"/>
        <v>0</v>
      </c>
      <c r="H444" s="76">
        <f t="shared" si="113"/>
        <v>0</v>
      </c>
      <c r="I444" s="76">
        <f t="shared" si="113"/>
        <v>0</v>
      </c>
    </row>
    <row r="445" spans="1:9" ht="47.25" hidden="1" customHeight="1">
      <c r="A445" s="74" t="s">
        <v>284</v>
      </c>
      <c r="B445" s="98">
        <v>951</v>
      </c>
      <c r="C445" s="75" t="s">
        <v>389</v>
      </c>
      <c r="D445" s="75" t="s">
        <v>203</v>
      </c>
      <c r="E445" s="75" t="s">
        <v>899</v>
      </c>
      <c r="F445" s="75" t="s">
        <v>283</v>
      </c>
      <c r="G445" s="76">
        <f t="shared" si="113"/>
        <v>0</v>
      </c>
      <c r="H445" s="76">
        <f t="shared" si="113"/>
        <v>0</v>
      </c>
      <c r="I445" s="76">
        <f t="shared" si="113"/>
        <v>0</v>
      </c>
    </row>
    <row r="446" spans="1:9" ht="15.75" hidden="1" customHeight="1">
      <c r="A446" s="74" t="s">
        <v>497</v>
      </c>
      <c r="B446" s="98">
        <v>951</v>
      </c>
      <c r="C446" s="75" t="s">
        <v>389</v>
      </c>
      <c r="D446" s="75" t="s">
        <v>203</v>
      </c>
      <c r="E446" s="75" t="s">
        <v>899</v>
      </c>
      <c r="F446" s="75" t="s">
        <v>499</v>
      </c>
      <c r="G446" s="76"/>
      <c r="H446" s="76"/>
      <c r="I446" s="76"/>
    </row>
    <row r="447" spans="1:9" ht="63" hidden="1" customHeight="1">
      <c r="A447" s="104" t="s">
        <v>710</v>
      </c>
      <c r="B447" s="98" t="s">
        <v>864</v>
      </c>
      <c r="C447" s="105" t="s">
        <v>389</v>
      </c>
      <c r="D447" s="105" t="s">
        <v>203</v>
      </c>
      <c r="E447" s="105" t="s">
        <v>711</v>
      </c>
      <c r="F447" s="105" t="s">
        <v>206</v>
      </c>
      <c r="G447" s="106">
        <f>G451+G448</f>
        <v>0</v>
      </c>
      <c r="H447" s="106">
        <f>H451+H448</f>
        <v>0</v>
      </c>
      <c r="I447" s="106">
        <f>I451+I448</f>
        <v>0</v>
      </c>
    </row>
    <row r="448" spans="1:9" ht="94.5" hidden="1" customHeight="1">
      <c r="A448" s="74" t="s">
        <v>712</v>
      </c>
      <c r="B448" s="98" t="s">
        <v>864</v>
      </c>
      <c r="C448" s="75" t="s">
        <v>389</v>
      </c>
      <c r="D448" s="75" t="s">
        <v>203</v>
      </c>
      <c r="E448" s="75" t="s">
        <v>713</v>
      </c>
      <c r="F448" s="75" t="s">
        <v>206</v>
      </c>
      <c r="G448" s="76">
        <f t="shared" ref="G448:I449" si="114">G449</f>
        <v>0</v>
      </c>
      <c r="H448" s="76">
        <f t="shared" si="114"/>
        <v>0</v>
      </c>
      <c r="I448" s="76">
        <f t="shared" si="114"/>
        <v>0</v>
      </c>
    </row>
    <row r="449" spans="1:9" ht="47.25" hidden="1" customHeight="1">
      <c r="A449" s="74" t="s">
        <v>284</v>
      </c>
      <c r="B449" s="98" t="s">
        <v>864</v>
      </c>
      <c r="C449" s="75" t="s">
        <v>389</v>
      </c>
      <c r="D449" s="75" t="s">
        <v>203</v>
      </c>
      <c r="E449" s="75" t="s">
        <v>713</v>
      </c>
      <c r="F449" s="75" t="s">
        <v>283</v>
      </c>
      <c r="G449" s="76">
        <f t="shared" si="114"/>
        <v>0</v>
      </c>
      <c r="H449" s="76">
        <f t="shared" si="114"/>
        <v>0</v>
      </c>
      <c r="I449" s="76">
        <f t="shared" si="114"/>
        <v>0</v>
      </c>
    </row>
    <row r="450" spans="1:9" ht="15.75" hidden="1" customHeight="1">
      <c r="A450" s="74" t="s">
        <v>497</v>
      </c>
      <c r="B450" s="98" t="s">
        <v>864</v>
      </c>
      <c r="C450" s="75" t="s">
        <v>389</v>
      </c>
      <c r="D450" s="75" t="s">
        <v>203</v>
      </c>
      <c r="E450" s="75" t="s">
        <v>713</v>
      </c>
      <c r="F450" s="75" t="s">
        <v>499</v>
      </c>
      <c r="G450" s="76">
        <f>'5'!D169</f>
        <v>0</v>
      </c>
      <c r="H450" s="76">
        <f>'5'!E169</f>
        <v>0</v>
      </c>
      <c r="I450" s="76">
        <f>'5'!F169</f>
        <v>0</v>
      </c>
    </row>
    <row r="451" spans="1:9" ht="110.25" hidden="1" customHeight="1">
      <c r="A451" s="74" t="s">
        <v>714</v>
      </c>
      <c r="B451" s="98" t="s">
        <v>864</v>
      </c>
      <c r="C451" s="75" t="s">
        <v>389</v>
      </c>
      <c r="D451" s="75" t="s">
        <v>203</v>
      </c>
      <c r="E451" s="75" t="s">
        <v>713</v>
      </c>
      <c r="F451" s="75" t="s">
        <v>206</v>
      </c>
      <c r="G451" s="76">
        <f>G452</f>
        <v>0</v>
      </c>
      <c r="H451" s="76">
        <f t="shared" ref="G451:I452" si="115">H452</f>
        <v>0</v>
      </c>
      <c r="I451" s="76">
        <f t="shared" si="115"/>
        <v>0</v>
      </c>
    </row>
    <row r="452" spans="1:9" ht="47.25" hidden="1" customHeight="1">
      <c r="A452" s="74" t="s">
        <v>284</v>
      </c>
      <c r="B452" s="98" t="s">
        <v>864</v>
      </c>
      <c r="C452" s="75" t="s">
        <v>389</v>
      </c>
      <c r="D452" s="75" t="s">
        <v>203</v>
      </c>
      <c r="E452" s="75" t="s">
        <v>713</v>
      </c>
      <c r="F452" s="75" t="s">
        <v>283</v>
      </c>
      <c r="G452" s="76">
        <f t="shared" si="115"/>
        <v>0</v>
      </c>
      <c r="H452" s="76">
        <f t="shared" si="115"/>
        <v>0</v>
      </c>
      <c r="I452" s="76">
        <f t="shared" si="115"/>
        <v>0</v>
      </c>
    </row>
    <row r="453" spans="1:9" ht="15.75" hidden="1" customHeight="1">
      <c r="A453" s="74" t="s">
        <v>497</v>
      </c>
      <c r="B453" s="98" t="s">
        <v>864</v>
      </c>
      <c r="C453" s="75" t="s">
        <v>389</v>
      </c>
      <c r="D453" s="75" t="s">
        <v>203</v>
      </c>
      <c r="E453" s="75" t="s">
        <v>713</v>
      </c>
      <c r="F453" s="75" t="s">
        <v>499</v>
      </c>
      <c r="G453" s="76">
        <f>'5'!D170</f>
        <v>0</v>
      </c>
      <c r="H453" s="76">
        <f>'5'!E170</f>
        <v>0</v>
      </c>
      <c r="I453" s="76">
        <f>'5'!F170</f>
        <v>0</v>
      </c>
    </row>
    <row r="454" spans="1:9" ht="78.75" hidden="1" customHeight="1">
      <c r="A454" s="100" t="s">
        <v>900</v>
      </c>
      <c r="B454" s="98" t="s">
        <v>864</v>
      </c>
      <c r="C454" s="105" t="s">
        <v>389</v>
      </c>
      <c r="D454" s="105" t="s">
        <v>203</v>
      </c>
      <c r="E454" s="105" t="s">
        <v>711</v>
      </c>
      <c r="F454" s="105" t="s">
        <v>206</v>
      </c>
      <c r="G454" s="106">
        <f>G458+G455</f>
        <v>0</v>
      </c>
      <c r="H454" s="106">
        <f>H458+H455</f>
        <v>0</v>
      </c>
      <c r="I454" s="106">
        <f>I458+I455</f>
        <v>0</v>
      </c>
    </row>
    <row r="455" spans="1:9" ht="94.5" hidden="1" customHeight="1">
      <c r="A455" s="74" t="s">
        <v>901</v>
      </c>
      <c r="B455" s="98" t="s">
        <v>864</v>
      </c>
      <c r="C455" s="75" t="s">
        <v>389</v>
      </c>
      <c r="D455" s="75" t="s">
        <v>203</v>
      </c>
      <c r="E455" s="75" t="s">
        <v>902</v>
      </c>
      <c r="F455" s="75" t="s">
        <v>206</v>
      </c>
      <c r="G455" s="76">
        <f t="shared" ref="G455:I456" si="116">G456</f>
        <v>0</v>
      </c>
      <c r="H455" s="76">
        <f t="shared" si="116"/>
        <v>0</v>
      </c>
      <c r="I455" s="76">
        <f t="shared" si="116"/>
        <v>0</v>
      </c>
    </row>
    <row r="456" spans="1:9" ht="47.25" hidden="1" customHeight="1">
      <c r="A456" s="74" t="s">
        <v>284</v>
      </c>
      <c r="B456" s="98" t="s">
        <v>864</v>
      </c>
      <c r="C456" s="75" t="s">
        <v>389</v>
      </c>
      <c r="D456" s="75" t="s">
        <v>203</v>
      </c>
      <c r="E456" s="75" t="s">
        <v>902</v>
      </c>
      <c r="F456" s="75" t="s">
        <v>283</v>
      </c>
      <c r="G456" s="76">
        <f t="shared" si="116"/>
        <v>0</v>
      </c>
      <c r="H456" s="76">
        <f t="shared" si="116"/>
        <v>0</v>
      </c>
      <c r="I456" s="76">
        <f t="shared" si="116"/>
        <v>0</v>
      </c>
    </row>
    <row r="457" spans="1:9" ht="15.75" hidden="1" customHeight="1">
      <c r="A457" s="74" t="s">
        <v>497</v>
      </c>
      <c r="B457" s="98" t="s">
        <v>864</v>
      </c>
      <c r="C457" s="75" t="s">
        <v>389</v>
      </c>
      <c r="D457" s="75" t="s">
        <v>203</v>
      </c>
      <c r="E457" s="75" t="s">
        <v>902</v>
      </c>
      <c r="F457" s="75" t="s">
        <v>499</v>
      </c>
      <c r="G457" s="76">
        <f>'5'!D172</f>
        <v>0</v>
      </c>
      <c r="H457" s="76">
        <f>'5'!E172</f>
        <v>0</v>
      </c>
      <c r="I457" s="76">
        <f>'5'!F172</f>
        <v>0</v>
      </c>
    </row>
    <row r="458" spans="1:9" ht="126" hidden="1" customHeight="1">
      <c r="A458" s="74" t="s">
        <v>903</v>
      </c>
      <c r="B458" s="98" t="s">
        <v>864</v>
      </c>
      <c r="C458" s="75" t="s">
        <v>389</v>
      </c>
      <c r="D458" s="75" t="s">
        <v>203</v>
      </c>
      <c r="E458" s="75" t="s">
        <v>902</v>
      </c>
      <c r="F458" s="75" t="s">
        <v>206</v>
      </c>
      <c r="G458" s="76">
        <f t="shared" ref="G458:I459" si="117">G459</f>
        <v>0</v>
      </c>
      <c r="H458" s="76">
        <f t="shared" si="117"/>
        <v>0</v>
      </c>
      <c r="I458" s="76">
        <f t="shared" si="117"/>
        <v>0</v>
      </c>
    </row>
    <row r="459" spans="1:9" ht="47.25" hidden="1" customHeight="1">
      <c r="A459" s="74" t="s">
        <v>284</v>
      </c>
      <c r="B459" s="98" t="s">
        <v>864</v>
      </c>
      <c r="C459" s="75" t="s">
        <v>389</v>
      </c>
      <c r="D459" s="75" t="s">
        <v>203</v>
      </c>
      <c r="E459" s="75" t="s">
        <v>902</v>
      </c>
      <c r="F459" s="75" t="s">
        <v>283</v>
      </c>
      <c r="G459" s="76">
        <f t="shared" si="117"/>
        <v>0</v>
      </c>
      <c r="H459" s="76">
        <f t="shared" si="117"/>
        <v>0</v>
      </c>
      <c r="I459" s="76">
        <f t="shared" si="117"/>
        <v>0</v>
      </c>
    </row>
    <row r="460" spans="1:9" ht="15.75" hidden="1" customHeight="1">
      <c r="A460" s="74" t="s">
        <v>497</v>
      </c>
      <c r="B460" s="98" t="s">
        <v>864</v>
      </c>
      <c r="C460" s="75" t="s">
        <v>389</v>
      </c>
      <c r="D460" s="75" t="s">
        <v>203</v>
      </c>
      <c r="E460" s="75" t="s">
        <v>902</v>
      </c>
      <c r="F460" s="75" t="s">
        <v>499</v>
      </c>
      <c r="G460" s="76">
        <f>'5'!D173</f>
        <v>0</v>
      </c>
      <c r="H460" s="76">
        <f>'5'!E173</f>
        <v>0</v>
      </c>
      <c r="I460" s="76">
        <f>'5'!F173</f>
        <v>0</v>
      </c>
    </row>
    <row r="461" spans="1:9" ht="63" hidden="1" customHeight="1">
      <c r="A461" s="100" t="s">
        <v>702</v>
      </c>
      <c r="B461" s="133" t="s">
        <v>864</v>
      </c>
      <c r="C461" s="101" t="s">
        <v>389</v>
      </c>
      <c r="D461" s="101" t="s">
        <v>203</v>
      </c>
      <c r="E461" s="101" t="s">
        <v>678</v>
      </c>
      <c r="F461" s="101" t="s">
        <v>206</v>
      </c>
      <c r="G461" s="102">
        <f>G462+G464</f>
        <v>0</v>
      </c>
      <c r="H461" s="102">
        <f>H462+H464</f>
        <v>0</v>
      </c>
      <c r="I461" s="102">
        <f>I462+I464</f>
        <v>0</v>
      </c>
    </row>
    <row r="462" spans="1:9" ht="78.75" hidden="1" customHeight="1">
      <c r="A462" s="78" t="s">
        <v>703</v>
      </c>
      <c r="B462" s="128" t="s">
        <v>864</v>
      </c>
      <c r="C462" s="79" t="s">
        <v>389</v>
      </c>
      <c r="D462" s="79" t="s">
        <v>203</v>
      </c>
      <c r="E462" s="79" t="s">
        <v>704</v>
      </c>
      <c r="F462" s="79" t="s">
        <v>283</v>
      </c>
      <c r="G462" s="80">
        <f>G463</f>
        <v>0</v>
      </c>
      <c r="H462" s="80">
        <f>H463</f>
        <v>0</v>
      </c>
      <c r="I462" s="80">
        <f>I463</f>
        <v>0</v>
      </c>
    </row>
    <row r="463" spans="1:9" ht="15.75" hidden="1" customHeight="1">
      <c r="A463" s="74" t="s">
        <v>497</v>
      </c>
      <c r="B463" s="128" t="s">
        <v>864</v>
      </c>
      <c r="C463" s="79" t="s">
        <v>389</v>
      </c>
      <c r="D463" s="79" t="s">
        <v>203</v>
      </c>
      <c r="E463" s="79" t="s">
        <v>704</v>
      </c>
      <c r="F463" s="75" t="s">
        <v>499</v>
      </c>
      <c r="G463" s="76">
        <f>'5'!D163</f>
        <v>0</v>
      </c>
      <c r="H463" s="76">
        <f>'5'!E163</f>
        <v>0</v>
      </c>
      <c r="I463" s="76">
        <f>'5'!F163</f>
        <v>0</v>
      </c>
    </row>
    <row r="464" spans="1:9" ht="94.5" hidden="1" customHeight="1">
      <c r="A464" s="78" t="s">
        <v>705</v>
      </c>
      <c r="B464" s="128" t="s">
        <v>864</v>
      </c>
      <c r="C464" s="79" t="s">
        <v>389</v>
      </c>
      <c r="D464" s="79" t="s">
        <v>203</v>
      </c>
      <c r="E464" s="79" t="s">
        <v>706</v>
      </c>
      <c r="F464" s="79" t="s">
        <v>283</v>
      </c>
      <c r="G464" s="80">
        <f>G465</f>
        <v>0</v>
      </c>
      <c r="H464" s="80">
        <f>H465</f>
        <v>0</v>
      </c>
      <c r="I464" s="80">
        <f>I465</f>
        <v>0</v>
      </c>
    </row>
    <row r="465" spans="1:9" ht="15.75" hidden="1" customHeight="1">
      <c r="A465" s="74" t="s">
        <v>497</v>
      </c>
      <c r="B465" s="128" t="s">
        <v>864</v>
      </c>
      <c r="C465" s="79" t="s">
        <v>389</v>
      </c>
      <c r="D465" s="79" t="s">
        <v>203</v>
      </c>
      <c r="E465" s="79" t="s">
        <v>706</v>
      </c>
      <c r="F465" s="75" t="s">
        <v>499</v>
      </c>
      <c r="G465" s="76">
        <f>'5'!D164</f>
        <v>0</v>
      </c>
      <c r="H465" s="76">
        <f>'5'!E164</f>
        <v>0</v>
      </c>
      <c r="I465" s="76">
        <f>'5'!F164</f>
        <v>0</v>
      </c>
    </row>
    <row r="466" spans="1:9" ht="15.75" hidden="1" customHeight="1">
      <c r="A466" s="74"/>
      <c r="B466" s="98"/>
      <c r="C466" s="75"/>
      <c r="D466" s="75"/>
      <c r="E466" s="75"/>
      <c r="F466" s="75"/>
      <c r="G466" s="76"/>
      <c r="H466" s="76"/>
      <c r="I466" s="76"/>
    </row>
    <row r="467" spans="1:9" ht="126" hidden="1" customHeight="1">
      <c r="A467" s="74" t="s">
        <v>683</v>
      </c>
      <c r="B467" s="98">
        <v>951</v>
      </c>
      <c r="C467" s="75" t="s">
        <v>389</v>
      </c>
      <c r="D467" s="75" t="s">
        <v>203</v>
      </c>
      <c r="E467" s="75" t="s">
        <v>684</v>
      </c>
      <c r="F467" s="75" t="s">
        <v>206</v>
      </c>
      <c r="G467" s="76">
        <f>G468</f>
        <v>0</v>
      </c>
      <c r="H467" s="76">
        <f>H468</f>
        <v>0</v>
      </c>
      <c r="I467" s="76">
        <f>I468</f>
        <v>0</v>
      </c>
    </row>
    <row r="468" spans="1:9" ht="15.75" hidden="1" customHeight="1">
      <c r="A468" s="74" t="s">
        <v>497</v>
      </c>
      <c r="B468" s="98">
        <v>951</v>
      </c>
      <c r="C468" s="75" t="s">
        <v>389</v>
      </c>
      <c r="D468" s="75" t="s">
        <v>203</v>
      </c>
      <c r="E468" s="75" t="s">
        <v>684</v>
      </c>
      <c r="F468" s="75" t="s">
        <v>499</v>
      </c>
      <c r="G468" s="76"/>
      <c r="H468" s="76"/>
      <c r="I468" s="76"/>
    </row>
    <row r="469" spans="1:9" s="211" customFormat="1" ht="82.5" customHeight="1">
      <c r="A469" s="108" t="s">
        <v>689</v>
      </c>
      <c r="B469" s="133">
        <v>951</v>
      </c>
      <c r="C469" s="101" t="s">
        <v>389</v>
      </c>
      <c r="D469" s="101" t="s">
        <v>203</v>
      </c>
      <c r="E469" s="101" t="s">
        <v>690</v>
      </c>
      <c r="F469" s="101" t="s">
        <v>206</v>
      </c>
      <c r="G469" s="102">
        <f t="shared" ref="G469:G471" si="118">G470</f>
        <v>6048</v>
      </c>
      <c r="H469" s="102">
        <f t="shared" ref="H469:I471" si="119">H470</f>
        <v>6658</v>
      </c>
      <c r="I469" s="102">
        <f t="shared" si="119"/>
        <v>7807</v>
      </c>
    </row>
    <row r="470" spans="1:9" ht="51" customHeight="1">
      <c r="A470" s="74" t="s">
        <v>284</v>
      </c>
      <c r="B470" s="98">
        <v>951</v>
      </c>
      <c r="C470" s="75" t="s">
        <v>389</v>
      </c>
      <c r="D470" s="75" t="s">
        <v>203</v>
      </c>
      <c r="E470" s="75" t="s">
        <v>690</v>
      </c>
      <c r="F470" s="75" t="s">
        <v>206</v>
      </c>
      <c r="G470" s="76">
        <f t="shared" si="118"/>
        <v>6048</v>
      </c>
      <c r="H470" s="76">
        <f t="shared" si="119"/>
        <v>6658</v>
      </c>
      <c r="I470" s="76">
        <f t="shared" si="119"/>
        <v>7807</v>
      </c>
    </row>
    <row r="471" spans="1:9" ht="31.5">
      <c r="A471" s="74" t="s">
        <v>904</v>
      </c>
      <c r="B471" s="98">
        <v>951</v>
      </c>
      <c r="C471" s="75" t="s">
        <v>389</v>
      </c>
      <c r="D471" s="75" t="s">
        <v>203</v>
      </c>
      <c r="E471" s="75" t="s">
        <v>690</v>
      </c>
      <c r="F471" s="75" t="s">
        <v>283</v>
      </c>
      <c r="G471" s="76">
        <f t="shared" si="118"/>
        <v>6048</v>
      </c>
      <c r="H471" s="76">
        <f t="shared" si="119"/>
        <v>6658</v>
      </c>
      <c r="I471" s="76">
        <f t="shared" si="119"/>
        <v>7807</v>
      </c>
    </row>
    <row r="472" spans="1:9" ht="16.5" customHeight="1">
      <c r="A472" s="74" t="s">
        <v>497</v>
      </c>
      <c r="B472" s="98">
        <v>951</v>
      </c>
      <c r="C472" s="75" t="s">
        <v>389</v>
      </c>
      <c r="D472" s="75" t="s">
        <v>203</v>
      </c>
      <c r="E472" s="75" t="s">
        <v>690</v>
      </c>
      <c r="F472" s="75" t="s">
        <v>499</v>
      </c>
      <c r="G472" s="76">
        <f>'5'!D175</f>
        <v>6048</v>
      </c>
      <c r="H472" s="76">
        <f>'5'!E175</f>
        <v>6658</v>
      </c>
      <c r="I472" s="76">
        <f>'5'!F175</f>
        <v>7807</v>
      </c>
    </row>
    <row r="473" spans="1:9" s="211" customFormat="1" ht="110.25" hidden="1" customHeight="1">
      <c r="A473" s="100" t="s">
        <v>691</v>
      </c>
      <c r="B473" s="133">
        <v>951</v>
      </c>
      <c r="C473" s="101" t="s">
        <v>389</v>
      </c>
      <c r="D473" s="101" t="s">
        <v>203</v>
      </c>
      <c r="E473" s="101" t="s">
        <v>692</v>
      </c>
      <c r="F473" s="101" t="s">
        <v>206</v>
      </c>
      <c r="G473" s="102">
        <f>G474+G475</f>
        <v>0</v>
      </c>
      <c r="H473" s="102">
        <f>H474+H475</f>
        <v>0</v>
      </c>
      <c r="I473" s="102">
        <f>I474+I475</f>
        <v>0</v>
      </c>
    </row>
    <row r="474" spans="1:9" ht="126" hidden="1" customHeight="1">
      <c r="A474" s="74" t="s">
        <v>693</v>
      </c>
      <c r="B474" s="98">
        <v>951</v>
      </c>
      <c r="C474" s="75" t="s">
        <v>389</v>
      </c>
      <c r="D474" s="75" t="s">
        <v>203</v>
      </c>
      <c r="E474" s="75" t="s">
        <v>694</v>
      </c>
      <c r="F474" s="75" t="s">
        <v>499</v>
      </c>
      <c r="G474" s="76">
        <f>'5'!D177</f>
        <v>0</v>
      </c>
      <c r="H474" s="76">
        <f>'5'!E177</f>
        <v>0</v>
      </c>
      <c r="I474" s="76">
        <f>'5'!F177</f>
        <v>0</v>
      </c>
    </row>
    <row r="475" spans="1:9" ht="157.5" hidden="1" customHeight="1">
      <c r="A475" s="74" t="s">
        <v>695</v>
      </c>
      <c r="B475" s="98">
        <v>951</v>
      </c>
      <c r="C475" s="75" t="s">
        <v>389</v>
      </c>
      <c r="D475" s="75" t="s">
        <v>203</v>
      </c>
      <c r="E475" s="75" t="s">
        <v>694</v>
      </c>
      <c r="F475" s="75" t="s">
        <v>499</v>
      </c>
      <c r="G475" s="76">
        <f>'5'!D178</f>
        <v>0</v>
      </c>
      <c r="H475" s="76">
        <f>'5'!E178</f>
        <v>0</v>
      </c>
      <c r="I475" s="76">
        <f>'5'!F178</f>
        <v>0</v>
      </c>
    </row>
    <row r="476" spans="1:9" ht="68.25" customHeight="1">
      <c r="A476" s="100" t="s">
        <v>696</v>
      </c>
      <c r="B476" s="133">
        <v>951</v>
      </c>
      <c r="C476" s="101" t="s">
        <v>389</v>
      </c>
      <c r="D476" s="101" t="s">
        <v>203</v>
      </c>
      <c r="E476" s="101" t="s">
        <v>697</v>
      </c>
      <c r="F476" s="101" t="s">
        <v>206</v>
      </c>
      <c r="G476" s="102">
        <f>G480+G477</f>
        <v>169.70202</v>
      </c>
      <c r="H476" s="102">
        <f>H480+H477</f>
        <v>169.70202</v>
      </c>
      <c r="I476" s="102">
        <f>I480+I477</f>
        <v>169.70202</v>
      </c>
    </row>
    <row r="477" spans="1:9" ht="84.75" customHeight="1">
      <c r="A477" s="74" t="s">
        <v>698</v>
      </c>
      <c r="B477" s="98">
        <v>951</v>
      </c>
      <c r="C477" s="75" t="s">
        <v>389</v>
      </c>
      <c r="D477" s="75" t="s">
        <v>203</v>
      </c>
      <c r="E477" s="75" t="s">
        <v>699</v>
      </c>
      <c r="F477" s="75" t="s">
        <v>206</v>
      </c>
      <c r="G477" s="76">
        <f t="shared" ref="G477:I478" si="120">G478</f>
        <v>168.005</v>
      </c>
      <c r="H477" s="76">
        <f t="shared" si="120"/>
        <v>168.005</v>
      </c>
      <c r="I477" s="76">
        <f t="shared" si="120"/>
        <v>168.005</v>
      </c>
    </row>
    <row r="478" spans="1:9" ht="48.75" customHeight="1">
      <c r="A478" s="74" t="s">
        <v>284</v>
      </c>
      <c r="B478" s="98">
        <v>951</v>
      </c>
      <c r="C478" s="75" t="s">
        <v>389</v>
      </c>
      <c r="D478" s="75" t="s">
        <v>203</v>
      </c>
      <c r="E478" s="75" t="s">
        <v>699</v>
      </c>
      <c r="F478" s="75" t="s">
        <v>283</v>
      </c>
      <c r="G478" s="76">
        <f t="shared" si="120"/>
        <v>168.005</v>
      </c>
      <c r="H478" s="76">
        <f t="shared" si="120"/>
        <v>168.005</v>
      </c>
      <c r="I478" s="76">
        <f t="shared" si="120"/>
        <v>168.005</v>
      </c>
    </row>
    <row r="479" spans="1:9" ht="20.25" customHeight="1">
      <c r="A479" s="74" t="s">
        <v>497</v>
      </c>
      <c r="B479" s="98">
        <v>951</v>
      </c>
      <c r="C479" s="75" t="s">
        <v>389</v>
      </c>
      <c r="D479" s="75" t="s">
        <v>203</v>
      </c>
      <c r="E479" s="75" t="s">
        <v>699</v>
      </c>
      <c r="F479" s="75" t="s">
        <v>499</v>
      </c>
      <c r="G479" s="76">
        <f>'5'!D180</f>
        <v>168.005</v>
      </c>
      <c r="H479" s="76">
        <v>168.005</v>
      </c>
      <c r="I479" s="76">
        <v>168.005</v>
      </c>
    </row>
    <row r="480" spans="1:9" ht="114.75" customHeight="1">
      <c r="A480" s="74" t="s">
        <v>700</v>
      </c>
      <c r="B480" s="98">
        <v>951</v>
      </c>
      <c r="C480" s="75" t="s">
        <v>389</v>
      </c>
      <c r="D480" s="75" t="s">
        <v>203</v>
      </c>
      <c r="E480" s="75" t="s">
        <v>701</v>
      </c>
      <c r="F480" s="75" t="s">
        <v>206</v>
      </c>
      <c r="G480" s="76">
        <f t="shared" ref="G480:I481" si="121">G481</f>
        <v>1.69702</v>
      </c>
      <c r="H480" s="76">
        <f t="shared" si="121"/>
        <v>1.69702</v>
      </c>
      <c r="I480" s="76">
        <f t="shared" si="121"/>
        <v>1.69702</v>
      </c>
    </row>
    <row r="481" spans="1:9" ht="52.5" customHeight="1">
      <c r="A481" s="74" t="s">
        <v>284</v>
      </c>
      <c r="B481" s="98">
        <v>951</v>
      </c>
      <c r="C481" s="75" t="s">
        <v>389</v>
      </c>
      <c r="D481" s="75" t="s">
        <v>203</v>
      </c>
      <c r="E481" s="75" t="s">
        <v>701</v>
      </c>
      <c r="F481" s="75" t="s">
        <v>283</v>
      </c>
      <c r="G481" s="76">
        <f t="shared" si="121"/>
        <v>1.69702</v>
      </c>
      <c r="H481" s="76">
        <f t="shared" si="121"/>
        <v>1.69702</v>
      </c>
      <c r="I481" s="76">
        <f t="shared" si="121"/>
        <v>1.69702</v>
      </c>
    </row>
    <row r="482" spans="1:9" ht="18" customHeight="1">
      <c r="A482" s="74" t="s">
        <v>497</v>
      </c>
      <c r="B482" s="98">
        <v>951</v>
      </c>
      <c r="C482" s="75" t="s">
        <v>389</v>
      </c>
      <c r="D482" s="75" t="s">
        <v>203</v>
      </c>
      <c r="E482" s="75" t="s">
        <v>701</v>
      </c>
      <c r="F482" s="75" t="s">
        <v>499</v>
      </c>
      <c r="G482" s="76">
        <f>'5'!D181</f>
        <v>1.69702</v>
      </c>
      <c r="H482" s="76">
        <v>1.69702</v>
      </c>
      <c r="I482" s="76">
        <v>1.69702</v>
      </c>
    </row>
    <row r="483" spans="1:9" ht="120" customHeight="1">
      <c r="A483" s="108" t="s">
        <v>715</v>
      </c>
      <c r="B483" s="98" t="s">
        <v>864</v>
      </c>
      <c r="C483" s="75" t="s">
        <v>389</v>
      </c>
      <c r="D483" s="75" t="s">
        <v>203</v>
      </c>
      <c r="E483" s="75" t="s">
        <v>716</v>
      </c>
      <c r="F483" s="75" t="s">
        <v>206</v>
      </c>
      <c r="G483" s="76">
        <f>G484</f>
        <v>3050</v>
      </c>
      <c r="H483" s="76">
        <f>H484</f>
        <v>3495</v>
      </c>
      <c r="I483" s="76">
        <f t="shared" ref="G483:I484" si="122">I484</f>
        <v>4708</v>
      </c>
    </row>
    <row r="484" spans="1:9" ht="48" customHeight="1">
      <c r="A484" s="74" t="s">
        <v>284</v>
      </c>
      <c r="B484" s="98" t="s">
        <v>864</v>
      </c>
      <c r="C484" s="75" t="s">
        <v>389</v>
      </c>
      <c r="D484" s="75" t="s">
        <v>203</v>
      </c>
      <c r="E484" s="75" t="s">
        <v>716</v>
      </c>
      <c r="F484" s="75" t="s">
        <v>283</v>
      </c>
      <c r="G484" s="76">
        <f t="shared" si="122"/>
        <v>3050</v>
      </c>
      <c r="H484" s="76">
        <f t="shared" si="122"/>
        <v>3495</v>
      </c>
      <c r="I484" s="76">
        <f t="shared" si="122"/>
        <v>4708</v>
      </c>
    </row>
    <row r="485" spans="1:9" ht="20.25" customHeight="1">
      <c r="A485" s="74" t="s">
        <v>497</v>
      </c>
      <c r="B485" s="98" t="s">
        <v>864</v>
      </c>
      <c r="C485" s="75" t="s">
        <v>389</v>
      </c>
      <c r="D485" s="75" t="s">
        <v>203</v>
      </c>
      <c r="E485" s="75" t="s">
        <v>716</v>
      </c>
      <c r="F485" s="75" t="s">
        <v>499</v>
      </c>
      <c r="G485" s="76">
        <f>'5'!D183</f>
        <v>3050</v>
      </c>
      <c r="H485" s="76">
        <f>'5'!E183</f>
        <v>3495</v>
      </c>
      <c r="I485" s="76">
        <f>'5'!F183</f>
        <v>4708</v>
      </c>
    </row>
    <row r="486" spans="1:9" ht="78.75" hidden="1">
      <c r="A486" s="70" t="s">
        <v>905</v>
      </c>
      <c r="B486" s="130" t="s">
        <v>864</v>
      </c>
      <c r="C486" s="71" t="s">
        <v>389</v>
      </c>
      <c r="D486" s="71" t="s">
        <v>203</v>
      </c>
      <c r="E486" s="71" t="s">
        <v>906</v>
      </c>
      <c r="F486" s="71" t="s">
        <v>206</v>
      </c>
      <c r="G486" s="72">
        <f t="shared" ref="G486:I487" si="123">G487</f>
        <v>0</v>
      </c>
      <c r="H486" s="72">
        <f t="shared" si="123"/>
        <v>0</v>
      </c>
      <c r="I486" s="72">
        <f t="shared" si="123"/>
        <v>0</v>
      </c>
    </row>
    <row r="487" spans="1:9" ht="47.25" hidden="1">
      <c r="A487" s="70" t="s">
        <v>284</v>
      </c>
      <c r="B487" s="130" t="s">
        <v>864</v>
      </c>
      <c r="C487" s="71" t="s">
        <v>389</v>
      </c>
      <c r="D487" s="71" t="s">
        <v>203</v>
      </c>
      <c r="E487" s="71" t="s">
        <v>906</v>
      </c>
      <c r="F487" s="71" t="s">
        <v>283</v>
      </c>
      <c r="G487" s="72">
        <f t="shared" si="123"/>
        <v>0</v>
      </c>
      <c r="H487" s="72">
        <f t="shared" si="123"/>
        <v>0</v>
      </c>
      <c r="I487" s="72">
        <f t="shared" si="123"/>
        <v>0</v>
      </c>
    </row>
    <row r="488" spans="1:9" hidden="1">
      <c r="A488" s="70" t="s">
        <v>497</v>
      </c>
      <c r="B488" s="130" t="s">
        <v>864</v>
      </c>
      <c r="C488" s="71" t="s">
        <v>389</v>
      </c>
      <c r="D488" s="71" t="s">
        <v>203</v>
      </c>
      <c r="E488" s="71" t="s">
        <v>906</v>
      </c>
      <c r="F488" s="71" t="s">
        <v>499</v>
      </c>
      <c r="G488" s="72"/>
      <c r="H488" s="72"/>
      <c r="I488" s="72"/>
    </row>
    <row r="489" spans="1:9" ht="31.5">
      <c r="A489" s="206" t="s">
        <v>717</v>
      </c>
      <c r="B489" s="207">
        <v>951</v>
      </c>
      <c r="C489" s="208" t="s">
        <v>389</v>
      </c>
      <c r="D489" s="208" t="s">
        <v>234</v>
      </c>
      <c r="E489" s="208" t="s">
        <v>205</v>
      </c>
      <c r="F489" s="208" t="s">
        <v>206</v>
      </c>
      <c r="G489" s="209">
        <f>G491+G516+G518+G523+G520</f>
        <v>1165.7</v>
      </c>
      <c r="H489" s="209">
        <f t="shared" ref="H489:I489" si="124">H491+H516+H518+H523+H520</f>
        <v>2969</v>
      </c>
      <c r="I489" s="209">
        <f t="shared" si="124"/>
        <v>2959</v>
      </c>
    </row>
    <row r="490" spans="1:9" s="210" customFormat="1" ht="66" customHeight="1">
      <c r="A490" s="104" t="s">
        <v>676</v>
      </c>
      <c r="B490" s="139" t="s">
        <v>864</v>
      </c>
      <c r="C490" s="105" t="s">
        <v>389</v>
      </c>
      <c r="D490" s="105" t="s">
        <v>234</v>
      </c>
      <c r="E490" s="105" t="s">
        <v>907</v>
      </c>
      <c r="F490" s="105" t="s">
        <v>206</v>
      </c>
      <c r="G490" s="106">
        <f>G491+G494+G501+G504+G507</f>
        <v>1041.7</v>
      </c>
      <c r="H490" s="106">
        <f>H491+H494+H501+H504+H507</f>
        <v>2845</v>
      </c>
      <c r="I490" s="106">
        <f>I491+I494+I501+I504+I507</f>
        <v>2895</v>
      </c>
    </row>
    <row r="491" spans="1:9" ht="57" customHeight="1">
      <c r="A491" s="108" t="s">
        <v>718</v>
      </c>
      <c r="B491" s="98">
        <v>951</v>
      </c>
      <c r="C491" s="75" t="s">
        <v>389</v>
      </c>
      <c r="D491" s="75" t="s">
        <v>234</v>
      </c>
      <c r="E491" s="75" t="s">
        <v>719</v>
      </c>
      <c r="F491" s="75" t="s">
        <v>206</v>
      </c>
      <c r="G491" s="76">
        <f t="shared" ref="G491:I492" si="125">G492</f>
        <v>1041.7</v>
      </c>
      <c r="H491" s="76">
        <f t="shared" si="125"/>
        <v>2845</v>
      </c>
      <c r="I491" s="76">
        <f t="shared" si="125"/>
        <v>2895</v>
      </c>
    </row>
    <row r="492" spans="1:9" ht="52.5" customHeight="1">
      <c r="A492" s="74" t="s">
        <v>284</v>
      </c>
      <c r="B492" s="98">
        <v>951</v>
      </c>
      <c r="C492" s="75" t="s">
        <v>389</v>
      </c>
      <c r="D492" s="75" t="s">
        <v>234</v>
      </c>
      <c r="E492" s="75" t="s">
        <v>719</v>
      </c>
      <c r="F492" s="75" t="s">
        <v>283</v>
      </c>
      <c r="G492" s="76">
        <f t="shared" si="125"/>
        <v>1041.7</v>
      </c>
      <c r="H492" s="76">
        <f t="shared" si="125"/>
        <v>2845</v>
      </c>
      <c r="I492" s="76">
        <f t="shared" si="125"/>
        <v>2895</v>
      </c>
    </row>
    <row r="493" spans="1:9" ht="19.5" customHeight="1">
      <c r="A493" s="74" t="s">
        <v>497</v>
      </c>
      <c r="B493" s="98">
        <v>951</v>
      </c>
      <c r="C493" s="75" t="s">
        <v>389</v>
      </c>
      <c r="D493" s="75" t="s">
        <v>234</v>
      </c>
      <c r="E493" s="75" t="s">
        <v>719</v>
      </c>
      <c r="F493" s="75" t="s">
        <v>499</v>
      </c>
      <c r="G493" s="76">
        <f>'5'!D188</f>
        <v>1041.7</v>
      </c>
      <c r="H493" s="76">
        <f>'5'!E188</f>
        <v>2845</v>
      </c>
      <c r="I493" s="76">
        <f>'5'!F188</f>
        <v>2895</v>
      </c>
    </row>
    <row r="494" spans="1:9" ht="47.25" hidden="1" customHeight="1">
      <c r="A494" s="100" t="s">
        <v>720</v>
      </c>
      <c r="B494" s="133" t="s">
        <v>864</v>
      </c>
      <c r="C494" s="101" t="s">
        <v>389</v>
      </c>
      <c r="D494" s="101" t="s">
        <v>234</v>
      </c>
      <c r="E494" s="101" t="s">
        <v>678</v>
      </c>
      <c r="F494" s="101" t="s">
        <v>206</v>
      </c>
      <c r="G494" s="102">
        <f>G498+G495</f>
        <v>0</v>
      </c>
      <c r="H494" s="102">
        <f>H498+H495</f>
        <v>0</v>
      </c>
      <c r="I494" s="102">
        <f>I498+I495</f>
        <v>0</v>
      </c>
    </row>
    <row r="495" spans="1:9" ht="63" hidden="1" customHeight="1">
      <c r="A495" s="78" t="s">
        <v>721</v>
      </c>
      <c r="B495" s="98" t="s">
        <v>864</v>
      </c>
      <c r="C495" s="75" t="s">
        <v>389</v>
      </c>
      <c r="D495" s="75" t="s">
        <v>234</v>
      </c>
      <c r="E495" s="75" t="s">
        <v>704</v>
      </c>
      <c r="F495" s="75" t="s">
        <v>206</v>
      </c>
      <c r="G495" s="76">
        <f t="shared" ref="G495:I505" si="126">G496</f>
        <v>0</v>
      </c>
      <c r="H495" s="76">
        <f t="shared" si="126"/>
        <v>0</v>
      </c>
      <c r="I495" s="76">
        <f t="shared" si="126"/>
        <v>0</v>
      </c>
    </row>
    <row r="496" spans="1:9" ht="47.25" hidden="1" customHeight="1">
      <c r="A496" s="74" t="s">
        <v>284</v>
      </c>
      <c r="B496" s="98" t="s">
        <v>864</v>
      </c>
      <c r="C496" s="75" t="s">
        <v>389</v>
      </c>
      <c r="D496" s="75" t="s">
        <v>234</v>
      </c>
      <c r="E496" s="75" t="s">
        <v>704</v>
      </c>
      <c r="F496" s="75" t="s">
        <v>283</v>
      </c>
      <c r="G496" s="76">
        <f t="shared" si="126"/>
        <v>0</v>
      </c>
      <c r="H496" s="76">
        <f t="shared" si="126"/>
        <v>0</v>
      </c>
      <c r="I496" s="76">
        <f t="shared" si="126"/>
        <v>0</v>
      </c>
    </row>
    <row r="497" spans="1:9" ht="15.75" hidden="1" customHeight="1">
      <c r="A497" s="74" t="s">
        <v>497</v>
      </c>
      <c r="B497" s="98" t="s">
        <v>864</v>
      </c>
      <c r="C497" s="75" t="s">
        <v>389</v>
      </c>
      <c r="D497" s="75" t="s">
        <v>234</v>
      </c>
      <c r="E497" s="75" t="s">
        <v>704</v>
      </c>
      <c r="F497" s="75" t="s">
        <v>499</v>
      </c>
      <c r="G497" s="76"/>
      <c r="H497" s="76"/>
      <c r="I497" s="76"/>
    </row>
    <row r="498" spans="1:9" ht="94.5" hidden="1" customHeight="1">
      <c r="A498" s="78" t="s">
        <v>705</v>
      </c>
      <c r="B498" s="98" t="s">
        <v>864</v>
      </c>
      <c r="C498" s="75" t="s">
        <v>389</v>
      </c>
      <c r="D498" s="75" t="s">
        <v>234</v>
      </c>
      <c r="E498" s="75" t="s">
        <v>706</v>
      </c>
      <c r="F498" s="75" t="s">
        <v>206</v>
      </c>
      <c r="G498" s="76">
        <f t="shared" si="126"/>
        <v>0</v>
      </c>
      <c r="H498" s="76">
        <f t="shared" si="126"/>
        <v>0</v>
      </c>
      <c r="I498" s="76">
        <f t="shared" si="126"/>
        <v>0</v>
      </c>
    </row>
    <row r="499" spans="1:9" ht="47.25" hidden="1" customHeight="1">
      <c r="A499" s="74" t="s">
        <v>284</v>
      </c>
      <c r="B499" s="98" t="s">
        <v>864</v>
      </c>
      <c r="C499" s="75" t="s">
        <v>389</v>
      </c>
      <c r="D499" s="75" t="s">
        <v>234</v>
      </c>
      <c r="E499" s="75" t="s">
        <v>706</v>
      </c>
      <c r="F499" s="75" t="s">
        <v>283</v>
      </c>
      <c r="G499" s="76">
        <f t="shared" si="126"/>
        <v>0</v>
      </c>
      <c r="H499" s="76">
        <f t="shared" si="126"/>
        <v>0</v>
      </c>
      <c r="I499" s="76">
        <f t="shared" si="126"/>
        <v>0</v>
      </c>
    </row>
    <row r="500" spans="1:9" ht="15.75" hidden="1" customHeight="1">
      <c r="A500" s="74" t="s">
        <v>497</v>
      </c>
      <c r="B500" s="98" t="s">
        <v>864</v>
      </c>
      <c r="C500" s="75" t="s">
        <v>389</v>
      </c>
      <c r="D500" s="75" t="s">
        <v>234</v>
      </c>
      <c r="E500" s="75" t="s">
        <v>706</v>
      </c>
      <c r="F500" s="75" t="s">
        <v>499</v>
      </c>
      <c r="G500" s="76"/>
      <c r="H500" s="76"/>
      <c r="I500" s="76"/>
    </row>
    <row r="501" spans="1:9" s="211" customFormat="1" ht="31.5" hidden="1" customHeight="1">
      <c r="A501" s="78" t="s">
        <v>728</v>
      </c>
      <c r="B501" s="128" t="s">
        <v>864</v>
      </c>
      <c r="C501" s="79" t="s">
        <v>389</v>
      </c>
      <c r="D501" s="79" t="s">
        <v>234</v>
      </c>
      <c r="E501" s="79" t="s">
        <v>595</v>
      </c>
      <c r="F501" s="79" t="s">
        <v>206</v>
      </c>
      <c r="G501" s="80">
        <f t="shared" si="126"/>
        <v>0</v>
      </c>
      <c r="H501" s="80">
        <f t="shared" si="126"/>
        <v>0</v>
      </c>
      <c r="I501" s="80">
        <f t="shared" si="126"/>
        <v>0</v>
      </c>
    </row>
    <row r="502" spans="1:9" ht="47.25" hidden="1" customHeight="1">
      <c r="A502" s="74" t="s">
        <v>284</v>
      </c>
      <c r="B502" s="98" t="s">
        <v>864</v>
      </c>
      <c r="C502" s="75" t="s">
        <v>389</v>
      </c>
      <c r="D502" s="75" t="s">
        <v>234</v>
      </c>
      <c r="E502" s="79" t="s">
        <v>595</v>
      </c>
      <c r="F502" s="79" t="s">
        <v>283</v>
      </c>
      <c r="G502" s="76">
        <f t="shared" si="126"/>
        <v>0</v>
      </c>
      <c r="H502" s="76">
        <f t="shared" si="126"/>
        <v>0</v>
      </c>
      <c r="I502" s="76">
        <f t="shared" si="126"/>
        <v>0</v>
      </c>
    </row>
    <row r="503" spans="1:9" ht="15.75" hidden="1" customHeight="1">
      <c r="A503" s="74" t="s">
        <v>497</v>
      </c>
      <c r="B503" s="98" t="s">
        <v>864</v>
      </c>
      <c r="C503" s="75" t="s">
        <v>389</v>
      </c>
      <c r="D503" s="75" t="s">
        <v>234</v>
      </c>
      <c r="E503" s="79" t="s">
        <v>595</v>
      </c>
      <c r="F503" s="79" t="s">
        <v>499</v>
      </c>
      <c r="G503" s="76"/>
      <c r="H503" s="76"/>
      <c r="I503" s="76"/>
    </row>
    <row r="504" spans="1:9" s="211" customFormat="1" ht="47.25" hidden="1" customHeight="1">
      <c r="A504" s="78" t="s">
        <v>596</v>
      </c>
      <c r="B504" s="128" t="s">
        <v>864</v>
      </c>
      <c r="C504" s="79" t="s">
        <v>389</v>
      </c>
      <c r="D504" s="79" t="s">
        <v>234</v>
      </c>
      <c r="E504" s="79" t="s">
        <v>597</v>
      </c>
      <c r="F504" s="79" t="s">
        <v>206</v>
      </c>
      <c r="G504" s="80">
        <f t="shared" si="126"/>
        <v>0</v>
      </c>
      <c r="H504" s="80">
        <f t="shared" si="126"/>
        <v>0</v>
      </c>
      <c r="I504" s="80">
        <f t="shared" si="126"/>
        <v>0</v>
      </c>
    </row>
    <row r="505" spans="1:9" ht="47.25" hidden="1" customHeight="1">
      <c r="A505" s="74" t="s">
        <v>284</v>
      </c>
      <c r="B505" s="98" t="s">
        <v>864</v>
      </c>
      <c r="C505" s="75" t="s">
        <v>389</v>
      </c>
      <c r="D505" s="75" t="s">
        <v>234</v>
      </c>
      <c r="E505" s="79" t="s">
        <v>597</v>
      </c>
      <c r="F505" s="75" t="s">
        <v>283</v>
      </c>
      <c r="G505" s="76">
        <f t="shared" si="126"/>
        <v>0</v>
      </c>
      <c r="H505" s="76">
        <f t="shared" si="126"/>
        <v>0</v>
      </c>
      <c r="I505" s="76">
        <f t="shared" si="126"/>
        <v>0</v>
      </c>
    </row>
    <row r="506" spans="1:9" ht="15.75" hidden="1" customHeight="1">
      <c r="A506" s="74" t="s">
        <v>497</v>
      </c>
      <c r="B506" s="98" t="s">
        <v>864</v>
      </c>
      <c r="C506" s="75" t="s">
        <v>389</v>
      </c>
      <c r="D506" s="75" t="s">
        <v>234</v>
      </c>
      <c r="E506" s="79" t="s">
        <v>597</v>
      </c>
      <c r="F506" s="75" t="s">
        <v>499</v>
      </c>
      <c r="G506" s="76"/>
      <c r="H506" s="76"/>
      <c r="I506" s="76"/>
    </row>
    <row r="507" spans="1:9" s="218" customFormat="1" ht="94.5" hidden="1" customHeight="1">
      <c r="A507" s="100" t="s">
        <v>722</v>
      </c>
      <c r="B507" s="133" t="s">
        <v>864</v>
      </c>
      <c r="C507" s="101" t="s">
        <v>389</v>
      </c>
      <c r="D507" s="101" t="s">
        <v>234</v>
      </c>
      <c r="E507" s="101" t="s">
        <v>723</v>
      </c>
      <c r="F507" s="101" t="s">
        <v>206</v>
      </c>
      <c r="G507" s="102">
        <f>G508+G511</f>
        <v>0</v>
      </c>
      <c r="H507" s="102">
        <f>H508+H511</f>
        <v>0</v>
      </c>
      <c r="I507" s="102">
        <f>I508+I511</f>
        <v>0</v>
      </c>
    </row>
    <row r="508" spans="1:9" s="211" customFormat="1" ht="110.25" hidden="1" customHeight="1">
      <c r="A508" s="78" t="s">
        <v>724</v>
      </c>
      <c r="B508" s="128" t="s">
        <v>864</v>
      </c>
      <c r="C508" s="79" t="s">
        <v>389</v>
      </c>
      <c r="D508" s="79" t="s">
        <v>234</v>
      </c>
      <c r="E508" s="79" t="s">
        <v>725</v>
      </c>
      <c r="F508" s="79" t="s">
        <v>206</v>
      </c>
      <c r="G508" s="80">
        <f t="shared" ref="G508:I509" si="127">G509</f>
        <v>0</v>
      </c>
      <c r="H508" s="80">
        <f t="shared" si="127"/>
        <v>0</v>
      </c>
      <c r="I508" s="80">
        <f t="shared" si="127"/>
        <v>0</v>
      </c>
    </row>
    <row r="509" spans="1:9" ht="47.25" hidden="1" customHeight="1">
      <c r="A509" s="74" t="s">
        <v>284</v>
      </c>
      <c r="B509" s="98" t="s">
        <v>864</v>
      </c>
      <c r="C509" s="75" t="s">
        <v>389</v>
      </c>
      <c r="D509" s="75" t="s">
        <v>234</v>
      </c>
      <c r="E509" s="75" t="s">
        <v>725</v>
      </c>
      <c r="F509" s="75" t="s">
        <v>283</v>
      </c>
      <c r="G509" s="76">
        <f t="shared" si="127"/>
        <v>0</v>
      </c>
      <c r="H509" s="76">
        <f t="shared" si="127"/>
        <v>0</v>
      </c>
      <c r="I509" s="76">
        <f t="shared" si="127"/>
        <v>0</v>
      </c>
    </row>
    <row r="510" spans="1:9" ht="15.75" hidden="1" customHeight="1">
      <c r="A510" s="74" t="s">
        <v>497</v>
      </c>
      <c r="B510" s="98" t="s">
        <v>864</v>
      </c>
      <c r="C510" s="75" t="s">
        <v>389</v>
      </c>
      <c r="D510" s="75" t="s">
        <v>234</v>
      </c>
      <c r="E510" s="75" t="s">
        <v>725</v>
      </c>
      <c r="F510" s="75" t="s">
        <v>499</v>
      </c>
      <c r="G510" s="76">
        <f>'5'!D202</f>
        <v>0</v>
      </c>
      <c r="H510" s="76">
        <f>'5'!E202</f>
        <v>0</v>
      </c>
      <c r="I510" s="76">
        <f>'5'!F202</f>
        <v>0</v>
      </c>
    </row>
    <row r="511" spans="1:9" s="211" customFormat="1" ht="141.75" hidden="1" customHeight="1">
      <c r="A511" s="78" t="s">
        <v>908</v>
      </c>
      <c r="B511" s="128" t="s">
        <v>864</v>
      </c>
      <c r="C511" s="79" t="s">
        <v>389</v>
      </c>
      <c r="D511" s="79" t="s">
        <v>234</v>
      </c>
      <c r="E511" s="79" t="s">
        <v>727</v>
      </c>
      <c r="F511" s="79" t="s">
        <v>206</v>
      </c>
      <c r="G511" s="219">
        <f t="shared" ref="G511:I512" si="128">G512</f>
        <v>0</v>
      </c>
      <c r="H511" s="219">
        <f t="shared" si="128"/>
        <v>0</v>
      </c>
      <c r="I511" s="219">
        <f t="shared" si="128"/>
        <v>0</v>
      </c>
    </row>
    <row r="512" spans="1:9" ht="47.25" hidden="1" customHeight="1">
      <c r="A512" s="74" t="s">
        <v>284</v>
      </c>
      <c r="B512" s="98" t="s">
        <v>864</v>
      </c>
      <c r="C512" s="75" t="s">
        <v>389</v>
      </c>
      <c r="D512" s="75" t="s">
        <v>234</v>
      </c>
      <c r="E512" s="75" t="s">
        <v>727</v>
      </c>
      <c r="F512" s="75" t="s">
        <v>283</v>
      </c>
      <c r="G512" s="155">
        <f t="shared" si="128"/>
        <v>0</v>
      </c>
      <c r="H512" s="155">
        <f t="shared" si="128"/>
        <v>0</v>
      </c>
      <c r="I512" s="155">
        <f t="shared" si="128"/>
        <v>0</v>
      </c>
    </row>
    <row r="513" spans="1:9" ht="15.75" hidden="1" customHeight="1">
      <c r="A513" s="74" t="s">
        <v>497</v>
      </c>
      <c r="B513" s="98" t="s">
        <v>864</v>
      </c>
      <c r="C513" s="75" t="s">
        <v>389</v>
      </c>
      <c r="D513" s="75" t="s">
        <v>234</v>
      </c>
      <c r="E513" s="75" t="s">
        <v>727</v>
      </c>
      <c r="F513" s="75" t="s">
        <v>499</v>
      </c>
      <c r="G513" s="155">
        <f>'5'!D203</f>
        <v>0</v>
      </c>
      <c r="H513" s="155">
        <f>'5'!E203</f>
        <v>0</v>
      </c>
      <c r="I513" s="155">
        <f>'5'!F203</f>
        <v>0</v>
      </c>
    </row>
    <row r="514" spans="1:9" ht="48.75" customHeight="1">
      <c r="A514" s="78" t="s">
        <v>315</v>
      </c>
      <c r="B514" s="128">
        <v>951</v>
      </c>
      <c r="C514" s="79" t="s">
        <v>389</v>
      </c>
      <c r="D514" s="79" t="s">
        <v>234</v>
      </c>
      <c r="E514" s="79" t="s">
        <v>493</v>
      </c>
      <c r="F514" s="79" t="s">
        <v>206</v>
      </c>
      <c r="G514" s="80">
        <f t="shared" ref="G514:I515" si="129">G515</f>
        <v>39</v>
      </c>
      <c r="H514" s="80">
        <f t="shared" si="129"/>
        <v>39</v>
      </c>
      <c r="I514" s="80">
        <f t="shared" si="129"/>
        <v>39</v>
      </c>
    </row>
    <row r="515" spans="1:9" ht="36" customHeight="1">
      <c r="A515" s="74" t="s">
        <v>729</v>
      </c>
      <c r="B515" s="98">
        <v>951</v>
      </c>
      <c r="C515" s="75" t="s">
        <v>389</v>
      </c>
      <c r="D515" s="75" t="s">
        <v>234</v>
      </c>
      <c r="E515" s="75" t="s">
        <v>730</v>
      </c>
      <c r="F515" s="75" t="s">
        <v>206</v>
      </c>
      <c r="G515" s="76">
        <f t="shared" si="129"/>
        <v>39</v>
      </c>
      <c r="H515" s="76">
        <f t="shared" si="129"/>
        <v>39</v>
      </c>
      <c r="I515" s="76">
        <f t="shared" si="129"/>
        <v>39</v>
      </c>
    </row>
    <row r="516" spans="1:9">
      <c r="A516" s="74" t="s">
        <v>497</v>
      </c>
      <c r="B516" s="98">
        <v>951</v>
      </c>
      <c r="C516" s="75" t="s">
        <v>389</v>
      </c>
      <c r="D516" s="75" t="s">
        <v>234</v>
      </c>
      <c r="E516" s="75" t="s">
        <v>731</v>
      </c>
      <c r="F516" s="75" t="s">
        <v>499</v>
      </c>
      <c r="G516" s="76">
        <f>'5'!D102</f>
        <v>39</v>
      </c>
      <c r="H516" s="76">
        <f>'5'!E102</f>
        <v>39</v>
      </c>
      <c r="I516" s="76">
        <f>'5'!F102</f>
        <v>39</v>
      </c>
    </row>
    <row r="517" spans="1:9" ht="66.75" customHeight="1">
      <c r="A517" s="78" t="s">
        <v>652</v>
      </c>
      <c r="B517" s="128">
        <v>951</v>
      </c>
      <c r="C517" s="79" t="s">
        <v>389</v>
      </c>
      <c r="D517" s="79" t="s">
        <v>234</v>
      </c>
      <c r="E517" s="79" t="s">
        <v>656</v>
      </c>
      <c r="F517" s="79" t="s">
        <v>206</v>
      </c>
      <c r="G517" s="80">
        <f>G518</f>
        <v>5</v>
      </c>
      <c r="H517" s="80">
        <f>H518</f>
        <v>5</v>
      </c>
      <c r="I517" s="80">
        <f>I518</f>
        <v>5</v>
      </c>
    </row>
    <row r="518" spans="1:9" ht="36" customHeight="1">
      <c r="A518" s="74" t="s">
        <v>732</v>
      </c>
      <c r="B518" s="98">
        <v>951</v>
      </c>
      <c r="C518" s="75" t="s">
        <v>389</v>
      </c>
      <c r="D518" s="75" t="s">
        <v>234</v>
      </c>
      <c r="E518" s="75" t="s">
        <v>733</v>
      </c>
      <c r="F518" s="75" t="s">
        <v>499</v>
      </c>
      <c r="G518" s="76">
        <f>'5'!D118</f>
        <v>5</v>
      </c>
      <c r="H518" s="76">
        <f>'5'!E118</f>
        <v>5</v>
      </c>
      <c r="I518" s="76">
        <f>'5'!F118</f>
        <v>5</v>
      </c>
    </row>
    <row r="519" spans="1:9" ht="81.75" customHeight="1">
      <c r="A519" s="78" t="s">
        <v>329</v>
      </c>
      <c r="B519" s="128">
        <v>951</v>
      </c>
      <c r="C519" s="79" t="s">
        <v>389</v>
      </c>
      <c r="D519" s="79" t="s">
        <v>234</v>
      </c>
      <c r="E519" s="128" t="s">
        <v>330</v>
      </c>
      <c r="F519" s="79" t="s">
        <v>206</v>
      </c>
      <c r="G519" s="80">
        <f t="shared" ref="G519:I520" si="130">G520</f>
        <v>60</v>
      </c>
      <c r="H519" s="80">
        <f t="shared" si="130"/>
        <v>60</v>
      </c>
      <c r="I519" s="80">
        <f t="shared" si="130"/>
        <v>20</v>
      </c>
    </row>
    <row r="520" spans="1:9" ht="56.25" customHeight="1">
      <c r="A520" s="74" t="s">
        <v>284</v>
      </c>
      <c r="B520" s="98">
        <v>951</v>
      </c>
      <c r="C520" s="75" t="s">
        <v>389</v>
      </c>
      <c r="D520" s="75" t="s">
        <v>234</v>
      </c>
      <c r="E520" s="98" t="s">
        <v>734</v>
      </c>
      <c r="F520" s="75" t="s">
        <v>283</v>
      </c>
      <c r="G520" s="76">
        <f t="shared" si="130"/>
        <v>60</v>
      </c>
      <c r="H520" s="76">
        <f t="shared" si="130"/>
        <v>60</v>
      </c>
      <c r="I520" s="76">
        <f t="shared" si="130"/>
        <v>20</v>
      </c>
    </row>
    <row r="521" spans="1:9" ht="36" customHeight="1">
      <c r="A521" s="74" t="s">
        <v>732</v>
      </c>
      <c r="B521" s="98">
        <v>951</v>
      </c>
      <c r="C521" s="75" t="s">
        <v>389</v>
      </c>
      <c r="D521" s="75" t="s">
        <v>234</v>
      </c>
      <c r="E521" s="98" t="s">
        <v>734</v>
      </c>
      <c r="F521" s="75" t="s">
        <v>499</v>
      </c>
      <c r="G521" s="76">
        <f>'5'!D126</f>
        <v>60</v>
      </c>
      <c r="H521" s="76">
        <f>'5'!E126</f>
        <v>60</v>
      </c>
      <c r="I521" s="76">
        <f>'5'!F126</f>
        <v>20</v>
      </c>
    </row>
    <row r="522" spans="1:9" ht="99.75" customHeight="1">
      <c r="A522" s="78" t="s">
        <v>467</v>
      </c>
      <c r="B522" s="128">
        <v>951</v>
      </c>
      <c r="C522" s="79" t="s">
        <v>389</v>
      </c>
      <c r="D522" s="79" t="s">
        <v>234</v>
      </c>
      <c r="E522" s="79" t="s">
        <v>468</v>
      </c>
      <c r="F522" s="79" t="s">
        <v>206</v>
      </c>
      <c r="G522" s="80">
        <f t="shared" ref="G522:I523" si="131">G523</f>
        <v>20</v>
      </c>
      <c r="H522" s="80">
        <f t="shared" si="131"/>
        <v>20</v>
      </c>
      <c r="I522" s="80">
        <f t="shared" si="131"/>
        <v>0</v>
      </c>
    </row>
    <row r="523" spans="1:9" ht="47.25" customHeight="1">
      <c r="A523" s="74" t="s">
        <v>284</v>
      </c>
      <c r="B523" s="98">
        <v>951</v>
      </c>
      <c r="C523" s="75" t="s">
        <v>389</v>
      </c>
      <c r="D523" s="75" t="s">
        <v>234</v>
      </c>
      <c r="E523" s="75" t="s">
        <v>735</v>
      </c>
      <c r="F523" s="75" t="s">
        <v>283</v>
      </c>
      <c r="G523" s="76">
        <f t="shared" si="131"/>
        <v>20</v>
      </c>
      <c r="H523" s="76">
        <f t="shared" si="131"/>
        <v>20</v>
      </c>
      <c r="I523" s="76">
        <f t="shared" si="131"/>
        <v>0</v>
      </c>
    </row>
    <row r="524" spans="1:9" ht="23.25" customHeight="1">
      <c r="A524" s="74" t="s">
        <v>497</v>
      </c>
      <c r="B524" s="98">
        <v>951</v>
      </c>
      <c r="C524" s="75" t="s">
        <v>389</v>
      </c>
      <c r="D524" s="75" t="s">
        <v>234</v>
      </c>
      <c r="E524" s="75" t="s">
        <v>735</v>
      </c>
      <c r="F524" s="75" t="s">
        <v>499</v>
      </c>
      <c r="G524" s="76">
        <f>'5'!D221</f>
        <v>20</v>
      </c>
      <c r="H524" s="76">
        <f>'5'!E221</f>
        <v>20</v>
      </c>
      <c r="I524" s="76">
        <f>'5'!F221</f>
        <v>0</v>
      </c>
    </row>
    <row r="525" spans="1:9" s="211" customFormat="1" ht="15.75" hidden="1" customHeight="1">
      <c r="A525" s="152" t="s">
        <v>739</v>
      </c>
      <c r="B525" s="220">
        <v>951</v>
      </c>
      <c r="C525" s="153" t="s">
        <v>353</v>
      </c>
      <c r="D525" s="153" t="s">
        <v>204</v>
      </c>
      <c r="E525" s="153" t="s">
        <v>205</v>
      </c>
      <c r="F525" s="153" t="s">
        <v>206</v>
      </c>
      <c r="G525" s="154">
        <f>G527</f>
        <v>0</v>
      </c>
      <c r="H525" s="154">
        <f>H527</f>
        <v>0</v>
      </c>
      <c r="I525" s="154">
        <f>I527</f>
        <v>0</v>
      </c>
    </row>
    <row r="526" spans="1:9" s="210" customFormat="1" ht="31.5" hidden="1" customHeight="1">
      <c r="A526" s="141" t="s">
        <v>740</v>
      </c>
      <c r="B526" s="142" t="s">
        <v>864</v>
      </c>
      <c r="C526" s="142" t="s">
        <v>353</v>
      </c>
      <c r="D526" s="142" t="s">
        <v>353</v>
      </c>
      <c r="E526" s="142" t="s">
        <v>205</v>
      </c>
      <c r="F526" s="142" t="s">
        <v>206</v>
      </c>
      <c r="G526" s="143">
        <f t="shared" ref="G526:I528" si="132">G527</f>
        <v>0</v>
      </c>
      <c r="H526" s="143">
        <f t="shared" si="132"/>
        <v>0</v>
      </c>
      <c r="I526" s="143">
        <f t="shared" si="132"/>
        <v>0</v>
      </c>
    </row>
    <row r="527" spans="1:9" ht="47.25" hidden="1" customHeight="1">
      <c r="A527" s="70" t="s">
        <v>741</v>
      </c>
      <c r="B527" s="213">
        <v>951</v>
      </c>
      <c r="C527" s="127" t="s">
        <v>353</v>
      </c>
      <c r="D527" s="127" t="s">
        <v>353</v>
      </c>
      <c r="E527" s="127" t="s">
        <v>668</v>
      </c>
      <c r="F527" s="71" t="s">
        <v>206</v>
      </c>
      <c r="G527" s="72">
        <f t="shared" si="132"/>
        <v>0</v>
      </c>
      <c r="H527" s="72">
        <f t="shared" si="132"/>
        <v>0</v>
      </c>
      <c r="I527" s="72">
        <f t="shared" si="132"/>
        <v>0</v>
      </c>
    </row>
    <row r="528" spans="1:9" ht="31.5" hidden="1" customHeight="1">
      <c r="A528" s="70" t="s">
        <v>223</v>
      </c>
      <c r="B528" s="213">
        <v>951</v>
      </c>
      <c r="C528" s="127" t="s">
        <v>353</v>
      </c>
      <c r="D528" s="127" t="s">
        <v>353</v>
      </c>
      <c r="E528" s="71" t="s">
        <v>742</v>
      </c>
      <c r="F528" s="71" t="s">
        <v>224</v>
      </c>
      <c r="G528" s="72">
        <f t="shared" si="132"/>
        <v>0</v>
      </c>
      <c r="H528" s="72">
        <f t="shared" si="132"/>
        <v>0</v>
      </c>
      <c r="I528" s="72">
        <f t="shared" si="132"/>
        <v>0</v>
      </c>
    </row>
    <row r="529" spans="1:12" ht="47.25" hidden="1" customHeight="1">
      <c r="A529" s="70" t="s">
        <v>225</v>
      </c>
      <c r="B529" s="213">
        <v>951</v>
      </c>
      <c r="C529" s="127" t="s">
        <v>353</v>
      </c>
      <c r="D529" s="127" t="s">
        <v>353</v>
      </c>
      <c r="E529" s="71" t="s">
        <v>669</v>
      </c>
      <c r="F529" s="71" t="s">
        <v>226</v>
      </c>
      <c r="G529" s="72"/>
      <c r="H529" s="72"/>
      <c r="I529" s="72"/>
    </row>
    <row r="530" spans="1:12" ht="15.75" hidden="1" customHeight="1">
      <c r="A530" s="70"/>
      <c r="B530" s="130"/>
      <c r="C530" s="71"/>
      <c r="D530" s="71"/>
      <c r="E530" s="71"/>
      <c r="F530" s="71"/>
      <c r="G530" s="72"/>
      <c r="H530" s="72"/>
      <c r="I530" s="72"/>
    </row>
    <row r="531" spans="1:12" ht="19.899999999999999" customHeight="1">
      <c r="A531" s="66" t="s">
        <v>743</v>
      </c>
      <c r="B531" s="199">
        <v>951</v>
      </c>
      <c r="C531" s="67" t="s">
        <v>367</v>
      </c>
      <c r="D531" s="67" t="s">
        <v>204</v>
      </c>
      <c r="E531" s="67" t="s">
        <v>205</v>
      </c>
      <c r="F531" s="67" t="s">
        <v>206</v>
      </c>
      <c r="G531" s="68">
        <f>G532+G537+G552+G599</f>
        <v>47583.066179999994</v>
      </c>
      <c r="H531" s="68">
        <f t="shared" ref="H531:I531" si="133">H532+H537+H552+H599</f>
        <v>53314.608833709535</v>
      </c>
      <c r="I531" s="68">
        <f t="shared" si="133"/>
        <v>56098.013459379887</v>
      </c>
      <c r="J531" s="184"/>
      <c r="K531" s="184"/>
      <c r="L531" s="184"/>
    </row>
    <row r="532" spans="1:12" ht="17.100000000000001" customHeight="1">
      <c r="A532" s="206" t="s">
        <v>744</v>
      </c>
      <c r="B532" s="207">
        <v>951</v>
      </c>
      <c r="C532" s="208" t="s">
        <v>367</v>
      </c>
      <c r="D532" s="208" t="s">
        <v>203</v>
      </c>
      <c r="E532" s="208" t="s">
        <v>205</v>
      </c>
      <c r="F532" s="208" t="s">
        <v>206</v>
      </c>
      <c r="G532" s="209">
        <f>G534</f>
        <v>2172</v>
      </c>
      <c r="H532" s="209">
        <f t="shared" ref="H532:I532" si="134">H534</f>
        <v>2097.7973499999998</v>
      </c>
      <c r="I532" s="209">
        <f t="shared" si="134"/>
        <v>1420.8112100000001</v>
      </c>
    </row>
    <row r="533" spans="1:12" ht="31.5" customHeight="1">
      <c r="A533" s="70" t="s">
        <v>745</v>
      </c>
      <c r="B533" s="130">
        <v>951</v>
      </c>
      <c r="C533" s="71" t="s">
        <v>367</v>
      </c>
      <c r="D533" s="71" t="s">
        <v>203</v>
      </c>
      <c r="E533" s="71" t="s">
        <v>746</v>
      </c>
      <c r="F533" s="71" t="s">
        <v>206</v>
      </c>
      <c r="G533" s="72">
        <f t="shared" ref="G533:I535" si="135">G534</f>
        <v>2172</v>
      </c>
      <c r="H533" s="72">
        <f t="shared" si="135"/>
        <v>2097.7973499999998</v>
      </c>
      <c r="I533" s="72">
        <f t="shared" si="135"/>
        <v>1420.8112100000001</v>
      </c>
    </row>
    <row r="534" spans="1:12" ht="43.5" customHeight="1">
      <c r="A534" s="74" t="s">
        <v>747</v>
      </c>
      <c r="B534" s="98">
        <v>951</v>
      </c>
      <c r="C534" s="75" t="s">
        <v>367</v>
      </c>
      <c r="D534" s="75" t="s">
        <v>203</v>
      </c>
      <c r="E534" s="75" t="s">
        <v>746</v>
      </c>
      <c r="F534" s="75" t="s">
        <v>206</v>
      </c>
      <c r="G534" s="76">
        <f t="shared" si="135"/>
        <v>2172</v>
      </c>
      <c r="H534" s="76">
        <f t="shared" si="135"/>
        <v>2097.7973499999998</v>
      </c>
      <c r="I534" s="76">
        <f t="shared" si="135"/>
        <v>1420.8112100000001</v>
      </c>
    </row>
    <row r="535" spans="1:12" ht="31.5">
      <c r="A535" s="74" t="s">
        <v>242</v>
      </c>
      <c r="B535" s="98">
        <v>951</v>
      </c>
      <c r="C535" s="75" t="s">
        <v>367</v>
      </c>
      <c r="D535" s="75" t="s">
        <v>203</v>
      </c>
      <c r="E535" s="75" t="s">
        <v>746</v>
      </c>
      <c r="F535" s="75" t="s">
        <v>243</v>
      </c>
      <c r="G535" s="76">
        <f t="shared" si="135"/>
        <v>2172</v>
      </c>
      <c r="H535" s="76">
        <f t="shared" si="135"/>
        <v>2097.7973499999998</v>
      </c>
      <c r="I535" s="76">
        <f t="shared" si="135"/>
        <v>1420.8112100000001</v>
      </c>
    </row>
    <row r="536" spans="1:12" ht="30" customHeight="1">
      <c r="A536" s="74" t="s">
        <v>630</v>
      </c>
      <c r="B536" s="98">
        <v>951</v>
      </c>
      <c r="C536" s="75" t="s">
        <v>367</v>
      </c>
      <c r="D536" s="75" t="s">
        <v>203</v>
      </c>
      <c r="E536" s="75" t="s">
        <v>746</v>
      </c>
      <c r="F536" s="75" t="s">
        <v>631</v>
      </c>
      <c r="G536" s="76">
        <f>'5'!D288</f>
        <v>2172</v>
      </c>
      <c r="H536" s="76">
        <f>'5'!E288</f>
        <v>2097.7973499999998</v>
      </c>
      <c r="I536" s="76">
        <f>'5'!F288</f>
        <v>1420.8112100000001</v>
      </c>
    </row>
    <row r="537" spans="1:12" ht="21" customHeight="1">
      <c r="A537" s="206" t="s">
        <v>748</v>
      </c>
      <c r="B537" s="207">
        <v>951</v>
      </c>
      <c r="C537" s="208" t="s">
        <v>367</v>
      </c>
      <c r="D537" s="208" t="s">
        <v>220</v>
      </c>
      <c r="E537" s="208" t="s">
        <v>205</v>
      </c>
      <c r="F537" s="208" t="s">
        <v>206</v>
      </c>
      <c r="G537" s="209">
        <f>G538+G544</f>
        <v>790</v>
      </c>
      <c r="H537" s="209">
        <f t="shared" ref="H537:I537" si="136">H538</f>
        <v>300</v>
      </c>
      <c r="I537" s="209">
        <f t="shared" si="136"/>
        <v>300</v>
      </c>
    </row>
    <row r="538" spans="1:12" ht="70.5" customHeight="1">
      <c r="A538" s="78" t="s">
        <v>909</v>
      </c>
      <c r="B538" s="98">
        <v>951</v>
      </c>
      <c r="C538" s="79" t="s">
        <v>367</v>
      </c>
      <c r="D538" s="79" t="s">
        <v>220</v>
      </c>
      <c r="E538" s="79" t="s">
        <v>752</v>
      </c>
      <c r="F538" s="79" t="s">
        <v>206</v>
      </c>
      <c r="G538" s="80">
        <f t="shared" ref="G538:I539" si="137">G539</f>
        <v>300</v>
      </c>
      <c r="H538" s="80">
        <f t="shared" si="137"/>
        <v>300</v>
      </c>
      <c r="I538" s="80">
        <f t="shared" si="137"/>
        <v>300</v>
      </c>
    </row>
    <row r="539" spans="1:12" ht="38.25" customHeight="1">
      <c r="A539" s="74" t="s">
        <v>242</v>
      </c>
      <c r="B539" s="98" t="s">
        <v>864</v>
      </c>
      <c r="C539" s="75" t="s">
        <v>367</v>
      </c>
      <c r="D539" s="75" t="s">
        <v>220</v>
      </c>
      <c r="E539" s="75" t="s">
        <v>753</v>
      </c>
      <c r="F539" s="75" t="s">
        <v>243</v>
      </c>
      <c r="G539" s="76">
        <f t="shared" si="137"/>
        <v>300</v>
      </c>
      <c r="H539" s="76">
        <f t="shared" si="137"/>
        <v>300</v>
      </c>
      <c r="I539" s="76">
        <f t="shared" si="137"/>
        <v>300</v>
      </c>
    </row>
    <row r="540" spans="1:12" ht="56.25" customHeight="1">
      <c r="A540" s="74" t="s">
        <v>244</v>
      </c>
      <c r="B540" s="98">
        <v>951</v>
      </c>
      <c r="C540" s="75" t="s">
        <v>367</v>
      </c>
      <c r="D540" s="75" t="s">
        <v>220</v>
      </c>
      <c r="E540" s="75" t="s">
        <v>753</v>
      </c>
      <c r="F540" s="75" t="s">
        <v>245</v>
      </c>
      <c r="G540" s="76">
        <f>'5'!D152</f>
        <v>300</v>
      </c>
      <c r="H540" s="76">
        <f>'5'!E152</f>
        <v>300</v>
      </c>
      <c r="I540" s="76">
        <f>'5'!F152</f>
        <v>300</v>
      </c>
    </row>
    <row r="541" spans="1:12" ht="31.5" hidden="1" customHeight="1">
      <c r="A541" s="141" t="s">
        <v>910</v>
      </c>
      <c r="B541" s="221">
        <v>952</v>
      </c>
      <c r="C541" s="71" t="s">
        <v>367</v>
      </c>
      <c r="D541" s="71" t="s">
        <v>220</v>
      </c>
      <c r="E541" s="142" t="s">
        <v>205</v>
      </c>
      <c r="F541" s="142" t="s">
        <v>206</v>
      </c>
      <c r="G541" s="143">
        <f t="shared" ref="G541:I544" si="138">G542</f>
        <v>0</v>
      </c>
      <c r="H541" s="143">
        <f t="shared" si="138"/>
        <v>0</v>
      </c>
      <c r="I541" s="143">
        <f t="shared" si="138"/>
        <v>0</v>
      </c>
    </row>
    <row r="542" spans="1:12" ht="31.5" hidden="1" customHeight="1">
      <c r="A542" s="70" t="s">
        <v>242</v>
      </c>
      <c r="B542" s="130">
        <v>953</v>
      </c>
      <c r="C542" s="71" t="s">
        <v>367</v>
      </c>
      <c r="D542" s="71" t="s">
        <v>220</v>
      </c>
      <c r="E542" s="71" t="s">
        <v>302</v>
      </c>
      <c r="F542" s="71" t="s">
        <v>243</v>
      </c>
      <c r="G542" s="72">
        <f t="shared" si="138"/>
        <v>0</v>
      </c>
      <c r="H542" s="72">
        <f t="shared" si="138"/>
        <v>0</v>
      </c>
      <c r="I542" s="72">
        <f t="shared" si="138"/>
        <v>0</v>
      </c>
    </row>
    <row r="543" spans="1:12" ht="47.25" hidden="1" customHeight="1">
      <c r="A543" s="70" t="s">
        <v>244</v>
      </c>
      <c r="B543" s="130">
        <v>954</v>
      </c>
      <c r="C543" s="71" t="s">
        <v>367</v>
      </c>
      <c r="D543" s="71" t="s">
        <v>220</v>
      </c>
      <c r="E543" s="71" t="s">
        <v>302</v>
      </c>
      <c r="F543" s="71" t="s">
        <v>245</v>
      </c>
      <c r="G543" s="72"/>
      <c r="H543" s="72"/>
      <c r="I543" s="72"/>
    </row>
    <row r="544" spans="1:12" ht="47.25" customHeight="1">
      <c r="A544" s="70" t="s">
        <v>209</v>
      </c>
      <c r="B544" s="130" t="s">
        <v>864</v>
      </c>
      <c r="C544" s="71" t="s">
        <v>367</v>
      </c>
      <c r="D544" s="71" t="s">
        <v>220</v>
      </c>
      <c r="E544" s="71" t="s">
        <v>205</v>
      </c>
      <c r="F544" s="71" t="s">
        <v>206</v>
      </c>
      <c r="G544" s="72">
        <f t="shared" si="138"/>
        <v>490</v>
      </c>
      <c r="H544" s="72">
        <f t="shared" ref="H544:I547" si="139">H545</f>
        <v>0</v>
      </c>
      <c r="I544" s="72">
        <f t="shared" si="139"/>
        <v>0</v>
      </c>
    </row>
    <row r="545" spans="1:9" ht="47.25" customHeight="1">
      <c r="A545" s="70" t="s">
        <v>211</v>
      </c>
      <c r="B545" s="130" t="s">
        <v>864</v>
      </c>
      <c r="C545" s="71" t="s">
        <v>367</v>
      </c>
      <c r="D545" s="71" t="s">
        <v>220</v>
      </c>
      <c r="E545" s="71" t="s">
        <v>205</v>
      </c>
      <c r="F545" s="71" t="s">
        <v>206</v>
      </c>
      <c r="G545" s="72">
        <f>G546+G549</f>
        <v>490</v>
      </c>
      <c r="H545" s="72">
        <f>H546+H549</f>
        <v>0</v>
      </c>
      <c r="I545" s="72">
        <f>I546+I549</f>
        <v>0</v>
      </c>
    </row>
    <row r="546" spans="1:9" ht="267.75" hidden="1" customHeight="1">
      <c r="A546" s="132" t="s">
        <v>911</v>
      </c>
      <c r="B546" s="213" t="s">
        <v>864</v>
      </c>
      <c r="C546" s="127" t="s">
        <v>367</v>
      </c>
      <c r="D546" s="127" t="s">
        <v>220</v>
      </c>
      <c r="E546" s="127" t="s">
        <v>755</v>
      </c>
      <c r="F546" s="127" t="s">
        <v>206</v>
      </c>
      <c r="G546" s="129">
        <f t="shared" ref="G546:I550" si="140">G547</f>
        <v>0</v>
      </c>
      <c r="H546" s="129">
        <f t="shared" si="139"/>
        <v>0</v>
      </c>
      <c r="I546" s="129">
        <f t="shared" si="139"/>
        <v>0</v>
      </c>
    </row>
    <row r="547" spans="1:9" ht="15.75" hidden="1" customHeight="1">
      <c r="A547" s="70" t="s">
        <v>229</v>
      </c>
      <c r="B547" s="130" t="s">
        <v>864</v>
      </c>
      <c r="C547" s="71" t="s">
        <v>367</v>
      </c>
      <c r="D547" s="71" t="s">
        <v>220</v>
      </c>
      <c r="E547" s="71" t="s">
        <v>755</v>
      </c>
      <c r="F547" s="71" t="s">
        <v>230</v>
      </c>
      <c r="G547" s="72">
        <f t="shared" si="140"/>
        <v>0</v>
      </c>
      <c r="H547" s="72">
        <f t="shared" si="139"/>
        <v>0</v>
      </c>
      <c r="I547" s="72">
        <f t="shared" si="139"/>
        <v>0</v>
      </c>
    </row>
    <row r="548" spans="1:9" ht="78.75" hidden="1" customHeight="1">
      <c r="A548" s="70" t="s">
        <v>756</v>
      </c>
      <c r="B548" s="130" t="s">
        <v>864</v>
      </c>
      <c r="C548" s="71" t="s">
        <v>367</v>
      </c>
      <c r="D548" s="71" t="s">
        <v>220</v>
      </c>
      <c r="E548" s="71" t="s">
        <v>755</v>
      </c>
      <c r="F548" s="71" t="s">
        <v>396</v>
      </c>
      <c r="G548" s="72"/>
      <c r="H548" s="72"/>
      <c r="I548" s="72"/>
    </row>
    <row r="549" spans="1:9" ht="78.75" customHeight="1">
      <c r="A549" s="78" t="s">
        <v>757</v>
      </c>
      <c r="B549" s="128" t="s">
        <v>864</v>
      </c>
      <c r="C549" s="79" t="s">
        <v>367</v>
      </c>
      <c r="D549" s="79" t="s">
        <v>220</v>
      </c>
      <c r="E549" s="79" t="s">
        <v>758</v>
      </c>
      <c r="F549" s="79" t="s">
        <v>206</v>
      </c>
      <c r="G549" s="47">
        <f t="shared" si="140"/>
        <v>490</v>
      </c>
      <c r="H549" s="47">
        <f t="shared" si="140"/>
        <v>0</v>
      </c>
      <c r="I549" s="47">
        <f t="shared" si="140"/>
        <v>0</v>
      </c>
    </row>
    <row r="550" spans="1:9" ht="31.5" customHeight="1">
      <c r="A550" s="74" t="s">
        <v>242</v>
      </c>
      <c r="B550" s="98" t="s">
        <v>864</v>
      </c>
      <c r="C550" s="75" t="s">
        <v>367</v>
      </c>
      <c r="D550" s="75" t="s">
        <v>220</v>
      </c>
      <c r="E550" s="75" t="s">
        <v>758</v>
      </c>
      <c r="F550" s="75" t="s">
        <v>243</v>
      </c>
      <c r="G550" s="36">
        <f t="shared" si="140"/>
        <v>490</v>
      </c>
      <c r="H550" s="36">
        <f t="shared" si="140"/>
        <v>0</v>
      </c>
      <c r="I550" s="36">
        <f t="shared" si="140"/>
        <v>0</v>
      </c>
    </row>
    <row r="551" spans="1:9" ht="47.25" customHeight="1">
      <c r="A551" s="74" t="s">
        <v>244</v>
      </c>
      <c r="B551" s="98" t="s">
        <v>864</v>
      </c>
      <c r="C551" s="75" t="s">
        <v>367</v>
      </c>
      <c r="D551" s="75" t="s">
        <v>220</v>
      </c>
      <c r="E551" s="75" t="s">
        <v>758</v>
      </c>
      <c r="F551" s="75" t="s">
        <v>245</v>
      </c>
      <c r="G551" s="36">
        <f>'5'!D302</f>
        <v>490</v>
      </c>
      <c r="H551" s="36">
        <f>'5'!E302</f>
        <v>0</v>
      </c>
      <c r="I551" s="36">
        <f>'5'!F302</f>
        <v>0</v>
      </c>
    </row>
    <row r="552" spans="1:9" ht="19.5" customHeight="1">
      <c r="A552" s="206" t="s">
        <v>759</v>
      </c>
      <c r="B552" s="207">
        <v>951</v>
      </c>
      <c r="C552" s="208" t="s">
        <v>367</v>
      </c>
      <c r="D552" s="208" t="s">
        <v>234</v>
      </c>
      <c r="E552" s="208" t="s">
        <v>205</v>
      </c>
      <c r="F552" s="208" t="s">
        <v>206</v>
      </c>
      <c r="G552" s="209">
        <f>G554+G567+G579+G582+G586+G592</f>
        <v>42010.776179999993</v>
      </c>
      <c r="H552" s="209">
        <f t="shared" ref="H552:I552" si="141">H554+H567+H579+H582+H586+H592</f>
        <v>48199.338483709536</v>
      </c>
      <c r="I552" s="209">
        <f t="shared" si="141"/>
        <v>51557.334249379885</v>
      </c>
    </row>
    <row r="553" spans="1:9" ht="149.25" customHeight="1">
      <c r="A553" s="104" t="s">
        <v>764</v>
      </c>
      <c r="B553" s="139">
        <v>951</v>
      </c>
      <c r="C553" s="105" t="s">
        <v>367</v>
      </c>
      <c r="D553" s="105" t="s">
        <v>234</v>
      </c>
      <c r="E553" s="105" t="s">
        <v>765</v>
      </c>
      <c r="F553" s="105" t="s">
        <v>206</v>
      </c>
      <c r="G553" s="106">
        <f>G554+G567+G573+G559</f>
        <v>39971.467229999995</v>
      </c>
      <c r="H553" s="106">
        <f>H554+H567+H573+H559</f>
        <v>0</v>
      </c>
      <c r="I553" s="106">
        <f>I554+I567+I573+I559</f>
        <v>0</v>
      </c>
    </row>
    <row r="554" spans="1:9" ht="98.25" customHeight="1">
      <c r="A554" s="78" t="s">
        <v>912</v>
      </c>
      <c r="B554" s="128">
        <v>951</v>
      </c>
      <c r="C554" s="79" t="s">
        <v>367</v>
      </c>
      <c r="D554" s="79" t="s">
        <v>234</v>
      </c>
      <c r="E554" s="75" t="s">
        <v>767</v>
      </c>
      <c r="F554" s="79" t="s">
        <v>206</v>
      </c>
      <c r="G554" s="80">
        <f>G555+G557</f>
        <v>17335.097999999994</v>
      </c>
      <c r="H554" s="80">
        <f>H555+H557</f>
        <v>0</v>
      </c>
      <c r="I554" s="80">
        <f>I555+I557</f>
        <v>0</v>
      </c>
    </row>
    <row r="555" spans="1:9" ht="31.5" hidden="1">
      <c r="A555" s="74" t="s">
        <v>242</v>
      </c>
      <c r="B555" s="98" t="s">
        <v>864</v>
      </c>
      <c r="C555" s="75" t="s">
        <v>367</v>
      </c>
      <c r="D555" s="75" t="s">
        <v>234</v>
      </c>
      <c r="E555" s="75" t="s">
        <v>767</v>
      </c>
      <c r="F555" s="75" t="s">
        <v>243</v>
      </c>
      <c r="G555" s="76">
        <f>G556</f>
        <v>0</v>
      </c>
      <c r="H555" s="76">
        <f>H556</f>
        <v>0</v>
      </c>
      <c r="I555" s="76">
        <f>I556</f>
        <v>0</v>
      </c>
    </row>
    <row r="556" spans="1:9" ht="47.25" hidden="1">
      <c r="A556" s="74" t="s">
        <v>244</v>
      </c>
      <c r="B556" s="98" t="s">
        <v>864</v>
      </c>
      <c r="C556" s="75" t="s">
        <v>367</v>
      </c>
      <c r="D556" s="75" t="s">
        <v>234</v>
      </c>
      <c r="E556" s="75" t="s">
        <v>767</v>
      </c>
      <c r="F556" s="75" t="s">
        <v>245</v>
      </c>
      <c r="G556" s="76">
        <f>'5'!D242</f>
        <v>0</v>
      </c>
      <c r="H556" s="76">
        <f>'5'!E242</f>
        <v>0</v>
      </c>
      <c r="I556" s="76">
        <f>'5'!F242</f>
        <v>0</v>
      </c>
    </row>
    <row r="557" spans="1:9" ht="34.5" customHeight="1">
      <c r="A557" s="160" t="s">
        <v>242</v>
      </c>
      <c r="B557" s="98">
        <v>951</v>
      </c>
      <c r="C557" s="75" t="s">
        <v>367</v>
      </c>
      <c r="D557" s="75" t="s">
        <v>234</v>
      </c>
      <c r="E557" s="75" t="s">
        <v>767</v>
      </c>
      <c r="F557" s="75" t="s">
        <v>243</v>
      </c>
      <c r="G557" s="76">
        <f>G558</f>
        <v>17335.097999999994</v>
      </c>
      <c r="H557" s="76">
        <f>H558</f>
        <v>0</v>
      </c>
      <c r="I557" s="76">
        <f>I558</f>
        <v>0</v>
      </c>
    </row>
    <row r="558" spans="1:9" ht="47.25" customHeight="1">
      <c r="A558" s="160" t="s">
        <v>244</v>
      </c>
      <c r="B558" s="98">
        <v>951</v>
      </c>
      <c r="C558" s="75" t="s">
        <v>367</v>
      </c>
      <c r="D558" s="75" t="s">
        <v>234</v>
      </c>
      <c r="E558" s="75" t="s">
        <v>767</v>
      </c>
      <c r="F558" s="75" t="s">
        <v>245</v>
      </c>
      <c r="G558" s="76">
        <f>'3'!F845</f>
        <v>17335.097999999994</v>
      </c>
      <c r="H558" s="76">
        <f>'3'!G845</f>
        <v>0</v>
      </c>
      <c r="I558" s="76">
        <f>'3'!H845</f>
        <v>0</v>
      </c>
    </row>
    <row r="559" spans="1:9" ht="94.5" hidden="1" customHeight="1">
      <c r="A559" s="78" t="s">
        <v>780</v>
      </c>
      <c r="B559" s="128">
        <v>951</v>
      </c>
      <c r="C559" s="79" t="s">
        <v>367</v>
      </c>
      <c r="D559" s="79" t="s">
        <v>234</v>
      </c>
      <c r="E559" s="79" t="s">
        <v>769</v>
      </c>
      <c r="F559" s="79" t="s">
        <v>206</v>
      </c>
      <c r="G559" s="80">
        <f>G560+G562</f>
        <v>0</v>
      </c>
      <c r="H559" s="80">
        <f>H560+H562</f>
        <v>0</v>
      </c>
      <c r="I559" s="80">
        <f>I560+I562</f>
        <v>0</v>
      </c>
    </row>
    <row r="560" spans="1:9" ht="47.25" hidden="1" customHeight="1">
      <c r="A560" s="74" t="s">
        <v>320</v>
      </c>
      <c r="B560" s="98">
        <v>951</v>
      </c>
      <c r="C560" s="75" t="s">
        <v>367</v>
      </c>
      <c r="D560" s="75" t="s">
        <v>234</v>
      </c>
      <c r="E560" s="75" t="s">
        <v>769</v>
      </c>
      <c r="F560" s="75" t="s">
        <v>321</v>
      </c>
      <c r="G560" s="76">
        <f>G561</f>
        <v>0</v>
      </c>
      <c r="H560" s="76">
        <f>H561</f>
        <v>0</v>
      </c>
      <c r="I560" s="76">
        <f>I561</f>
        <v>0</v>
      </c>
    </row>
    <row r="561" spans="1:9" ht="15.75" hidden="1" customHeight="1">
      <c r="A561" s="74" t="s">
        <v>322</v>
      </c>
      <c r="B561" s="98">
        <v>951</v>
      </c>
      <c r="C561" s="75" t="s">
        <v>367</v>
      </c>
      <c r="D561" s="75" t="s">
        <v>234</v>
      </c>
      <c r="E561" s="75" t="s">
        <v>769</v>
      </c>
      <c r="F561" s="75" t="s">
        <v>323</v>
      </c>
      <c r="G561" s="76">
        <f>'3'!F848</f>
        <v>0</v>
      </c>
      <c r="H561" s="76">
        <f>'3'!G848</f>
        <v>0</v>
      </c>
      <c r="I561" s="76">
        <f>'3'!H848</f>
        <v>0</v>
      </c>
    </row>
    <row r="562" spans="1:9" ht="15.75" hidden="1" customHeight="1">
      <c r="A562" s="74"/>
      <c r="B562" s="98"/>
      <c r="C562" s="75"/>
      <c r="D562" s="75"/>
      <c r="E562" s="75"/>
      <c r="F562" s="75"/>
      <c r="G562" s="76"/>
      <c r="H562" s="76"/>
      <c r="I562" s="76"/>
    </row>
    <row r="563" spans="1:9" ht="15.75" hidden="1" customHeight="1">
      <c r="A563" s="74"/>
      <c r="B563" s="98"/>
      <c r="C563" s="75"/>
      <c r="D563" s="75"/>
      <c r="E563" s="75"/>
      <c r="F563" s="75"/>
      <c r="G563" s="76"/>
      <c r="H563" s="76"/>
      <c r="I563" s="76"/>
    </row>
    <row r="564" spans="1:9" ht="15.75" hidden="1" customHeight="1">
      <c r="A564" s="74"/>
      <c r="B564" s="98"/>
      <c r="C564" s="75"/>
      <c r="D564" s="75"/>
      <c r="E564" s="75"/>
      <c r="F564" s="75"/>
      <c r="G564" s="76"/>
      <c r="H564" s="76"/>
      <c r="I564" s="76"/>
    </row>
    <row r="565" spans="1:9" ht="15.75" hidden="1" customHeight="1">
      <c r="A565" s="74"/>
      <c r="B565" s="98"/>
      <c r="C565" s="75"/>
      <c r="D565" s="75"/>
      <c r="E565" s="75"/>
      <c r="F565" s="75"/>
      <c r="G565" s="76"/>
      <c r="H565" s="76"/>
      <c r="I565" s="76"/>
    </row>
    <row r="566" spans="1:9" ht="15.75" hidden="1" customHeight="1">
      <c r="A566" s="74"/>
      <c r="B566" s="98"/>
      <c r="C566" s="75"/>
      <c r="D566" s="75"/>
      <c r="E566" s="75"/>
      <c r="F566" s="75"/>
      <c r="G566" s="76"/>
      <c r="H566" s="76"/>
      <c r="I566" s="76"/>
    </row>
    <row r="567" spans="1:9" ht="117.75" customHeight="1">
      <c r="A567" s="78" t="s">
        <v>770</v>
      </c>
      <c r="B567" s="98">
        <v>951</v>
      </c>
      <c r="C567" s="75" t="s">
        <v>367</v>
      </c>
      <c r="D567" s="75" t="s">
        <v>234</v>
      </c>
      <c r="E567" s="75" t="s">
        <v>771</v>
      </c>
      <c r="F567" s="79" t="s">
        <v>206</v>
      </c>
      <c r="G567" s="80">
        <f>G568+G570</f>
        <v>22636.36923</v>
      </c>
      <c r="H567" s="80">
        <f>H568+H570</f>
        <v>0</v>
      </c>
      <c r="I567" s="80">
        <f>I568+I570</f>
        <v>0</v>
      </c>
    </row>
    <row r="568" spans="1:9" ht="36" customHeight="1">
      <c r="A568" s="74" t="s">
        <v>223</v>
      </c>
      <c r="B568" s="98" t="s">
        <v>864</v>
      </c>
      <c r="C568" s="75" t="s">
        <v>367</v>
      </c>
      <c r="D568" s="75" t="s">
        <v>234</v>
      </c>
      <c r="E568" s="75" t="s">
        <v>771</v>
      </c>
      <c r="F568" s="75" t="s">
        <v>224</v>
      </c>
      <c r="G568" s="76">
        <f>G569</f>
        <v>500</v>
      </c>
      <c r="H568" s="76">
        <f>H569</f>
        <v>0</v>
      </c>
      <c r="I568" s="76">
        <f>I569</f>
        <v>0</v>
      </c>
    </row>
    <row r="569" spans="1:9" ht="49.5" customHeight="1">
      <c r="A569" s="74" t="s">
        <v>225</v>
      </c>
      <c r="B569" s="98" t="s">
        <v>864</v>
      </c>
      <c r="C569" s="75" t="s">
        <v>367</v>
      </c>
      <c r="D569" s="75" t="s">
        <v>234</v>
      </c>
      <c r="E569" s="75" t="s">
        <v>771</v>
      </c>
      <c r="F569" s="75" t="s">
        <v>226</v>
      </c>
      <c r="G569" s="76">
        <f>'3'!F856</f>
        <v>500</v>
      </c>
      <c r="H569" s="76">
        <f>'3'!G856</f>
        <v>0</v>
      </c>
      <c r="I569" s="76">
        <f>'3'!H856</f>
        <v>0</v>
      </c>
    </row>
    <row r="570" spans="1:9" ht="33" customHeight="1">
      <c r="A570" s="74" t="s">
        <v>242</v>
      </c>
      <c r="B570" s="98">
        <v>951</v>
      </c>
      <c r="C570" s="75" t="s">
        <v>367</v>
      </c>
      <c r="D570" s="75" t="s">
        <v>234</v>
      </c>
      <c r="E570" s="75" t="s">
        <v>771</v>
      </c>
      <c r="F570" s="75" t="s">
        <v>243</v>
      </c>
      <c r="G570" s="76">
        <f>G571+G572</f>
        <v>22136.36923</v>
      </c>
      <c r="H570" s="76">
        <f>H571+H572</f>
        <v>0</v>
      </c>
      <c r="I570" s="76">
        <f>I571+I572</f>
        <v>0</v>
      </c>
    </row>
    <row r="571" spans="1:9" ht="33" customHeight="1">
      <c r="A571" s="74" t="s">
        <v>630</v>
      </c>
      <c r="B571" s="98" t="s">
        <v>864</v>
      </c>
      <c r="C571" s="75" t="s">
        <v>367</v>
      </c>
      <c r="D571" s="75" t="s">
        <v>234</v>
      </c>
      <c r="E571" s="75" t="s">
        <v>771</v>
      </c>
      <c r="F571" s="75" t="s">
        <v>631</v>
      </c>
      <c r="G571" s="76">
        <f>'3'!F858</f>
        <v>19921.36923</v>
      </c>
      <c r="H571" s="76">
        <f>'3'!G858</f>
        <v>0</v>
      </c>
      <c r="I571" s="76">
        <f>'3'!H858</f>
        <v>0</v>
      </c>
    </row>
    <row r="572" spans="1:9" ht="36.75" customHeight="1">
      <c r="A572" s="74" t="s">
        <v>244</v>
      </c>
      <c r="B572" s="98">
        <v>951</v>
      </c>
      <c r="C572" s="75" t="s">
        <v>367</v>
      </c>
      <c r="D572" s="75" t="s">
        <v>234</v>
      </c>
      <c r="E572" s="75" t="s">
        <v>771</v>
      </c>
      <c r="F572" s="75" t="s">
        <v>245</v>
      </c>
      <c r="G572" s="76">
        <f>'3'!F859</f>
        <v>2215</v>
      </c>
      <c r="H572" s="76">
        <f>'3'!G859</f>
        <v>0</v>
      </c>
      <c r="I572" s="76">
        <f>'3'!H859</f>
        <v>0</v>
      </c>
    </row>
    <row r="573" spans="1:9" ht="110.25" hidden="1" customHeight="1">
      <c r="A573" s="78" t="s">
        <v>772</v>
      </c>
      <c r="B573" s="98">
        <v>951</v>
      </c>
      <c r="C573" s="75" t="s">
        <v>367</v>
      </c>
      <c r="D573" s="75" t="s">
        <v>234</v>
      </c>
      <c r="E573" s="75" t="s">
        <v>773</v>
      </c>
      <c r="F573" s="79" t="s">
        <v>206</v>
      </c>
      <c r="G573" s="80">
        <f>G574+G576</f>
        <v>0</v>
      </c>
      <c r="H573" s="80">
        <f>H574+H576</f>
        <v>0</v>
      </c>
      <c r="I573" s="80">
        <f>I574+I576</f>
        <v>0</v>
      </c>
    </row>
    <row r="574" spans="1:9" ht="31.5" hidden="1" customHeight="1">
      <c r="A574" s="74" t="s">
        <v>223</v>
      </c>
      <c r="B574" s="98" t="s">
        <v>864</v>
      </c>
      <c r="C574" s="75" t="s">
        <v>367</v>
      </c>
      <c r="D574" s="75" t="s">
        <v>234</v>
      </c>
      <c r="E574" s="75" t="s">
        <v>773</v>
      </c>
      <c r="F574" s="75" t="s">
        <v>224</v>
      </c>
      <c r="G574" s="76">
        <f>G575</f>
        <v>0</v>
      </c>
      <c r="H574" s="76">
        <f>H575</f>
        <v>0</v>
      </c>
      <c r="I574" s="76">
        <f>I575</f>
        <v>0</v>
      </c>
    </row>
    <row r="575" spans="1:9" ht="47.25" hidden="1" customHeight="1">
      <c r="A575" s="74" t="s">
        <v>225</v>
      </c>
      <c r="B575" s="98" t="s">
        <v>864</v>
      </c>
      <c r="C575" s="75" t="s">
        <v>367</v>
      </c>
      <c r="D575" s="75" t="s">
        <v>234</v>
      </c>
      <c r="E575" s="75" t="s">
        <v>773</v>
      </c>
      <c r="F575" s="75" t="s">
        <v>226</v>
      </c>
      <c r="G575" s="76"/>
      <c r="H575" s="76"/>
      <c r="I575" s="76"/>
    </row>
    <row r="576" spans="1:9" ht="31.5" hidden="1" customHeight="1">
      <c r="A576" s="74" t="s">
        <v>242</v>
      </c>
      <c r="B576" s="98">
        <v>951</v>
      </c>
      <c r="C576" s="75" t="s">
        <v>367</v>
      </c>
      <c r="D576" s="75" t="s">
        <v>234</v>
      </c>
      <c r="E576" s="75" t="s">
        <v>773</v>
      </c>
      <c r="F576" s="75" t="s">
        <v>243</v>
      </c>
      <c r="G576" s="76">
        <f>G577</f>
        <v>0</v>
      </c>
      <c r="H576" s="76">
        <f>H577</f>
        <v>0</v>
      </c>
      <c r="I576" s="76">
        <f>I577</f>
        <v>0</v>
      </c>
    </row>
    <row r="577" spans="1:10" ht="31.5" hidden="1" customHeight="1">
      <c r="A577" s="74" t="s">
        <v>630</v>
      </c>
      <c r="B577" s="98">
        <v>951</v>
      </c>
      <c r="C577" s="75" t="s">
        <v>367</v>
      </c>
      <c r="D577" s="75" t="s">
        <v>234</v>
      </c>
      <c r="E577" s="75" t="s">
        <v>773</v>
      </c>
      <c r="F577" s="75" t="s">
        <v>631</v>
      </c>
      <c r="G577" s="76"/>
      <c r="H577" s="76"/>
      <c r="I577" s="76"/>
    </row>
    <row r="578" spans="1:10" s="211" customFormat="1" ht="66.75" customHeight="1">
      <c r="A578" s="78" t="s">
        <v>774</v>
      </c>
      <c r="B578" s="128">
        <v>951</v>
      </c>
      <c r="C578" s="79" t="s">
        <v>367</v>
      </c>
      <c r="D578" s="79" t="s">
        <v>234</v>
      </c>
      <c r="E578" s="75" t="s">
        <v>775</v>
      </c>
      <c r="F578" s="75" t="s">
        <v>206</v>
      </c>
      <c r="G578" s="76">
        <f>G582+G579</f>
        <v>2039.3089499999999</v>
      </c>
      <c r="H578" s="76">
        <f>H582+H579</f>
        <v>1652.9814337095372</v>
      </c>
      <c r="I578" s="76">
        <f>I582+I579</f>
        <v>2206.234999379883</v>
      </c>
    </row>
    <row r="579" spans="1:10" s="211" customFormat="1" ht="69.75" customHeight="1">
      <c r="A579" s="78" t="s">
        <v>913</v>
      </c>
      <c r="B579" s="128">
        <v>951</v>
      </c>
      <c r="C579" s="79" t="s">
        <v>367</v>
      </c>
      <c r="D579" s="79" t="s">
        <v>234</v>
      </c>
      <c r="E579" s="75" t="s">
        <v>777</v>
      </c>
      <c r="F579" s="75" t="s">
        <v>206</v>
      </c>
      <c r="G579" s="76">
        <f t="shared" ref="G579:G580" si="142">G580</f>
        <v>1018.1385399999999</v>
      </c>
      <c r="H579" s="76">
        <f t="shared" ref="H579:I580" si="143">H580</f>
        <v>1332.7989299999999</v>
      </c>
      <c r="I579" s="76">
        <f t="shared" si="143"/>
        <v>1778.8872799999997</v>
      </c>
    </row>
    <row r="580" spans="1:10" s="211" customFormat="1" ht="36.75" customHeight="1">
      <c r="A580" s="74" t="s">
        <v>242</v>
      </c>
      <c r="B580" s="128">
        <v>951</v>
      </c>
      <c r="C580" s="79" t="s">
        <v>367</v>
      </c>
      <c r="D580" s="79" t="s">
        <v>234</v>
      </c>
      <c r="E580" s="75" t="s">
        <v>777</v>
      </c>
      <c r="F580" s="75" t="s">
        <v>243</v>
      </c>
      <c r="G580" s="76">
        <f t="shared" si="142"/>
        <v>1018.1385399999999</v>
      </c>
      <c r="H580" s="76">
        <f t="shared" si="143"/>
        <v>1332.7989299999999</v>
      </c>
      <c r="I580" s="76">
        <f t="shared" si="143"/>
        <v>1778.8872799999997</v>
      </c>
    </row>
    <row r="581" spans="1:10" s="211" customFormat="1" ht="53.25" customHeight="1">
      <c r="A581" s="74" t="s">
        <v>244</v>
      </c>
      <c r="B581" s="128">
        <v>951</v>
      </c>
      <c r="C581" s="79" t="s">
        <v>367</v>
      </c>
      <c r="D581" s="79" t="s">
        <v>234</v>
      </c>
      <c r="E581" s="75" t="s">
        <v>777</v>
      </c>
      <c r="F581" s="75" t="s">
        <v>245</v>
      </c>
      <c r="G581" s="76">
        <f>'5'!D250</f>
        <v>1018.1385399999999</v>
      </c>
      <c r="H581" s="76">
        <f>'5'!E250</f>
        <v>1332.7989299999999</v>
      </c>
      <c r="I581" s="76">
        <f>'5'!F250</f>
        <v>1778.8872799999997</v>
      </c>
    </row>
    <row r="582" spans="1:10" ht="31.5" customHeight="1">
      <c r="A582" s="161" t="s">
        <v>242</v>
      </c>
      <c r="B582" s="128">
        <v>951</v>
      </c>
      <c r="C582" s="79" t="s">
        <v>367</v>
      </c>
      <c r="D582" s="79" t="s">
        <v>234</v>
      </c>
      <c r="E582" s="75" t="s">
        <v>777</v>
      </c>
      <c r="F582" s="75" t="s">
        <v>243</v>
      </c>
      <c r="G582" s="76">
        <f>G583</f>
        <v>1021.1704099999999</v>
      </c>
      <c r="H582" s="76">
        <f>H583</f>
        <v>320.1825037095374</v>
      </c>
      <c r="I582" s="76">
        <f>I583</f>
        <v>427.34771937988342</v>
      </c>
    </row>
    <row r="583" spans="1:10" ht="47.25">
      <c r="A583" s="74" t="s">
        <v>244</v>
      </c>
      <c r="B583" s="128">
        <v>951</v>
      </c>
      <c r="C583" s="79" t="s">
        <v>367</v>
      </c>
      <c r="D583" s="79" t="s">
        <v>234</v>
      </c>
      <c r="E583" s="75" t="s">
        <v>777</v>
      </c>
      <c r="F583" s="75" t="s">
        <v>245</v>
      </c>
      <c r="G583" s="76">
        <f>'5'!D251</f>
        <v>1021.1704099999999</v>
      </c>
      <c r="H583" s="76">
        <f>'5'!E251</f>
        <v>320.1825037095374</v>
      </c>
      <c r="I583" s="76">
        <f>'5'!F251</f>
        <v>427.34771937988342</v>
      </c>
    </row>
    <row r="584" spans="1:10" ht="52.5" customHeight="1">
      <c r="A584" s="104" t="s">
        <v>209</v>
      </c>
      <c r="B584" s="139">
        <v>951</v>
      </c>
      <c r="C584" s="105" t="s">
        <v>367</v>
      </c>
      <c r="D584" s="105" t="s">
        <v>234</v>
      </c>
      <c r="E584" s="105" t="s">
        <v>212</v>
      </c>
      <c r="F584" s="105" t="s">
        <v>206</v>
      </c>
      <c r="G584" s="106">
        <f>G585</f>
        <v>0</v>
      </c>
      <c r="H584" s="106">
        <f>H585</f>
        <v>46546.357049999999</v>
      </c>
      <c r="I584" s="106">
        <f>I585</f>
        <v>49351.099249999999</v>
      </c>
    </row>
    <row r="585" spans="1:10" s="211" customFormat="1" ht="52.5" customHeight="1">
      <c r="A585" s="78" t="s">
        <v>211</v>
      </c>
      <c r="B585" s="128">
        <v>951</v>
      </c>
      <c r="C585" s="79" t="s">
        <v>367</v>
      </c>
      <c r="D585" s="79" t="s">
        <v>234</v>
      </c>
      <c r="E585" s="79" t="s">
        <v>212</v>
      </c>
      <c r="F585" s="79" t="s">
        <v>206</v>
      </c>
      <c r="G585" s="80">
        <f>G586+G589+G592</f>
        <v>0</v>
      </c>
      <c r="H585" s="80">
        <f>H586+H589+H592</f>
        <v>46546.357049999999</v>
      </c>
      <c r="I585" s="80">
        <f>I586+I589+I592</f>
        <v>49351.099249999999</v>
      </c>
    </row>
    <row r="586" spans="1:10" ht="98.25" customHeight="1">
      <c r="A586" s="78" t="s">
        <v>779</v>
      </c>
      <c r="B586" s="128" t="s">
        <v>864</v>
      </c>
      <c r="C586" s="79" t="s">
        <v>367</v>
      </c>
      <c r="D586" s="79" t="s">
        <v>234</v>
      </c>
      <c r="E586" s="75" t="s">
        <v>305</v>
      </c>
      <c r="F586" s="75" t="s">
        <v>206</v>
      </c>
      <c r="G586" s="76">
        <f t="shared" ref="G586:G590" si="144">G587</f>
        <v>0</v>
      </c>
      <c r="H586" s="76">
        <f t="shared" ref="H586:I590" si="145">H587</f>
        <v>20890.3344</v>
      </c>
      <c r="I586" s="76">
        <f t="shared" si="145"/>
        <v>20890.3344</v>
      </c>
    </row>
    <row r="587" spans="1:10" ht="55.5" customHeight="1">
      <c r="A587" s="74" t="s">
        <v>320</v>
      </c>
      <c r="B587" s="128">
        <v>951</v>
      </c>
      <c r="C587" s="79" t="s">
        <v>367</v>
      </c>
      <c r="D587" s="79" t="s">
        <v>234</v>
      </c>
      <c r="E587" s="75" t="s">
        <v>305</v>
      </c>
      <c r="F587" s="75" t="s">
        <v>321</v>
      </c>
      <c r="G587" s="76">
        <f t="shared" si="144"/>
        <v>0</v>
      </c>
      <c r="H587" s="76">
        <f t="shared" si="145"/>
        <v>20890.3344</v>
      </c>
      <c r="I587" s="76">
        <f t="shared" si="145"/>
        <v>20890.3344</v>
      </c>
    </row>
    <row r="588" spans="1:10" ht="18" customHeight="1">
      <c r="A588" s="74" t="s">
        <v>322</v>
      </c>
      <c r="B588" s="128" t="s">
        <v>864</v>
      </c>
      <c r="C588" s="79" t="s">
        <v>367</v>
      </c>
      <c r="D588" s="79" t="s">
        <v>234</v>
      </c>
      <c r="E588" s="75" t="s">
        <v>305</v>
      </c>
      <c r="F588" s="75" t="s">
        <v>323</v>
      </c>
      <c r="G588" s="76">
        <v>0</v>
      </c>
      <c r="H588" s="76">
        <v>20890.3344</v>
      </c>
      <c r="I588" s="76">
        <v>20890.3344</v>
      </c>
    </row>
    <row r="589" spans="1:10" ht="94.5" hidden="1" customHeight="1">
      <c r="A589" s="78" t="s">
        <v>780</v>
      </c>
      <c r="B589" s="98">
        <v>951</v>
      </c>
      <c r="C589" s="75" t="s">
        <v>367</v>
      </c>
      <c r="D589" s="75" t="s">
        <v>234</v>
      </c>
      <c r="E589" s="75" t="s">
        <v>306</v>
      </c>
      <c r="F589" s="75" t="s">
        <v>206</v>
      </c>
      <c r="G589" s="76">
        <f t="shared" si="144"/>
        <v>0</v>
      </c>
      <c r="H589" s="76">
        <f t="shared" si="145"/>
        <v>0</v>
      </c>
      <c r="I589" s="76">
        <f t="shared" si="145"/>
        <v>0</v>
      </c>
    </row>
    <row r="590" spans="1:10" ht="47.25" hidden="1" customHeight="1">
      <c r="A590" s="74" t="s">
        <v>320</v>
      </c>
      <c r="B590" s="98">
        <v>951</v>
      </c>
      <c r="C590" s="75" t="s">
        <v>367</v>
      </c>
      <c r="D590" s="75" t="s">
        <v>234</v>
      </c>
      <c r="E590" s="75" t="s">
        <v>306</v>
      </c>
      <c r="F590" s="75" t="s">
        <v>321</v>
      </c>
      <c r="G590" s="76">
        <f t="shared" si="144"/>
        <v>0</v>
      </c>
      <c r="H590" s="76">
        <f t="shared" si="145"/>
        <v>0</v>
      </c>
      <c r="I590" s="76">
        <f t="shared" si="145"/>
        <v>0</v>
      </c>
    </row>
    <row r="591" spans="1:10" ht="15.75" hidden="1" customHeight="1">
      <c r="A591" s="74" t="s">
        <v>322</v>
      </c>
      <c r="B591" s="98">
        <v>951</v>
      </c>
      <c r="C591" s="75" t="s">
        <v>367</v>
      </c>
      <c r="D591" s="75" t="s">
        <v>234</v>
      </c>
      <c r="E591" s="75" t="s">
        <v>306</v>
      </c>
      <c r="F591" s="75" t="s">
        <v>323</v>
      </c>
      <c r="G591" s="76">
        <v>0</v>
      </c>
      <c r="H591" s="76">
        <v>0</v>
      </c>
      <c r="I591" s="76">
        <v>0</v>
      </c>
    </row>
    <row r="592" spans="1:10" ht="118.5" customHeight="1">
      <c r="A592" s="78" t="s">
        <v>770</v>
      </c>
      <c r="B592" s="98">
        <v>951</v>
      </c>
      <c r="C592" s="75" t="s">
        <v>367</v>
      </c>
      <c r="D592" s="75" t="s">
        <v>234</v>
      </c>
      <c r="E592" s="75" t="s">
        <v>781</v>
      </c>
      <c r="F592" s="79" t="s">
        <v>206</v>
      </c>
      <c r="G592" s="76">
        <f>G593+G595</f>
        <v>0</v>
      </c>
      <c r="H592" s="76">
        <f>H593+H595</f>
        <v>25656.022649999999</v>
      </c>
      <c r="I592" s="76">
        <f>I593+I595</f>
        <v>28460.76485</v>
      </c>
      <c r="J592" s="184"/>
    </row>
    <row r="593" spans="1:12" ht="33" customHeight="1">
      <c r="A593" s="74" t="s">
        <v>223</v>
      </c>
      <c r="B593" s="98" t="s">
        <v>864</v>
      </c>
      <c r="C593" s="75" t="s">
        <v>367</v>
      </c>
      <c r="D593" s="75" t="s">
        <v>234</v>
      </c>
      <c r="E593" s="75" t="s">
        <v>781</v>
      </c>
      <c r="F593" s="75" t="s">
        <v>224</v>
      </c>
      <c r="G593" s="76">
        <f>G594</f>
        <v>0</v>
      </c>
      <c r="H593" s="76">
        <f t="shared" ref="H593:I593" si="146">H594</f>
        <v>700</v>
      </c>
      <c r="I593" s="76">
        <f t="shared" si="146"/>
        <v>700</v>
      </c>
    </row>
    <row r="594" spans="1:12" ht="54.75" customHeight="1">
      <c r="A594" s="70" t="s">
        <v>225</v>
      </c>
      <c r="B594" s="130" t="s">
        <v>864</v>
      </c>
      <c r="C594" s="71" t="s">
        <v>367</v>
      </c>
      <c r="D594" s="71" t="s">
        <v>234</v>
      </c>
      <c r="E594" s="71" t="s">
        <v>781</v>
      </c>
      <c r="F594" s="71" t="s">
        <v>226</v>
      </c>
      <c r="G594" s="76">
        <v>0</v>
      </c>
      <c r="H594" s="76">
        <f>'3'!G882</f>
        <v>700</v>
      </c>
      <c r="I594" s="76">
        <f>'3'!H882</f>
        <v>700</v>
      </c>
    </row>
    <row r="595" spans="1:12" ht="35.25" customHeight="1">
      <c r="A595" s="70" t="s">
        <v>242</v>
      </c>
      <c r="B595" s="130">
        <v>951</v>
      </c>
      <c r="C595" s="71" t="s">
        <v>367</v>
      </c>
      <c r="D595" s="71" t="s">
        <v>234</v>
      </c>
      <c r="E595" s="71" t="s">
        <v>781</v>
      </c>
      <c r="F595" s="71" t="s">
        <v>243</v>
      </c>
      <c r="G595" s="76">
        <f>G596+G597</f>
        <v>0</v>
      </c>
      <c r="H595" s="76">
        <f t="shared" ref="H595:I595" si="147">H596+H597</f>
        <v>24956.022649999999</v>
      </c>
      <c r="I595" s="76">
        <f t="shared" si="147"/>
        <v>27760.76485</v>
      </c>
    </row>
    <row r="596" spans="1:12" ht="36.75" customHeight="1">
      <c r="A596" s="70" t="s">
        <v>630</v>
      </c>
      <c r="B596" s="130" t="s">
        <v>864</v>
      </c>
      <c r="C596" s="71" t="s">
        <v>367</v>
      </c>
      <c r="D596" s="71" t="s">
        <v>234</v>
      </c>
      <c r="E596" s="71" t="s">
        <v>781</v>
      </c>
      <c r="F596" s="71" t="s">
        <v>631</v>
      </c>
      <c r="G596" s="76">
        <v>0</v>
      </c>
      <c r="H596" s="76">
        <f>'3'!G884</f>
        <v>22606.022649999999</v>
      </c>
      <c r="I596" s="76">
        <f>'3'!H884</f>
        <v>25260.76485</v>
      </c>
    </row>
    <row r="597" spans="1:12" ht="54.75" customHeight="1">
      <c r="A597" s="70" t="s">
        <v>244</v>
      </c>
      <c r="B597" s="130">
        <v>951</v>
      </c>
      <c r="C597" s="71" t="s">
        <v>367</v>
      </c>
      <c r="D597" s="71" t="s">
        <v>234</v>
      </c>
      <c r="E597" s="71" t="s">
        <v>781</v>
      </c>
      <c r="F597" s="71" t="s">
        <v>245</v>
      </c>
      <c r="G597" s="76">
        <v>0</v>
      </c>
      <c r="H597" s="76">
        <f>'3'!G885</f>
        <v>2350</v>
      </c>
      <c r="I597" s="76">
        <f>'3'!H885</f>
        <v>2500</v>
      </c>
    </row>
    <row r="598" spans="1:12" ht="15.75" hidden="1" customHeight="1">
      <c r="A598" s="70"/>
      <c r="B598" s="213"/>
      <c r="C598" s="127"/>
      <c r="D598" s="127"/>
      <c r="E598" s="75"/>
      <c r="F598" s="71"/>
      <c r="G598" s="72"/>
      <c r="H598" s="72"/>
      <c r="I598" s="72"/>
    </row>
    <row r="599" spans="1:12" ht="34.5" customHeight="1">
      <c r="A599" s="162" t="s">
        <v>782</v>
      </c>
      <c r="B599" s="215" t="s">
        <v>864</v>
      </c>
      <c r="C599" s="87" t="s">
        <v>367</v>
      </c>
      <c r="D599" s="87" t="s">
        <v>239</v>
      </c>
      <c r="E599" s="87" t="s">
        <v>205</v>
      </c>
      <c r="F599" s="87" t="s">
        <v>206</v>
      </c>
      <c r="G599" s="88">
        <f>G602</f>
        <v>2610.29</v>
      </c>
      <c r="H599" s="88">
        <f t="shared" ref="H599:I599" si="148">H602</f>
        <v>2717.473</v>
      </c>
      <c r="I599" s="88">
        <f t="shared" si="148"/>
        <v>2819.8680000000004</v>
      </c>
    </row>
    <row r="600" spans="1:12" ht="33" customHeight="1">
      <c r="A600" s="70" t="str">
        <f t="shared" ref="A600:A601" si="149">A413</f>
        <v>Непрограммные направления деятельности органов местного самоуправления</v>
      </c>
      <c r="B600" s="213">
        <v>951</v>
      </c>
      <c r="C600" s="127" t="s">
        <v>367</v>
      </c>
      <c r="D600" s="127" t="s">
        <v>239</v>
      </c>
      <c r="E600" s="71" t="s">
        <v>210</v>
      </c>
      <c r="F600" s="71" t="s">
        <v>206</v>
      </c>
      <c r="G600" s="72">
        <f t="shared" ref="G600:G601" si="150">G601</f>
        <v>2610.29</v>
      </c>
      <c r="H600" s="72">
        <f t="shared" ref="H600:I601" si="151">H601</f>
        <v>2717.473</v>
      </c>
      <c r="I600" s="72">
        <f t="shared" si="151"/>
        <v>2819.8680000000004</v>
      </c>
    </row>
    <row r="601" spans="1:12" ht="48.75" customHeight="1">
      <c r="A601" s="74" t="str">
        <f t="shared" si="149"/>
        <v>Мероприятия непрограммных направлений деятельности органов местного самоуправления</v>
      </c>
      <c r="B601" s="128">
        <v>951</v>
      </c>
      <c r="C601" s="79" t="s">
        <v>367</v>
      </c>
      <c r="D601" s="79" t="s">
        <v>239</v>
      </c>
      <c r="E601" s="75" t="s">
        <v>212</v>
      </c>
      <c r="F601" s="75" t="s">
        <v>206</v>
      </c>
      <c r="G601" s="76">
        <f t="shared" si="150"/>
        <v>2610.29</v>
      </c>
      <c r="H601" s="76">
        <f t="shared" si="151"/>
        <v>2717.473</v>
      </c>
      <c r="I601" s="76">
        <f t="shared" si="151"/>
        <v>2819.8680000000004</v>
      </c>
    </row>
    <row r="602" spans="1:12" s="211" customFormat="1" ht="84.75" customHeight="1">
      <c r="A602" s="78" t="str">
        <f>A420</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602" s="128">
        <v>951</v>
      </c>
      <c r="C602" s="79" t="s">
        <v>367</v>
      </c>
      <c r="D602" s="79" t="s">
        <v>239</v>
      </c>
      <c r="E602" s="79" t="s">
        <v>673</v>
      </c>
      <c r="F602" s="79" t="s">
        <v>206</v>
      </c>
      <c r="G602" s="80">
        <f>G603+G605</f>
        <v>2610.29</v>
      </c>
      <c r="H602" s="80">
        <f t="shared" ref="H602:I602" si="152">H603+H605</f>
        <v>2717.473</v>
      </c>
      <c r="I602" s="80">
        <f t="shared" si="152"/>
        <v>2819.8680000000004</v>
      </c>
    </row>
    <row r="603" spans="1:12" ht="96.75" customHeight="1">
      <c r="A603" s="74" t="s">
        <v>215</v>
      </c>
      <c r="B603" s="128">
        <v>951</v>
      </c>
      <c r="C603" s="79" t="s">
        <v>367</v>
      </c>
      <c r="D603" s="79" t="s">
        <v>239</v>
      </c>
      <c r="E603" s="75" t="s">
        <v>673</v>
      </c>
      <c r="F603" s="75" t="s">
        <v>216</v>
      </c>
      <c r="G603" s="76">
        <f>G604</f>
        <v>2314.6950000000002</v>
      </c>
      <c r="H603" s="76">
        <f t="shared" ref="H603:I603" si="153">H604</f>
        <v>2314.6959999999999</v>
      </c>
      <c r="I603" s="76">
        <f t="shared" si="153"/>
        <v>2314.6950000000002</v>
      </c>
    </row>
    <row r="604" spans="1:12" ht="48.75" customHeight="1">
      <c r="A604" s="70" t="s">
        <v>217</v>
      </c>
      <c r="B604" s="213">
        <v>951</v>
      </c>
      <c r="C604" s="127" t="s">
        <v>367</v>
      </c>
      <c r="D604" s="127" t="s">
        <v>239</v>
      </c>
      <c r="E604" s="71" t="s">
        <v>673</v>
      </c>
      <c r="F604" s="71" t="s">
        <v>218</v>
      </c>
      <c r="G604" s="72">
        <f>'3'!F890</f>
        <v>2314.6950000000002</v>
      </c>
      <c r="H604" s="72">
        <f>'3'!G890</f>
        <v>2314.6959999999999</v>
      </c>
      <c r="I604" s="72">
        <f>'3'!H890</f>
        <v>2314.6950000000002</v>
      </c>
    </row>
    <row r="605" spans="1:12" ht="35.25" customHeight="1">
      <c r="A605" s="70" t="s">
        <v>223</v>
      </c>
      <c r="B605" s="213">
        <v>951</v>
      </c>
      <c r="C605" s="127" t="s">
        <v>367</v>
      </c>
      <c r="D605" s="127" t="s">
        <v>239</v>
      </c>
      <c r="E605" s="71" t="s">
        <v>673</v>
      </c>
      <c r="F605" s="71" t="s">
        <v>224</v>
      </c>
      <c r="G605" s="72">
        <f>G606</f>
        <v>295.59500000000003</v>
      </c>
      <c r="H605" s="72">
        <f t="shared" ref="H605:I605" si="154">H606</f>
        <v>402.77699999999993</v>
      </c>
      <c r="I605" s="72">
        <f t="shared" si="154"/>
        <v>505.173</v>
      </c>
    </row>
    <row r="606" spans="1:12" ht="51.75" customHeight="1">
      <c r="A606" s="70" t="s">
        <v>225</v>
      </c>
      <c r="B606" s="213">
        <v>951</v>
      </c>
      <c r="C606" s="127" t="s">
        <v>367</v>
      </c>
      <c r="D606" s="127" t="s">
        <v>239</v>
      </c>
      <c r="E606" s="71" t="s">
        <v>673</v>
      </c>
      <c r="F606" s="71" t="s">
        <v>226</v>
      </c>
      <c r="G606" s="72">
        <f>'3'!F892</f>
        <v>295.59500000000003</v>
      </c>
      <c r="H606" s="72">
        <f>'3'!G892</f>
        <v>402.77699999999993</v>
      </c>
      <c r="I606" s="72">
        <f>'3'!H892</f>
        <v>505.173</v>
      </c>
    </row>
    <row r="607" spans="1:12">
      <c r="A607" s="66" t="s">
        <v>784</v>
      </c>
      <c r="B607" s="199">
        <v>951</v>
      </c>
      <c r="C607" s="67" t="s">
        <v>250</v>
      </c>
      <c r="D607" s="67" t="s">
        <v>204</v>
      </c>
      <c r="E607" s="67" t="s">
        <v>205</v>
      </c>
      <c r="F607" s="67" t="s">
        <v>206</v>
      </c>
      <c r="G607" s="68">
        <f>G608</f>
        <v>250</v>
      </c>
      <c r="H607" s="68">
        <f t="shared" ref="H607:I607" si="155">H608</f>
        <v>250</v>
      </c>
      <c r="I607" s="68">
        <f t="shared" si="155"/>
        <v>300</v>
      </c>
      <c r="J607" s="184"/>
      <c r="K607" s="184"/>
      <c r="L607" s="184"/>
    </row>
    <row r="608" spans="1:12">
      <c r="A608" s="206" t="s">
        <v>785</v>
      </c>
      <c r="B608" s="207">
        <v>951</v>
      </c>
      <c r="C608" s="208" t="s">
        <v>250</v>
      </c>
      <c r="D608" s="208" t="s">
        <v>208</v>
      </c>
      <c r="E608" s="208" t="s">
        <v>205</v>
      </c>
      <c r="F608" s="208" t="s">
        <v>206</v>
      </c>
      <c r="G608" s="209">
        <f>G610+G641+G644</f>
        <v>250</v>
      </c>
      <c r="H608" s="209">
        <f t="shared" ref="H608:I608" si="156">H610+H641+H644</f>
        <v>250</v>
      </c>
      <c r="I608" s="209">
        <f t="shared" si="156"/>
        <v>300</v>
      </c>
    </row>
    <row r="609" spans="1:9" ht="68.25" customHeight="1">
      <c r="A609" s="78" t="s">
        <v>786</v>
      </c>
      <c r="B609" s="128">
        <v>951</v>
      </c>
      <c r="C609" s="79" t="s">
        <v>250</v>
      </c>
      <c r="D609" s="79" t="s">
        <v>208</v>
      </c>
      <c r="E609" s="79" t="s">
        <v>787</v>
      </c>
      <c r="F609" s="79" t="s">
        <v>206</v>
      </c>
      <c r="G609" s="80">
        <f>G610+G613+G624+G629+G633+G640+G647</f>
        <v>250</v>
      </c>
      <c r="H609" s="80">
        <f>H610+H613+H629+H633+H640+H647</f>
        <v>250</v>
      </c>
      <c r="I609" s="80">
        <f>I610+I613+I629+I633+I640+I647</f>
        <v>300</v>
      </c>
    </row>
    <row r="610" spans="1:9" ht="34.5" customHeight="1">
      <c r="A610" s="74" t="s">
        <v>788</v>
      </c>
      <c r="B610" s="98">
        <v>951</v>
      </c>
      <c r="C610" s="75" t="s">
        <v>250</v>
      </c>
      <c r="D610" s="75" t="s">
        <v>208</v>
      </c>
      <c r="E610" s="75" t="s">
        <v>789</v>
      </c>
      <c r="F610" s="75" t="s">
        <v>206</v>
      </c>
      <c r="G610" s="76">
        <f t="shared" ref="G610:G611" si="157">G611</f>
        <v>250</v>
      </c>
      <c r="H610" s="76">
        <f t="shared" ref="H610:I611" si="158">H611</f>
        <v>250</v>
      </c>
      <c r="I610" s="76">
        <f t="shared" si="158"/>
        <v>300</v>
      </c>
    </row>
    <row r="611" spans="1:9" ht="35.25" customHeight="1">
      <c r="A611" s="74" t="s">
        <v>223</v>
      </c>
      <c r="B611" s="98">
        <v>951</v>
      </c>
      <c r="C611" s="75" t="s">
        <v>250</v>
      </c>
      <c r="D611" s="75" t="s">
        <v>208</v>
      </c>
      <c r="E611" s="75" t="s">
        <v>789</v>
      </c>
      <c r="F611" s="75" t="s">
        <v>224</v>
      </c>
      <c r="G611" s="76">
        <f t="shared" si="157"/>
        <v>250</v>
      </c>
      <c r="H611" s="76">
        <f t="shared" si="158"/>
        <v>250</v>
      </c>
      <c r="I611" s="76">
        <f t="shared" si="158"/>
        <v>300</v>
      </c>
    </row>
    <row r="612" spans="1:9" ht="51.75" customHeight="1">
      <c r="A612" s="74" t="s">
        <v>225</v>
      </c>
      <c r="B612" s="98">
        <v>951</v>
      </c>
      <c r="C612" s="75" t="s">
        <v>250</v>
      </c>
      <c r="D612" s="75" t="s">
        <v>208</v>
      </c>
      <c r="E612" s="75" t="s">
        <v>789</v>
      </c>
      <c r="F612" s="75" t="s">
        <v>226</v>
      </c>
      <c r="G612" s="76">
        <f>'5'!D130</f>
        <v>250</v>
      </c>
      <c r="H612" s="76">
        <f>'5'!E130</f>
        <v>250</v>
      </c>
      <c r="I612" s="76">
        <f>'5'!F130</f>
        <v>300</v>
      </c>
    </row>
    <row r="613" spans="1:9" ht="47.25" hidden="1">
      <c r="A613" s="100" t="s">
        <v>790</v>
      </c>
      <c r="B613" s="98">
        <v>951</v>
      </c>
      <c r="C613" s="101" t="s">
        <v>250</v>
      </c>
      <c r="D613" s="101" t="s">
        <v>208</v>
      </c>
      <c r="E613" s="101" t="s">
        <v>787</v>
      </c>
      <c r="F613" s="101" t="s">
        <v>206</v>
      </c>
      <c r="G613" s="102">
        <f>G614+G619</f>
        <v>0</v>
      </c>
      <c r="H613" s="102">
        <f>H614+H619</f>
        <v>0</v>
      </c>
      <c r="I613" s="102">
        <f>I614+I619</f>
        <v>0</v>
      </c>
    </row>
    <row r="614" spans="1:9" ht="78.75" hidden="1">
      <c r="A614" s="78" t="s">
        <v>791</v>
      </c>
      <c r="B614" s="98">
        <v>951</v>
      </c>
      <c r="C614" s="79" t="s">
        <v>250</v>
      </c>
      <c r="D614" s="79" t="s">
        <v>208</v>
      </c>
      <c r="E614" s="79" t="s">
        <v>914</v>
      </c>
      <c r="F614" s="79" t="s">
        <v>206</v>
      </c>
      <c r="G614" s="80">
        <f>G615+G617</f>
        <v>0</v>
      </c>
      <c r="H614" s="80">
        <f>H615+H617</f>
        <v>0</v>
      </c>
      <c r="I614" s="80">
        <f>I615+I617</f>
        <v>0</v>
      </c>
    </row>
    <row r="615" spans="1:9" ht="47.25" hidden="1">
      <c r="A615" s="74" t="s">
        <v>320</v>
      </c>
      <c r="B615" s="98">
        <v>951</v>
      </c>
      <c r="C615" s="75" t="s">
        <v>250</v>
      </c>
      <c r="D615" s="75" t="s">
        <v>208</v>
      </c>
      <c r="E615" s="75" t="s">
        <v>914</v>
      </c>
      <c r="F615" s="75" t="s">
        <v>321</v>
      </c>
      <c r="G615" s="76">
        <f>G616</f>
        <v>0</v>
      </c>
      <c r="H615" s="76">
        <f>H616</f>
        <v>0</v>
      </c>
      <c r="I615" s="76">
        <f>I616</f>
        <v>0</v>
      </c>
    </row>
    <row r="616" spans="1:9" hidden="1">
      <c r="A616" s="74" t="s">
        <v>322</v>
      </c>
      <c r="B616" s="98">
        <v>951</v>
      </c>
      <c r="C616" s="75" t="s">
        <v>250</v>
      </c>
      <c r="D616" s="75" t="s">
        <v>208</v>
      </c>
      <c r="E616" s="75" t="s">
        <v>914</v>
      </c>
      <c r="F616" s="75" t="s">
        <v>323</v>
      </c>
      <c r="G616" s="76"/>
      <c r="H616" s="76"/>
      <c r="I616" s="76"/>
    </row>
    <row r="617" spans="1:9" ht="47.25" hidden="1">
      <c r="A617" s="74" t="s">
        <v>793</v>
      </c>
      <c r="B617" s="98">
        <v>952</v>
      </c>
      <c r="C617" s="75" t="s">
        <v>250</v>
      </c>
      <c r="D617" s="75" t="s">
        <v>208</v>
      </c>
      <c r="E617" s="75" t="s">
        <v>914</v>
      </c>
      <c r="F617" s="75" t="s">
        <v>283</v>
      </c>
      <c r="G617" s="76">
        <f>G618</f>
        <v>0</v>
      </c>
      <c r="H617" s="76">
        <f>H618</f>
        <v>0</v>
      </c>
      <c r="I617" s="76">
        <f>I618</f>
        <v>0</v>
      </c>
    </row>
    <row r="618" spans="1:9" ht="15.75" hidden="1" customHeight="1">
      <c r="A618" s="74" t="s">
        <v>504</v>
      </c>
      <c r="B618" s="98">
        <v>953</v>
      </c>
      <c r="C618" s="75" t="s">
        <v>250</v>
      </c>
      <c r="D618" s="75" t="s">
        <v>208</v>
      </c>
      <c r="E618" s="75" t="s">
        <v>914</v>
      </c>
      <c r="F618" s="75" t="s">
        <v>499</v>
      </c>
      <c r="G618" s="76"/>
      <c r="H618" s="76"/>
      <c r="I618" s="76"/>
    </row>
    <row r="619" spans="1:9" ht="110.25" hidden="1" customHeight="1">
      <c r="A619" s="78" t="s">
        <v>794</v>
      </c>
      <c r="B619" s="98">
        <v>951</v>
      </c>
      <c r="C619" s="79" t="s">
        <v>250</v>
      </c>
      <c r="D619" s="79" t="s">
        <v>208</v>
      </c>
      <c r="E619" s="79" t="s">
        <v>915</v>
      </c>
      <c r="F619" s="79" t="s">
        <v>206</v>
      </c>
      <c r="G619" s="80">
        <f>G620+G622</f>
        <v>0</v>
      </c>
      <c r="H619" s="80">
        <f>H620+H622</f>
        <v>0</v>
      </c>
      <c r="I619" s="80">
        <f>I620+I622</f>
        <v>0</v>
      </c>
    </row>
    <row r="620" spans="1:9" ht="47.25" hidden="1">
      <c r="A620" s="74" t="s">
        <v>320</v>
      </c>
      <c r="B620" s="98">
        <v>951</v>
      </c>
      <c r="C620" s="75" t="s">
        <v>250</v>
      </c>
      <c r="D620" s="75" t="s">
        <v>208</v>
      </c>
      <c r="E620" s="75" t="s">
        <v>915</v>
      </c>
      <c r="F620" s="75" t="s">
        <v>321</v>
      </c>
      <c r="G620" s="76">
        <f>G621</f>
        <v>0</v>
      </c>
      <c r="H620" s="76">
        <f>H621</f>
        <v>0</v>
      </c>
      <c r="I620" s="76">
        <f>I621</f>
        <v>0</v>
      </c>
    </row>
    <row r="621" spans="1:9" hidden="1">
      <c r="A621" s="74" t="s">
        <v>322</v>
      </c>
      <c r="B621" s="98">
        <v>951</v>
      </c>
      <c r="C621" s="75" t="s">
        <v>250</v>
      </c>
      <c r="D621" s="75" t="s">
        <v>208</v>
      </c>
      <c r="E621" s="75" t="s">
        <v>915</v>
      </c>
      <c r="F621" s="75" t="s">
        <v>323</v>
      </c>
      <c r="G621" s="76"/>
      <c r="H621" s="76"/>
      <c r="I621" s="76"/>
    </row>
    <row r="622" spans="1:9" ht="47.25" hidden="1" customHeight="1">
      <c r="A622" s="74" t="s">
        <v>793</v>
      </c>
      <c r="B622" s="98">
        <v>952</v>
      </c>
      <c r="C622" s="75" t="s">
        <v>250</v>
      </c>
      <c r="D622" s="75" t="s">
        <v>208</v>
      </c>
      <c r="E622" s="75" t="s">
        <v>915</v>
      </c>
      <c r="F622" s="75" t="s">
        <v>283</v>
      </c>
      <c r="G622" s="76">
        <f>G623</f>
        <v>0</v>
      </c>
      <c r="H622" s="76">
        <f>H623</f>
        <v>0</v>
      </c>
      <c r="I622" s="76">
        <f>I623</f>
        <v>0</v>
      </c>
    </row>
    <row r="623" spans="1:9" ht="15.75" hidden="1" customHeight="1">
      <c r="A623" s="74" t="s">
        <v>504</v>
      </c>
      <c r="B623" s="98">
        <v>953</v>
      </c>
      <c r="C623" s="75" t="s">
        <v>250</v>
      </c>
      <c r="D623" s="75" t="s">
        <v>208</v>
      </c>
      <c r="E623" s="75" t="s">
        <v>915</v>
      </c>
      <c r="F623" s="75" t="s">
        <v>499</v>
      </c>
      <c r="G623" s="76"/>
      <c r="H623" s="76"/>
      <c r="I623" s="76"/>
    </row>
    <row r="624" spans="1:9" ht="63" hidden="1" customHeight="1">
      <c r="A624" s="78" t="s">
        <v>795</v>
      </c>
      <c r="B624" s="128" t="s">
        <v>864</v>
      </c>
      <c r="C624" s="79" t="s">
        <v>250</v>
      </c>
      <c r="D624" s="79" t="s">
        <v>208</v>
      </c>
      <c r="E624" s="79" t="s">
        <v>796</v>
      </c>
      <c r="F624" s="79" t="s">
        <v>206</v>
      </c>
      <c r="G624" s="80">
        <f>G625+G627</f>
        <v>0</v>
      </c>
      <c r="H624" s="80">
        <f>H625+H627</f>
        <v>0</v>
      </c>
      <c r="I624" s="80">
        <f>I625+I627</f>
        <v>0</v>
      </c>
    </row>
    <row r="625" spans="1:9" ht="31.5" hidden="1" customHeight="1">
      <c r="A625" s="74" t="s">
        <v>223</v>
      </c>
      <c r="B625" s="98" t="s">
        <v>864</v>
      </c>
      <c r="C625" s="75" t="s">
        <v>250</v>
      </c>
      <c r="D625" s="75" t="s">
        <v>208</v>
      </c>
      <c r="E625" s="75" t="s">
        <v>796</v>
      </c>
      <c r="F625" s="75" t="s">
        <v>224</v>
      </c>
      <c r="G625" s="76">
        <f>G626</f>
        <v>0</v>
      </c>
      <c r="H625" s="76">
        <f>H626</f>
        <v>0</v>
      </c>
      <c r="I625" s="76">
        <f>I626</f>
        <v>0</v>
      </c>
    </row>
    <row r="626" spans="1:9" ht="47.25" hidden="1" customHeight="1">
      <c r="A626" s="74" t="s">
        <v>225</v>
      </c>
      <c r="B626" s="98" t="s">
        <v>864</v>
      </c>
      <c r="C626" s="75" t="s">
        <v>250</v>
      </c>
      <c r="D626" s="75" t="s">
        <v>208</v>
      </c>
      <c r="E626" s="75" t="s">
        <v>796</v>
      </c>
      <c r="F626" s="75" t="s">
        <v>226</v>
      </c>
      <c r="G626" s="76">
        <f>500-500</f>
        <v>0</v>
      </c>
      <c r="H626" s="76">
        <v>0</v>
      </c>
      <c r="I626" s="76">
        <v>0</v>
      </c>
    </row>
    <row r="627" spans="1:9" ht="47.25" hidden="1" customHeight="1">
      <c r="A627" s="74" t="s">
        <v>320</v>
      </c>
      <c r="B627" s="98" t="s">
        <v>864</v>
      </c>
      <c r="C627" s="75" t="s">
        <v>250</v>
      </c>
      <c r="D627" s="75" t="s">
        <v>208</v>
      </c>
      <c r="E627" s="75" t="s">
        <v>796</v>
      </c>
      <c r="F627" s="75" t="s">
        <v>321</v>
      </c>
      <c r="G627" s="76">
        <f>G628</f>
        <v>0</v>
      </c>
      <c r="H627" s="76">
        <f>H628</f>
        <v>0</v>
      </c>
      <c r="I627" s="76">
        <f>I628</f>
        <v>0</v>
      </c>
    </row>
    <row r="628" spans="1:9" ht="15.75" hidden="1" customHeight="1">
      <c r="A628" s="74" t="s">
        <v>322</v>
      </c>
      <c r="B628" s="98" t="s">
        <v>864</v>
      </c>
      <c r="C628" s="75" t="s">
        <v>250</v>
      </c>
      <c r="D628" s="75" t="s">
        <v>208</v>
      </c>
      <c r="E628" s="75" t="s">
        <v>796</v>
      </c>
      <c r="F628" s="75" t="s">
        <v>323</v>
      </c>
      <c r="G628" s="76">
        <v>0</v>
      </c>
      <c r="H628" s="76">
        <v>0</v>
      </c>
      <c r="I628" s="76">
        <v>0</v>
      </c>
    </row>
    <row r="629" spans="1:9" ht="47.25" hidden="1" customHeight="1">
      <c r="A629" s="100" t="s">
        <v>790</v>
      </c>
      <c r="B629" s="133">
        <v>951</v>
      </c>
      <c r="C629" s="101" t="s">
        <v>250</v>
      </c>
      <c r="D629" s="101" t="s">
        <v>208</v>
      </c>
      <c r="E629" s="101" t="s">
        <v>205</v>
      </c>
      <c r="F629" s="101" t="s">
        <v>206</v>
      </c>
      <c r="G629" s="102">
        <f t="shared" ref="G629:G631" si="159">G630</f>
        <v>0</v>
      </c>
      <c r="H629" s="102">
        <f t="shared" ref="H629:I631" si="160">H630</f>
        <v>0</v>
      </c>
      <c r="I629" s="102">
        <f t="shared" si="160"/>
        <v>0</v>
      </c>
    </row>
    <row r="630" spans="1:9" ht="110.25" hidden="1" customHeight="1">
      <c r="A630" s="74" t="s">
        <v>797</v>
      </c>
      <c r="B630" s="98">
        <v>951</v>
      </c>
      <c r="C630" s="75" t="s">
        <v>250</v>
      </c>
      <c r="D630" s="75" t="s">
        <v>208</v>
      </c>
      <c r="E630" s="75" t="s">
        <v>798</v>
      </c>
      <c r="F630" s="75" t="s">
        <v>206</v>
      </c>
      <c r="G630" s="76">
        <f t="shared" si="159"/>
        <v>0</v>
      </c>
      <c r="H630" s="76">
        <f t="shared" si="160"/>
        <v>0</v>
      </c>
      <c r="I630" s="76">
        <f t="shared" si="160"/>
        <v>0</v>
      </c>
    </row>
    <row r="631" spans="1:9" ht="47.25" hidden="1" customHeight="1">
      <c r="A631" s="74" t="s">
        <v>916</v>
      </c>
      <c r="B631" s="98" t="s">
        <v>864</v>
      </c>
      <c r="C631" s="75" t="s">
        <v>250</v>
      </c>
      <c r="D631" s="75" t="s">
        <v>208</v>
      </c>
      <c r="E631" s="75" t="s">
        <v>798</v>
      </c>
      <c r="F631" s="75" t="s">
        <v>321</v>
      </c>
      <c r="G631" s="76">
        <f t="shared" si="159"/>
        <v>0</v>
      </c>
      <c r="H631" s="76">
        <f t="shared" si="160"/>
        <v>0</v>
      </c>
      <c r="I631" s="76">
        <f t="shared" si="160"/>
        <v>0</v>
      </c>
    </row>
    <row r="632" spans="1:9" ht="15.75" hidden="1" customHeight="1">
      <c r="A632" s="74" t="s">
        <v>322</v>
      </c>
      <c r="B632" s="98">
        <v>951</v>
      </c>
      <c r="C632" s="75" t="s">
        <v>250</v>
      </c>
      <c r="D632" s="75" t="s">
        <v>208</v>
      </c>
      <c r="E632" s="75" t="s">
        <v>798</v>
      </c>
      <c r="F632" s="75" t="s">
        <v>323</v>
      </c>
      <c r="G632" s="76"/>
      <c r="H632" s="76">
        <v>0</v>
      </c>
      <c r="I632" s="76">
        <v>0</v>
      </c>
    </row>
    <row r="633" spans="1:9" ht="63" hidden="1" customHeight="1">
      <c r="A633" s="100" t="s">
        <v>800</v>
      </c>
      <c r="B633" s="133">
        <v>951</v>
      </c>
      <c r="C633" s="101" t="s">
        <v>250</v>
      </c>
      <c r="D633" s="101" t="s">
        <v>208</v>
      </c>
      <c r="E633" s="101" t="s">
        <v>787</v>
      </c>
      <c r="F633" s="101" t="s">
        <v>206</v>
      </c>
      <c r="G633" s="102">
        <f>G637+G634</f>
        <v>0</v>
      </c>
      <c r="H633" s="102">
        <f>H637+H634</f>
        <v>0</v>
      </c>
      <c r="I633" s="102">
        <f>I637+I634</f>
        <v>0</v>
      </c>
    </row>
    <row r="634" spans="1:9" ht="94.5" hidden="1" customHeight="1">
      <c r="A634" s="78" t="s">
        <v>801</v>
      </c>
      <c r="B634" s="128">
        <v>951</v>
      </c>
      <c r="C634" s="79" t="s">
        <v>250</v>
      </c>
      <c r="D634" s="79" t="s">
        <v>208</v>
      </c>
      <c r="E634" s="79" t="s">
        <v>802</v>
      </c>
      <c r="F634" s="79" t="s">
        <v>206</v>
      </c>
      <c r="G634" s="80">
        <f t="shared" ref="G634:I638" si="161">G635</f>
        <v>0</v>
      </c>
      <c r="H634" s="80">
        <f t="shared" si="161"/>
        <v>0</v>
      </c>
      <c r="I634" s="80">
        <f t="shared" si="161"/>
        <v>0</v>
      </c>
    </row>
    <row r="635" spans="1:9" ht="31.5" hidden="1" customHeight="1">
      <c r="A635" s="74" t="s">
        <v>223</v>
      </c>
      <c r="B635" s="98">
        <v>951</v>
      </c>
      <c r="C635" s="75" t="s">
        <v>250</v>
      </c>
      <c r="D635" s="75" t="s">
        <v>208</v>
      </c>
      <c r="E635" s="75" t="s">
        <v>802</v>
      </c>
      <c r="F635" s="75" t="s">
        <v>224</v>
      </c>
      <c r="G635" s="76">
        <f t="shared" si="161"/>
        <v>0</v>
      </c>
      <c r="H635" s="76">
        <f t="shared" si="161"/>
        <v>0</v>
      </c>
      <c r="I635" s="76">
        <f t="shared" si="161"/>
        <v>0</v>
      </c>
    </row>
    <row r="636" spans="1:9" ht="47.25" hidden="1" customHeight="1">
      <c r="A636" s="74" t="s">
        <v>225</v>
      </c>
      <c r="B636" s="98">
        <v>951</v>
      </c>
      <c r="C636" s="75" t="s">
        <v>250</v>
      </c>
      <c r="D636" s="75" t="s">
        <v>208</v>
      </c>
      <c r="E636" s="75" t="s">
        <v>802</v>
      </c>
      <c r="F636" s="75" t="s">
        <v>226</v>
      </c>
      <c r="G636" s="76"/>
      <c r="H636" s="76"/>
      <c r="I636" s="76"/>
    </row>
    <row r="637" spans="1:9" ht="63" hidden="1" customHeight="1">
      <c r="A637" s="78" t="s">
        <v>917</v>
      </c>
      <c r="B637" s="128">
        <v>951</v>
      </c>
      <c r="C637" s="79" t="s">
        <v>250</v>
      </c>
      <c r="D637" s="79" t="s">
        <v>208</v>
      </c>
      <c r="E637" s="79" t="s">
        <v>804</v>
      </c>
      <c r="F637" s="79" t="s">
        <v>206</v>
      </c>
      <c r="G637" s="80">
        <f t="shared" si="161"/>
        <v>0</v>
      </c>
      <c r="H637" s="80">
        <f t="shared" si="161"/>
        <v>0</v>
      </c>
      <c r="I637" s="80">
        <f t="shared" si="161"/>
        <v>0</v>
      </c>
    </row>
    <row r="638" spans="1:9" ht="31.5" hidden="1" customHeight="1">
      <c r="A638" s="74" t="s">
        <v>223</v>
      </c>
      <c r="B638" s="98">
        <v>951</v>
      </c>
      <c r="C638" s="75" t="s">
        <v>250</v>
      </c>
      <c r="D638" s="75" t="s">
        <v>208</v>
      </c>
      <c r="E638" s="75" t="s">
        <v>804</v>
      </c>
      <c r="F638" s="75" t="s">
        <v>224</v>
      </c>
      <c r="G638" s="76">
        <f t="shared" si="161"/>
        <v>0</v>
      </c>
      <c r="H638" s="76">
        <f t="shared" si="161"/>
        <v>0</v>
      </c>
      <c r="I638" s="76">
        <f t="shared" si="161"/>
        <v>0</v>
      </c>
    </row>
    <row r="639" spans="1:9" ht="47.25" hidden="1" customHeight="1">
      <c r="A639" s="74" t="s">
        <v>225</v>
      </c>
      <c r="B639" s="98">
        <v>951</v>
      </c>
      <c r="C639" s="75" t="s">
        <v>250</v>
      </c>
      <c r="D639" s="75" t="s">
        <v>208</v>
      </c>
      <c r="E639" s="75" t="s">
        <v>804</v>
      </c>
      <c r="F639" s="75" t="s">
        <v>226</v>
      </c>
      <c r="G639" s="76"/>
      <c r="H639" s="76"/>
      <c r="I639" s="76"/>
    </row>
    <row r="640" spans="1:9" ht="63.75" hidden="1" customHeight="1">
      <c r="A640" s="100" t="s">
        <v>805</v>
      </c>
      <c r="B640" s="133">
        <v>951</v>
      </c>
      <c r="C640" s="101" t="s">
        <v>250</v>
      </c>
      <c r="D640" s="101" t="s">
        <v>208</v>
      </c>
      <c r="E640" s="101" t="s">
        <v>787</v>
      </c>
      <c r="F640" s="101" t="s">
        <v>206</v>
      </c>
      <c r="G640" s="102">
        <f>G644+G641</f>
        <v>0</v>
      </c>
      <c r="H640" s="102">
        <f>H644+H641</f>
        <v>0</v>
      </c>
      <c r="I640" s="102">
        <f>I644+I641</f>
        <v>0</v>
      </c>
    </row>
    <row r="641" spans="1:12" ht="97.5" hidden="1" customHeight="1">
      <c r="A641" s="74" t="s">
        <v>918</v>
      </c>
      <c r="B641" s="98">
        <v>951</v>
      </c>
      <c r="C641" s="75" t="s">
        <v>250</v>
      </c>
      <c r="D641" s="75" t="s">
        <v>208</v>
      </c>
      <c r="E641" s="75" t="s">
        <v>806</v>
      </c>
      <c r="F641" s="75" t="s">
        <v>206</v>
      </c>
      <c r="G641" s="76">
        <f t="shared" ref="G641:I642" si="162">G642</f>
        <v>0</v>
      </c>
      <c r="H641" s="76">
        <f t="shared" si="162"/>
        <v>0</v>
      </c>
      <c r="I641" s="76">
        <f t="shared" si="162"/>
        <v>0</v>
      </c>
    </row>
    <row r="642" spans="1:12" ht="36.75" hidden="1" customHeight="1">
      <c r="A642" s="74" t="s">
        <v>223</v>
      </c>
      <c r="B642" s="98">
        <v>951</v>
      </c>
      <c r="C642" s="75" t="s">
        <v>250</v>
      </c>
      <c r="D642" s="75" t="s">
        <v>208</v>
      </c>
      <c r="E642" s="75" t="s">
        <v>806</v>
      </c>
      <c r="F642" s="75" t="s">
        <v>224</v>
      </c>
      <c r="G642" s="76">
        <f t="shared" si="162"/>
        <v>0</v>
      </c>
      <c r="H642" s="76">
        <f t="shared" si="162"/>
        <v>0</v>
      </c>
      <c r="I642" s="76">
        <f t="shared" si="162"/>
        <v>0</v>
      </c>
    </row>
    <row r="643" spans="1:12" ht="50.25" hidden="1" customHeight="1">
      <c r="A643" s="74" t="s">
        <v>225</v>
      </c>
      <c r="B643" s="98">
        <v>951</v>
      </c>
      <c r="C643" s="75" t="s">
        <v>250</v>
      </c>
      <c r="D643" s="75" t="s">
        <v>208</v>
      </c>
      <c r="E643" s="75" t="s">
        <v>806</v>
      </c>
      <c r="F643" s="75" t="s">
        <v>226</v>
      </c>
      <c r="G643" s="76">
        <f>'5'!D146</f>
        <v>0</v>
      </c>
      <c r="H643" s="76">
        <f>'5'!E146</f>
        <v>0</v>
      </c>
      <c r="I643" s="76">
        <f>'5'!F146</f>
        <v>0</v>
      </c>
    </row>
    <row r="644" spans="1:12" ht="116.25" hidden="1" customHeight="1">
      <c r="A644" s="74" t="s">
        <v>919</v>
      </c>
      <c r="B644" s="98">
        <v>951</v>
      </c>
      <c r="C644" s="75" t="s">
        <v>250</v>
      </c>
      <c r="D644" s="75" t="s">
        <v>208</v>
      </c>
      <c r="E644" s="75" t="s">
        <v>808</v>
      </c>
      <c r="F644" s="75" t="s">
        <v>206</v>
      </c>
      <c r="G644" s="76">
        <f t="shared" ref="G644:I645" si="163">G645</f>
        <v>0</v>
      </c>
      <c r="H644" s="76">
        <f t="shared" si="163"/>
        <v>0</v>
      </c>
      <c r="I644" s="76">
        <f t="shared" si="163"/>
        <v>0</v>
      </c>
    </row>
    <row r="645" spans="1:12" ht="33.6" hidden="1" customHeight="1">
      <c r="A645" s="74" t="s">
        <v>223</v>
      </c>
      <c r="B645" s="98">
        <v>951</v>
      </c>
      <c r="C645" s="75" t="s">
        <v>250</v>
      </c>
      <c r="D645" s="75" t="s">
        <v>208</v>
      </c>
      <c r="E645" s="75" t="s">
        <v>808</v>
      </c>
      <c r="F645" s="75" t="s">
        <v>224</v>
      </c>
      <c r="G645" s="76">
        <f t="shared" si="163"/>
        <v>0</v>
      </c>
      <c r="H645" s="76">
        <f t="shared" si="163"/>
        <v>0</v>
      </c>
      <c r="I645" s="76">
        <f t="shared" si="163"/>
        <v>0</v>
      </c>
    </row>
    <row r="646" spans="1:12" ht="50.25" hidden="1" customHeight="1">
      <c r="A646" s="74" t="s">
        <v>225</v>
      </c>
      <c r="B646" s="98">
        <v>951</v>
      </c>
      <c r="C646" s="75" t="s">
        <v>250</v>
      </c>
      <c r="D646" s="75" t="s">
        <v>208</v>
      </c>
      <c r="E646" s="75" t="s">
        <v>808</v>
      </c>
      <c r="F646" s="75" t="s">
        <v>226</v>
      </c>
      <c r="G646" s="76">
        <f>'5'!D147</f>
        <v>0</v>
      </c>
      <c r="H646" s="76">
        <f>'5'!E147</f>
        <v>0</v>
      </c>
      <c r="I646" s="76">
        <f>'5'!F147</f>
        <v>0</v>
      </c>
    </row>
    <row r="647" spans="1:12" ht="31.5" hidden="1" customHeight="1">
      <c r="A647" s="152" t="s">
        <v>809</v>
      </c>
      <c r="B647" s="220">
        <v>951</v>
      </c>
      <c r="C647" s="153" t="s">
        <v>250</v>
      </c>
      <c r="D647" s="153" t="s">
        <v>208</v>
      </c>
      <c r="E647" s="153" t="s">
        <v>205</v>
      </c>
      <c r="F647" s="153" t="s">
        <v>206</v>
      </c>
      <c r="G647" s="154">
        <f>G651+G648</f>
        <v>0</v>
      </c>
      <c r="H647" s="154">
        <f>H651+H648</f>
        <v>0</v>
      </c>
      <c r="I647" s="154">
        <f>I651+I648</f>
        <v>0</v>
      </c>
    </row>
    <row r="648" spans="1:12" ht="47.25" hidden="1" customHeight="1">
      <c r="A648" s="132" t="s">
        <v>810</v>
      </c>
      <c r="B648" s="130">
        <v>951</v>
      </c>
      <c r="C648" s="71" t="s">
        <v>250</v>
      </c>
      <c r="D648" s="71" t="s">
        <v>208</v>
      </c>
      <c r="E648" s="71" t="s">
        <v>811</v>
      </c>
      <c r="F648" s="71" t="s">
        <v>206</v>
      </c>
      <c r="G648" s="72">
        <f t="shared" ref="G648:I652" si="164">G649</f>
        <v>0</v>
      </c>
      <c r="H648" s="72">
        <f t="shared" si="164"/>
        <v>0</v>
      </c>
      <c r="I648" s="72">
        <f t="shared" si="164"/>
        <v>0</v>
      </c>
    </row>
    <row r="649" spans="1:12" ht="31.5" hidden="1" customHeight="1">
      <c r="A649" s="70" t="s">
        <v>223</v>
      </c>
      <c r="B649" s="130">
        <v>951</v>
      </c>
      <c r="C649" s="71" t="s">
        <v>250</v>
      </c>
      <c r="D649" s="71" t="s">
        <v>208</v>
      </c>
      <c r="E649" s="71" t="s">
        <v>811</v>
      </c>
      <c r="F649" s="71" t="s">
        <v>224</v>
      </c>
      <c r="G649" s="72">
        <f t="shared" si="164"/>
        <v>0</v>
      </c>
      <c r="H649" s="72">
        <f t="shared" si="164"/>
        <v>0</v>
      </c>
      <c r="I649" s="72">
        <f t="shared" si="164"/>
        <v>0</v>
      </c>
    </row>
    <row r="650" spans="1:12" ht="47.25" hidden="1" customHeight="1">
      <c r="A650" s="70" t="s">
        <v>225</v>
      </c>
      <c r="B650" s="130">
        <v>951</v>
      </c>
      <c r="C650" s="71" t="s">
        <v>250</v>
      </c>
      <c r="D650" s="71" t="s">
        <v>208</v>
      </c>
      <c r="E650" s="71" t="s">
        <v>811</v>
      </c>
      <c r="F650" s="71" t="s">
        <v>226</v>
      </c>
      <c r="G650" s="72"/>
      <c r="H650" s="72"/>
      <c r="I650" s="72"/>
    </row>
    <row r="651" spans="1:12" ht="94.5" hidden="1" customHeight="1">
      <c r="A651" s="70" t="s">
        <v>812</v>
      </c>
      <c r="B651" s="130">
        <v>951</v>
      </c>
      <c r="C651" s="71" t="s">
        <v>250</v>
      </c>
      <c r="D651" s="71" t="s">
        <v>208</v>
      </c>
      <c r="E651" s="71" t="s">
        <v>813</v>
      </c>
      <c r="F651" s="71" t="s">
        <v>206</v>
      </c>
      <c r="G651" s="72">
        <f t="shared" si="164"/>
        <v>0</v>
      </c>
      <c r="H651" s="72">
        <f t="shared" si="164"/>
        <v>0</v>
      </c>
      <c r="I651" s="72">
        <f t="shared" si="164"/>
        <v>0</v>
      </c>
    </row>
    <row r="652" spans="1:12" ht="31.5" hidden="1" customHeight="1">
      <c r="A652" s="70" t="s">
        <v>223</v>
      </c>
      <c r="B652" s="130">
        <v>951</v>
      </c>
      <c r="C652" s="71" t="s">
        <v>250</v>
      </c>
      <c r="D652" s="71" t="s">
        <v>208</v>
      </c>
      <c r="E652" s="71" t="s">
        <v>813</v>
      </c>
      <c r="F652" s="71" t="s">
        <v>224</v>
      </c>
      <c r="G652" s="72">
        <f t="shared" si="164"/>
        <v>0</v>
      </c>
      <c r="H652" s="72">
        <f t="shared" si="164"/>
        <v>0</v>
      </c>
      <c r="I652" s="72">
        <f t="shared" si="164"/>
        <v>0</v>
      </c>
    </row>
    <row r="653" spans="1:12" ht="47.25" hidden="1" customHeight="1">
      <c r="A653" s="70" t="s">
        <v>225</v>
      </c>
      <c r="B653" s="130">
        <v>951</v>
      </c>
      <c r="C653" s="71" t="s">
        <v>250</v>
      </c>
      <c r="D653" s="71" t="s">
        <v>208</v>
      </c>
      <c r="E653" s="71" t="s">
        <v>813</v>
      </c>
      <c r="F653" s="71" t="s">
        <v>226</v>
      </c>
      <c r="G653" s="76">
        <v>0</v>
      </c>
      <c r="H653" s="76">
        <v>0</v>
      </c>
      <c r="I653" s="76">
        <v>0</v>
      </c>
    </row>
    <row r="654" spans="1:12" ht="45.75" customHeight="1">
      <c r="A654" s="66" t="s">
        <v>822</v>
      </c>
      <c r="B654" s="199">
        <v>951</v>
      </c>
      <c r="C654" s="67" t="s">
        <v>266</v>
      </c>
      <c r="D654" s="67" t="s">
        <v>204</v>
      </c>
      <c r="E654" s="67" t="s">
        <v>205</v>
      </c>
      <c r="F654" s="67" t="s">
        <v>206</v>
      </c>
      <c r="G654" s="68">
        <f>G656</f>
        <v>10</v>
      </c>
      <c r="H654" s="68">
        <f t="shared" ref="H654:I654" si="165">H656</f>
        <v>10</v>
      </c>
      <c r="I654" s="68">
        <f t="shared" si="165"/>
        <v>10</v>
      </c>
      <c r="J654" s="184"/>
      <c r="K654" s="184"/>
      <c r="L654" s="184"/>
    </row>
    <row r="655" spans="1:12" ht="81" customHeight="1">
      <c r="A655" s="78" t="s">
        <v>824</v>
      </c>
      <c r="B655" s="98">
        <v>951</v>
      </c>
      <c r="C655" s="75" t="s">
        <v>266</v>
      </c>
      <c r="D655" s="75" t="s">
        <v>203</v>
      </c>
      <c r="E655" s="75" t="s">
        <v>205</v>
      </c>
      <c r="F655" s="75" t="s">
        <v>206</v>
      </c>
      <c r="G655" s="76">
        <f t="shared" ref="G655:G658" si="166">G656</f>
        <v>10</v>
      </c>
      <c r="H655" s="76">
        <f t="shared" ref="H655:I663" si="167">H656</f>
        <v>10</v>
      </c>
      <c r="I655" s="76">
        <f t="shared" si="167"/>
        <v>10</v>
      </c>
    </row>
    <row r="656" spans="1:12" ht="33.75" customHeight="1">
      <c r="A656" s="74" t="s">
        <v>825</v>
      </c>
      <c r="B656" s="98">
        <v>951</v>
      </c>
      <c r="C656" s="75" t="s">
        <v>266</v>
      </c>
      <c r="D656" s="75" t="s">
        <v>203</v>
      </c>
      <c r="E656" s="75" t="s">
        <v>826</v>
      </c>
      <c r="F656" s="75" t="s">
        <v>206</v>
      </c>
      <c r="G656" s="76">
        <f t="shared" si="166"/>
        <v>10</v>
      </c>
      <c r="H656" s="76">
        <f t="shared" si="167"/>
        <v>10</v>
      </c>
      <c r="I656" s="76">
        <f t="shared" si="167"/>
        <v>10</v>
      </c>
    </row>
    <row r="657" spans="1:10" ht="33.75" customHeight="1">
      <c r="A657" s="74" t="s">
        <v>920</v>
      </c>
      <c r="B657" s="98">
        <v>951</v>
      </c>
      <c r="C657" s="75" t="s">
        <v>266</v>
      </c>
      <c r="D657" s="75" t="s">
        <v>203</v>
      </c>
      <c r="E657" s="75" t="s">
        <v>826</v>
      </c>
      <c r="F657" s="75" t="s">
        <v>206</v>
      </c>
      <c r="G657" s="76">
        <f t="shared" si="166"/>
        <v>10</v>
      </c>
      <c r="H657" s="76">
        <f t="shared" si="167"/>
        <v>10</v>
      </c>
      <c r="I657" s="76">
        <f t="shared" si="167"/>
        <v>10</v>
      </c>
    </row>
    <row r="658" spans="1:10" ht="31.15" customHeight="1">
      <c r="A658" s="74" t="s">
        <v>828</v>
      </c>
      <c r="B658" s="98">
        <v>951</v>
      </c>
      <c r="C658" s="75" t="s">
        <v>266</v>
      </c>
      <c r="D658" s="75" t="s">
        <v>203</v>
      </c>
      <c r="E658" s="75" t="s">
        <v>826</v>
      </c>
      <c r="F658" s="75" t="s">
        <v>829</v>
      </c>
      <c r="G658" s="76">
        <f t="shared" si="166"/>
        <v>10</v>
      </c>
      <c r="H658" s="76">
        <f t="shared" si="167"/>
        <v>10</v>
      </c>
      <c r="I658" s="76">
        <f t="shared" si="167"/>
        <v>10</v>
      </c>
    </row>
    <row r="659" spans="1:10" ht="19.149999999999999" customHeight="1">
      <c r="A659" s="74" t="s">
        <v>830</v>
      </c>
      <c r="B659" s="98">
        <v>951</v>
      </c>
      <c r="C659" s="75" t="s">
        <v>266</v>
      </c>
      <c r="D659" s="75" t="s">
        <v>203</v>
      </c>
      <c r="E659" s="75" t="s">
        <v>826</v>
      </c>
      <c r="F659" s="75" t="s">
        <v>831</v>
      </c>
      <c r="G659" s="76">
        <f>'5'!D226</f>
        <v>10</v>
      </c>
      <c r="H659" s="76">
        <f>'5'!E226</f>
        <v>10</v>
      </c>
      <c r="I659" s="76">
        <f>'5'!F226</f>
        <v>10</v>
      </c>
    </row>
    <row r="660" spans="1:10" s="211" customFormat="1" ht="47.25" hidden="1" customHeight="1">
      <c r="A660" s="78" t="s">
        <v>209</v>
      </c>
      <c r="B660" s="128">
        <v>951</v>
      </c>
      <c r="C660" s="79" t="s">
        <v>266</v>
      </c>
      <c r="D660" s="79" t="s">
        <v>203</v>
      </c>
      <c r="E660" s="79" t="s">
        <v>832</v>
      </c>
      <c r="F660" s="79" t="s">
        <v>206</v>
      </c>
      <c r="G660" s="80">
        <f t="shared" ref="G660:G663" si="168">G661</f>
        <v>0</v>
      </c>
      <c r="H660" s="80">
        <f t="shared" si="167"/>
        <v>0</v>
      </c>
      <c r="I660" s="80">
        <f t="shared" si="167"/>
        <v>0</v>
      </c>
    </row>
    <row r="661" spans="1:10" ht="31.5" hidden="1" customHeight="1">
      <c r="A661" s="74" t="s">
        <v>825</v>
      </c>
      <c r="B661" s="98">
        <v>951</v>
      </c>
      <c r="C661" s="75" t="s">
        <v>266</v>
      </c>
      <c r="D661" s="75" t="s">
        <v>203</v>
      </c>
      <c r="E661" s="75" t="s">
        <v>832</v>
      </c>
      <c r="F661" s="75" t="s">
        <v>206</v>
      </c>
      <c r="G661" s="76">
        <f t="shared" si="168"/>
        <v>0</v>
      </c>
      <c r="H661" s="76">
        <f t="shared" si="167"/>
        <v>0</v>
      </c>
      <c r="I661" s="76">
        <f t="shared" si="167"/>
        <v>0</v>
      </c>
    </row>
    <row r="662" spans="1:10" ht="31.5" hidden="1" customHeight="1">
      <c r="A662" s="74" t="s">
        <v>920</v>
      </c>
      <c r="B662" s="98">
        <v>951</v>
      </c>
      <c r="C662" s="75" t="s">
        <v>266</v>
      </c>
      <c r="D662" s="75" t="s">
        <v>203</v>
      </c>
      <c r="E662" s="75" t="s">
        <v>832</v>
      </c>
      <c r="F662" s="75" t="s">
        <v>829</v>
      </c>
      <c r="G662" s="76">
        <f t="shared" si="168"/>
        <v>0</v>
      </c>
      <c r="H662" s="76">
        <f t="shared" si="167"/>
        <v>0</v>
      </c>
      <c r="I662" s="76">
        <f t="shared" si="167"/>
        <v>0</v>
      </c>
    </row>
    <row r="663" spans="1:10" ht="31.5" hidden="1" customHeight="1">
      <c r="A663" s="74" t="s">
        <v>828</v>
      </c>
      <c r="B663" s="98">
        <v>951</v>
      </c>
      <c r="C663" s="75" t="s">
        <v>266</v>
      </c>
      <c r="D663" s="75" t="s">
        <v>203</v>
      </c>
      <c r="E663" s="75" t="s">
        <v>832</v>
      </c>
      <c r="F663" s="75" t="s">
        <v>829</v>
      </c>
      <c r="G663" s="76">
        <f t="shared" si="168"/>
        <v>0</v>
      </c>
      <c r="H663" s="76">
        <f t="shared" si="167"/>
        <v>0</v>
      </c>
      <c r="I663" s="76">
        <f t="shared" si="167"/>
        <v>0</v>
      </c>
    </row>
    <row r="664" spans="1:10" ht="15.75" hidden="1" customHeight="1">
      <c r="A664" s="74" t="s">
        <v>830</v>
      </c>
      <c r="B664" s="98">
        <v>952</v>
      </c>
      <c r="C664" s="75" t="s">
        <v>266</v>
      </c>
      <c r="D664" s="75" t="s">
        <v>203</v>
      </c>
      <c r="E664" s="75" t="s">
        <v>832</v>
      </c>
      <c r="F664" s="75" t="s">
        <v>831</v>
      </c>
      <c r="G664" s="76">
        <v>0</v>
      </c>
      <c r="H664" s="76">
        <v>0</v>
      </c>
      <c r="I664" s="76">
        <v>0</v>
      </c>
    </row>
    <row r="665" spans="1:10" ht="15.75" hidden="1" customHeight="1">
      <c r="A665" s="70"/>
      <c r="B665" s="130"/>
      <c r="C665" s="71"/>
      <c r="D665" s="71"/>
      <c r="E665" s="71"/>
      <c r="F665" s="71"/>
      <c r="G665" s="72"/>
      <c r="H665" s="72"/>
      <c r="I665" s="72"/>
    </row>
    <row r="666" spans="1:10" ht="33" customHeight="1">
      <c r="A666" s="117" t="s">
        <v>921</v>
      </c>
      <c r="B666" s="198" t="s">
        <v>922</v>
      </c>
      <c r="C666" s="198" t="s">
        <v>204</v>
      </c>
      <c r="D666" s="198" t="s">
        <v>204</v>
      </c>
      <c r="E666" s="198" t="s">
        <v>205</v>
      </c>
      <c r="F666" s="198" t="s">
        <v>206</v>
      </c>
      <c r="G666" s="63">
        <f>G667+G682</f>
        <v>7667.68</v>
      </c>
      <c r="H666" s="63">
        <f>H667+H682</f>
        <v>6688.66</v>
      </c>
      <c r="I666" s="63">
        <f>I667+I682</f>
        <v>6930.05</v>
      </c>
      <c r="J666" s="184"/>
    </row>
    <row r="667" spans="1:10" ht="78.75">
      <c r="A667" s="70" t="s">
        <v>219</v>
      </c>
      <c r="B667" s="130" t="s">
        <v>922</v>
      </c>
      <c r="C667" s="71" t="s">
        <v>203</v>
      </c>
      <c r="D667" s="71" t="s">
        <v>220</v>
      </c>
      <c r="E667" s="71" t="s">
        <v>205</v>
      </c>
      <c r="F667" s="71" t="s">
        <v>206</v>
      </c>
      <c r="G667" s="72">
        <f t="shared" ref="G667:G668" si="169">G668</f>
        <v>7652.68</v>
      </c>
      <c r="H667" s="72">
        <f t="shared" ref="H667:H668" si="170">H668</f>
        <v>6675.66</v>
      </c>
      <c r="I667" s="72">
        <f t="shared" ref="I667:I668" si="171">I668</f>
        <v>6917.05</v>
      </c>
    </row>
    <row r="668" spans="1:10" ht="36.75" customHeight="1">
      <c r="A668" s="70" t="s">
        <v>209</v>
      </c>
      <c r="B668" s="130" t="s">
        <v>922</v>
      </c>
      <c r="C668" s="71" t="s">
        <v>203</v>
      </c>
      <c r="D668" s="71" t="s">
        <v>220</v>
      </c>
      <c r="E668" s="71" t="s">
        <v>210</v>
      </c>
      <c r="F668" s="71" t="s">
        <v>206</v>
      </c>
      <c r="G668" s="72">
        <f t="shared" si="169"/>
        <v>7652.68</v>
      </c>
      <c r="H668" s="72">
        <f t="shared" si="170"/>
        <v>6675.66</v>
      </c>
      <c r="I668" s="72">
        <f t="shared" si="171"/>
        <v>6917.05</v>
      </c>
    </row>
    <row r="669" spans="1:10" ht="47.25">
      <c r="A669" s="74" t="s">
        <v>211</v>
      </c>
      <c r="B669" s="98" t="s">
        <v>922</v>
      </c>
      <c r="C669" s="75" t="s">
        <v>203</v>
      </c>
      <c r="D669" s="75" t="s">
        <v>220</v>
      </c>
      <c r="E669" s="75" t="s">
        <v>212</v>
      </c>
      <c r="F669" s="75" t="s">
        <v>206</v>
      </c>
      <c r="G669" s="76">
        <f>G675+G670</f>
        <v>7652.68</v>
      </c>
      <c r="H669" s="76">
        <f>H675+H670</f>
        <v>6675.66</v>
      </c>
      <c r="I669" s="76">
        <f>I675+I670</f>
        <v>6917.05</v>
      </c>
    </row>
    <row r="670" spans="1:10" ht="32.25" customHeight="1">
      <c r="A670" s="74" t="s">
        <v>221</v>
      </c>
      <c r="B670" s="98" t="s">
        <v>922</v>
      </c>
      <c r="C670" s="75" t="s">
        <v>203</v>
      </c>
      <c r="D670" s="75" t="s">
        <v>220</v>
      </c>
      <c r="E670" s="75" t="s">
        <v>222</v>
      </c>
      <c r="F670" s="75" t="s">
        <v>206</v>
      </c>
      <c r="G670" s="76">
        <f>G671+G673</f>
        <v>3140.5</v>
      </c>
      <c r="H670" s="76">
        <f>H671+H673</f>
        <v>3250.5</v>
      </c>
      <c r="I670" s="76">
        <f>I671+I673</f>
        <v>3380</v>
      </c>
    </row>
    <row r="671" spans="1:10" ht="98.25" customHeight="1">
      <c r="A671" s="74" t="s">
        <v>215</v>
      </c>
      <c r="B671" s="98" t="s">
        <v>922</v>
      </c>
      <c r="C671" s="75" t="s">
        <v>203</v>
      </c>
      <c r="D671" s="75" t="s">
        <v>220</v>
      </c>
      <c r="E671" s="75" t="s">
        <v>222</v>
      </c>
      <c r="F671" s="75" t="s">
        <v>216</v>
      </c>
      <c r="G671" s="76">
        <f>G672</f>
        <v>3140.5</v>
      </c>
      <c r="H671" s="76">
        <f>H672</f>
        <v>3250.5</v>
      </c>
      <c r="I671" s="76">
        <f>I672</f>
        <v>3380</v>
      </c>
    </row>
    <row r="672" spans="1:10" ht="49.5" customHeight="1">
      <c r="A672" s="74" t="s">
        <v>217</v>
      </c>
      <c r="B672" s="98" t="s">
        <v>922</v>
      </c>
      <c r="C672" s="75" t="s">
        <v>203</v>
      </c>
      <c r="D672" s="75" t="s">
        <v>220</v>
      </c>
      <c r="E672" s="75" t="s">
        <v>222</v>
      </c>
      <c r="F672" s="75" t="s">
        <v>218</v>
      </c>
      <c r="G672" s="76">
        <f>'3'!F25</f>
        <v>3140.5</v>
      </c>
      <c r="H672" s="76">
        <f>'3'!G25</f>
        <v>3250.5</v>
      </c>
      <c r="I672" s="76">
        <f>'3'!H25</f>
        <v>3380</v>
      </c>
    </row>
    <row r="673" spans="1:10" ht="31.5" hidden="1" customHeight="1">
      <c r="A673" s="74" t="s">
        <v>223</v>
      </c>
      <c r="B673" s="98" t="s">
        <v>922</v>
      </c>
      <c r="C673" s="75" t="s">
        <v>203</v>
      </c>
      <c r="D673" s="75" t="s">
        <v>220</v>
      </c>
      <c r="E673" s="75" t="s">
        <v>222</v>
      </c>
      <c r="F673" s="75" t="s">
        <v>224</v>
      </c>
      <c r="G673" s="76">
        <f>G674</f>
        <v>0</v>
      </c>
      <c r="H673" s="76">
        <f>H674</f>
        <v>0</v>
      </c>
      <c r="I673" s="76">
        <f>I674</f>
        <v>0</v>
      </c>
    </row>
    <row r="674" spans="1:10" ht="47.25" hidden="1" customHeight="1">
      <c r="A674" s="74" t="s">
        <v>225</v>
      </c>
      <c r="B674" s="98" t="s">
        <v>922</v>
      </c>
      <c r="C674" s="75" t="s">
        <v>203</v>
      </c>
      <c r="D674" s="75" t="s">
        <v>220</v>
      </c>
      <c r="E674" s="75" t="s">
        <v>222</v>
      </c>
      <c r="F674" s="75" t="s">
        <v>226</v>
      </c>
      <c r="G674" s="76">
        <v>0</v>
      </c>
      <c r="H674" s="76">
        <v>0</v>
      </c>
      <c r="I674" s="76">
        <v>0</v>
      </c>
    </row>
    <row r="675" spans="1:10" ht="48" customHeight="1">
      <c r="A675" s="74" t="s">
        <v>227</v>
      </c>
      <c r="B675" s="98" t="s">
        <v>922</v>
      </c>
      <c r="C675" s="75" t="s">
        <v>203</v>
      </c>
      <c r="D675" s="75" t="s">
        <v>220</v>
      </c>
      <c r="E675" s="75" t="s">
        <v>228</v>
      </c>
      <c r="F675" s="75" t="s">
        <v>206</v>
      </c>
      <c r="G675" s="76">
        <f>G676+G678+G680</f>
        <v>4512.18</v>
      </c>
      <c r="H675" s="76">
        <f>H676+H678+H680</f>
        <v>3425.16</v>
      </c>
      <c r="I675" s="76">
        <f>I676+I678+I680</f>
        <v>3537.05</v>
      </c>
    </row>
    <row r="676" spans="1:10" ht="95.25" customHeight="1">
      <c r="A676" s="74" t="s">
        <v>215</v>
      </c>
      <c r="B676" s="98" t="s">
        <v>922</v>
      </c>
      <c r="C676" s="75" t="s">
        <v>203</v>
      </c>
      <c r="D676" s="75" t="s">
        <v>220</v>
      </c>
      <c r="E676" s="75" t="s">
        <v>228</v>
      </c>
      <c r="F676" s="75" t="s">
        <v>216</v>
      </c>
      <c r="G676" s="76">
        <f>G677</f>
        <v>3503.18</v>
      </c>
      <c r="H676" s="76">
        <f>H677</f>
        <v>2797.16</v>
      </c>
      <c r="I676" s="76">
        <f>I677</f>
        <v>2909.05</v>
      </c>
    </row>
    <row r="677" spans="1:10" ht="51" customHeight="1">
      <c r="A677" s="74" t="s">
        <v>217</v>
      </c>
      <c r="B677" s="98" t="s">
        <v>922</v>
      </c>
      <c r="C677" s="75" t="s">
        <v>203</v>
      </c>
      <c r="D677" s="75" t="s">
        <v>220</v>
      </c>
      <c r="E677" s="75" t="s">
        <v>228</v>
      </c>
      <c r="F677" s="75" t="s">
        <v>218</v>
      </c>
      <c r="G677" s="76">
        <f>'3'!F30</f>
        <v>3503.18</v>
      </c>
      <c r="H677" s="76">
        <f>'3'!G30</f>
        <v>2797.16</v>
      </c>
      <c r="I677" s="76">
        <f>'3'!H30</f>
        <v>2909.05</v>
      </c>
    </row>
    <row r="678" spans="1:10" ht="33" customHeight="1">
      <c r="A678" s="74" t="s">
        <v>223</v>
      </c>
      <c r="B678" s="98" t="s">
        <v>922</v>
      </c>
      <c r="C678" s="75" t="s">
        <v>203</v>
      </c>
      <c r="D678" s="75" t="s">
        <v>220</v>
      </c>
      <c r="E678" s="75" t="s">
        <v>228</v>
      </c>
      <c r="F678" s="75" t="s">
        <v>224</v>
      </c>
      <c r="G678" s="76">
        <f>G679</f>
        <v>999</v>
      </c>
      <c r="H678" s="76">
        <f>H679</f>
        <v>618</v>
      </c>
      <c r="I678" s="76">
        <f>I679</f>
        <v>618</v>
      </c>
    </row>
    <row r="679" spans="1:10" ht="51" customHeight="1">
      <c r="A679" s="74" t="s">
        <v>225</v>
      </c>
      <c r="B679" s="98" t="s">
        <v>922</v>
      </c>
      <c r="C679" s="75" t="s">
        <v>203</v>
      </c>
      <c r="D679" s="75" t="s">
        <v>220</v>
      </c>
      <c r="E679" s="75" t="s">
        <v>228</v>
      </c>
      <c r="F679" s="75" t="s">
        <v>226</v>
      </c>
      <c r="G679" s="76">
        <f>'3'!F32</f>
        <v>999</v>
      </c>
      <c r="H679" s="76">
        <f>'3'!G32</f>
        <v>618</v>
      </c>
      <c r="I679" s="76">
        <f>'3'!H32</f>
        <v>618</v>
      </c>
    </row>
    <row r="680" spans="1:10" ht="20.25" customHeight="1">
      <c r="A680" s="74" t="s">
        <v>229</v>
      </c>
      <c r="B680" s="98" t="s">
        <v>922</v>
      </c>
      <c r="C680" s="75" t="s">
        <v>203</v>
      </c>
      <c r="D680" s="75" t="s">
        <v>220</v>
      </c>
      <c r="E680" s="75" t="s">
        <v>228</v>
      </c>
      <c r="F680" s="75" t="s">
        <v>230</v>
      </c>
      <c r="G680" s="76">
        <f>G681</f>
        <v>10</v>
      </c>
      <c r="H680" s="76">
        <f>H681</f>
        <v>10</v>
      </c>
      <c r="I680" s="76">
        <f>I681</f>
        <v>10</v>
      </c>
    </row>
    <row r="681" spans="1:10" ht="20.25" customHeight="1">
      <c r="A681" s="74" t="s">
        <v>231</v>
      </c>
      <c r="B681" s="98" t="s">
        <v>922</v>
      </c>
      <c r="C681" s="75" t="s">
        <v>203</v>
      </c>
      <c r="D681" s="75" t="s">
        <v>220</v>
      </c>
      <c r="E681" s="75" t="s">
        <v>228</v>
      </c>
      <c r="F681" s="75" t="s">
        <v>232</v>
      </c>
      <c r="G681" s="76">
        <f>'3'!F34</f>
        <v>10</v>
      </c>
      <c r="H681" s="76">
        <f>'3'!G34</f>
        <v>10</v>
      </c>
      <c r="I681" s="76">
        <f>'3'!H34</f>
        <v>10</v>
      </c>
    </row>
    <row r="682" spans="1:10" ht="68.25" customHeight="1">
      <c r="A682" s="78" t="s">
        <v>622</v>
      </c>
      <c r="B682" s="128" t="s">
        <v>922</v>
      </c>
      <c r="C682" s="79" t="s">
        <v>257</v>
      </c>
      <c r="D682" s="79" t="s">
        <v>236</v>
      </c>
      <c r="E682" s="79" t="s">
        <v>623</v>
      </c>
      <c r="F682" s="79" t="s">
        <v>206</v>
      </c>
      <c r="G682" s="76">
        <f t="shared" ref="G682:G683" si="172">G683</f>
        <v>15</v>
      </c>
      <c r="H682" s="76">
        <f>H683</f>
        <v>13</v>
      </c>
      <c r="I682" s="76">
        <f t="shared" ref="H682:I683" si="173">I683</f>
        <v>13</v>
      </c>
    </row>
    <row r="683" spans="1:10" ht="37.5" customHeight="1">
      <c r="A683" s="74" t="s">
        <v>223</v>
      </c>
      <c r="B683" s="98" t="s">
        <v>922</v>
      </c>
      <c r="C683" s="75" t="s">
        <v>257</v>
      </c>
      <c r="D683" s="75" t="s">
        <v>236</v>
      </c>
      <c r="E683" s="75" t="s">
        <v>623</v>
      </c>
      <c r="F683" s="75" t="s">
        <v>224</v>
      </c>
      <c r="G683" s="76">
        <f t="shared" si="172"/>
        <v>15</v>
      </c>
      <c r="H683" s="76">
        <f t="shared" si="173"/>
        <v>13</v>
      </c>
      <c r="I683" s="76">
        <f t="shared" si="173"/>
        <v>13</v>
      </c>
    </row>
    <row r="684" spans="1:10" ht="51" customHeight="1">
      <c r="A684" s="74" t="s">
        <v>225</v>
      </c>
      <c r="B684" s="98" t="s">
        <v>922</v>
      </c>
      <c r="C684" s="75" t="s">
        <v>257</v>
      </c>
      <c r="D684" s="75" t="s">
        <v>236</v>
      </c>
      <c r="E684" s="75" t="s">
        <v>623</v>
      </c>
      <c r="F684" s="75" t="s">
        <v>226</v>
      </c>
      <c r="G684" s="76">
        <f>13+2</f>
        <v>15</v>
      </c>
      <c r="H684" s="76">
        <v>13</v>
      </c>
      <c r="I684" s="76">
        <v>13</v>
      </c>
    </row>
    <row r="685" spans="1:10" ht="50.25" customHeight="1">
      <c r="A685" s="117" t="s">
        <v>923</v>
      </c>
      <c r="B685" s="198" t="s">
        <v>924</v>
      </c>
      <c r="C685" s="198" t="s">
        <v>204</v>
      </c>
      <c r="D685" s="198" t="s">
        <v>204</v>
      </c>
      <c r="E685" s="198" t="s">
        <v>205</v>
      </c>
      <c r="F685" s="198" t="s">
        <v>206</v>
      </c>
      <c r="G685" s="222">
        <f>G688+G714+G717+G700</f>
        <v>34995.483999999997</v>
      </c>
      <c r="H685" s="222">
        <f t="shared" ref="H685:I685" si="174">H688+H714+H717+H700</f>
        <v>23394.453999999998</v>
      </c>
      <c r="I685" s="222">
        <f t="shared" si="174"/>
        <v>22994.453999999998</v>
      </c>
    </row>
    <row r="686" spans="1:10" ht="65.25" customHeight="1">
      <c r="A686" s="74" t="s">
        <v>238</v>
      </c>
      <c r="B686" s="98" t="s">
        <v>924</v>
      </c>
      <c r="C686" s="75" t="s">
        <v>203</v>
      </c>
      <c r="D686" s="75" t="s">
        <v>239</v>
      </c>
      <c r="E686" s="75" t="s">
        <v>205</v>
      </c>
      <c r="F686" s="75" t="s">
        <v>206</v>
      </c>
      <c r="G686" s="76">
        <f t="shared" ref="G686:I687" si="175">G687</f>
        <v>11334</v>
      </c>
      <c r="H686" s="76">
        <f t="shared" si="175"/>
        <v>11834</v>
      </c>
      <c r="I686" s="76">
        <f t="shared" si="175"/>
        <v>11534</v>
      </c>
      <c r="J686" s="184"/>
    </row>
    <row r="687" spans="1:10" ht="45" customHeight="1">
      <c r="A687" s="74" t="s">
        <v>211</v>
      </c>
      <c r="B687" s="98" t="s">
        <v>924</v>
      </c>
      <c r="C687" s="75" t="s">
        <v>203</v>
      </c>
      <c r="D687" s="75" t="s">
        <v>239</v>
      </c>
      <c r="E687" s="75" t="s">
        <v>210</v>
      </c>
      <c r="F687" s="75" t="s">
        <v>206</v>
      </c>
      <c r="G687" s="76">
        <f t="shared" si="175"/>
        <v>11334</v>
      </c>
      <c r="H687" s="76">
        <f t="shared" si="175"/>
        <v>11834</v>
      </c>
      <c r="I687" s="76">
        <f t="shared" si="175"/>
        <v>11534</v>
      </c>
    </row>
    <row r="688" spans="1:10" ht="50.25" customHeight="1">
      <c r="A688" s="74" t="s">
        <v>241</v>
      </c>
      <c r="B688" s="98" t="s">
        <v>924</v>
      </c>
      <c r="C688" s="75" t="s">
        <v>203</v>
      </c>
      <c r="D688" s="75" t="s">
        <v>239</v>
      </c>
      <c r="E688" s="75" t="s">
        <v>212</v>
      </c>
      <c r="F688" s="75" t="s">
        <v>206</v>
      </c>
      <c r="G688" s="76">
        <f>G689+G691+G695+G709+G693</f>
        <v>11334</v>
      </c>
      <c r="H688" s="76">
        <f>H689+H691+H695+H709</f>
        <v>11834</v>
      </c>
      <c r="I688" s="76">
        <f>I689+I691+I695+I709</f>
        <v>11534</v>
      </c>
    </row>
    <row r="689" spans="1:9" ht="95.25" customHeight="1">
      <c r="A689" s="74" t="s">
        <v>215</v>
      </c>
      <c r="B689" s="98" t="s">
        <v>924</v>
      </c>
      <c r="C689" s="75" t="s">
        <v>203</v>
      </c>
      <c r="D689" s="75" t="s">
        <v>239</v>
      </c>
      <c r="E689" s="75" t="s">
        <v>228</v>
      </c>
      <c r="F689" s="75" t="s">
        <v>216</v>
      </c>
      <c r="G689" s="76">
        <f>G690</f>
        <v>9716.2180000000008</v>
      </c>
      <c r="H689" s="76">
        <f>H690</f>
        <v>10216.218000000001</v>
      </c>
      <c r="I689" s="76">
        <f>I690</f>
        <v>10916.218000000001</v>
      </c>
    </row>
    <row r="690" spans="1:9" ht="49.5" customHeight="1">
      <c r="A690" s="74" t="s">
        <v>217</v>
      </c>
      <c r="B690" s="98" t="s">
        <v>924</v>
      </c>
      <c r="C690" s="75" t="s">
        <v>203</v>
      </c>
      <c r="D690" s="75" t="s">
        <v>239</v>
      </c>
      <c r="E690" s="75" t="s">
        <v>228</v>
      </c>
      <c r="F690" s="75" t="s">
        <v>218</v>
      </c>
      <c r="G690" s="76">
        <f>'3'!F53</f>
        <v>9716.2180000000008</v>
      </c>
      <c r="H690" s="76">
        <f>'3'!G53</f>
        <v>10216.218000000001</v>
      </c>
      <c r="I690" s="76">
        <f>'3'!H53</f>
        <v>10916.218000000001</v>
      </c>
    </row>
    <row r="691" spans="1:9" ht="33" customHeight="1">
      <c r="A691" s="74" t="s">
        <v>223</v>
      </c>
      <c r="B691" s="98" t="s">
        <v>924</v>
      </c>
      <c r="C691" s="75" t="s">
        <v>203</v>
      </c>
      <c r="D691" s="75" t="s">
        <v>239</v>
      </c>
      <c r="E691" s="75" t="s">
        <v>228</v>
      </c>
      <c r="F691" s="75" t="s">
        <v>224</v>
      </c>
      <c r="G691" s="76">
        <f>G692</f>
        <v>1612.7820000000002</v>
      </c>
      <c r="H691" s="76">
        <f>H692</f>
        <v>1612.7820000000002</v>
      </c>
      <c r="I691" s="76">
        <f>I692</f>
        <v>612.78200000000015</v>
      </c>
    </row>
    <row r="692" spans="1:9" ht="48" customHeight="1">
      <c r="A692" s="74" t="s">
        <v>225</v>
      </c>
      <c r="B692" s="98" t="s">
        <v>924</v>
      </c>
      <c r="C692" s="75" t="s">
        <v>203</v>
      </c>
      <c r="D692" s="75" t="s">
        <v>239</v>
      </c>
      <c r="E692" s="75" t="s">
        <v>228</v>
      </c>
      <c r="F692" s="75" t="s">
        <v>226</v>
      </c>
      <c r="G692" s="76">
        <f>'3'!F55</f>
        <v>1612.7820000000002</v>
      </c>
      <c r="H692" s="76">
        <f>'3'!G55</f>
        <v>1612.7820000000002</v>
      </c>
      <c r="I692" s="76">
        <f>'3'!H55</f>
        <v>612.78200000000015</v>
      </c>
    </row>
    <row r="693" spans="1:9" ht="31.5" hidden="1">
      <c r="A693" s="74" t="s">
        <v>242</v>
      </c>
      <c r="B693" s="98" t="s">
        <v>924</v>
      </c>
      <c r="C693" s="75" t="s">
        <v>203</v>
      </c>
      <c r="D693" s="75" t="s">
        <v>266</v>
      </c>
      <c r="E693" s="75" t="s">
        <v>228</v>
      </c>
      <c r="F693" s="75" t="s">
        <v>243</v>
      </c>
      <c r="G693" s="76">
        <f>G694</f>
        <v>0</v>
      </c>
      <c r="H693" s="76">
        <f>H694</f>
        <v>0</v>
      </c>
      <c r="I693" s="76">
        <f>I694</f>
        <v>0</v>
      </c>
    </row>
    <row r="694" spans="1:9" ht="47.25" hidden="1">
      <c r="A694" s="74" t="s">
        <v>244</v>
      </c>
      <c r="B694" s="98" t="s">
        <v>924</v>
      </c>
      <c r="C694" s="75" t="s">
        <v>203</v>
      </c>
      <c r="D694" s="75" t="s">
        <v>239</v>
      </c>
      <c r="E694" s="75" t="s">
        <v>228</v>
      </c>
      <c r="F694" s="75" t="s">
        <v>245</v>
      </c>
      <c r="G694" s="76">
        <f>'3'!F57</f>
        <v>0</v>
      </c>
      <c r="H694" s="76">
        <v>0</v>
      </c>
      <c r="I694" s="76">
        <v>0</v>
      </c>
    </row>
    <row r="695" spans="1:9">
      <c r="A695" s="74" t="s">
        <v>229</v>
      </c>
      <c r="B695" s="98" t="s">
        <v>924</v>
      </c>
      <c r="C695" s="75" t="s">
        <v>203</v>
      </c>
      <c r="D695" s="75" t="s">
        <v>239</v>
      </c>
      <c r="E695" s="75" t="s">
        <v>228</v>
      </c>
      <c r="F695" s="75" t="s">
        <v>230</v>
      </c>
      <c r="G695" s="76">
        <f>G696</f>
        <v>5</v>
      </c>
      <c r="H695" s="76">
        <f>H696</f>
        <v>5</v>
      </c>
      <c r="I695" s="76">
        <f>I696</f>
        <v>5</v>
      </c>
    </row>
    <row r="696" spans="1:9">
      <c r="A696" s="74" t="s">
        <v>231</v>
      </c>
      <c r="B696" s="98" t="s">
        <v>924</v>
      </c>
      <c r="C696" s="75" t="s">
        <v>203</v>
      </c>
      <c r="D696" s="75" t="s">
        <v>239</v>
      </c>
      <c r="E696" s="75" t="s">
        <v>228</v>
      </c>
      <c r="F696" s="75" t="s">
        <v>232</v>
      </c>
      <c r="G696" s="76">
        <f>'3'!F59</f>
        <v>5</v>
      </c>
      <c r="H696" s="76">
        <f>'3'!G59</f>
        <v>5</v>
      </c>
      <c r="I696" s="76">
        <f>'3'!H59</f>
        <v>5</v>
      </c>
    </row>
    <row r="697" spans="1:9" hidden="1">
      <c r="A697" s="74" t="s">
        <v>292</v>
      </c>
      <c r="B697" s="98" t="s">
        <v>924</v>
      </c>
      <c r="C697" s="75" t="s">
        <v>203</v>
      </c>
      <c r="D697" s="75" t="s">
        <v>239</v>
      </c>
      <c r="E697" s="75" t="s">
        <v>925</v>
      </c>
      <c r="F697" s="75" t="s">
        <v>206</v>
      </c>
      <c r="G697" s="76">
        <f t="shared" ref="G697:I702" si="176">G698</f>
        <v>0</v>
      </c>
      <c r="H697" s="76">
        <f t="shared" si="176"/>
        <v>0</v>
      </c>
      <c r="I697" s="76">
        <f t="shared" si="176"/>
        <v>0</v>
      </c>
    </row>
    <row r="698" spans="1:9" hidden="1">
      <c r="A698" s="74" t="s">
        <v>229</v>
      </c>
      <c r="B698" s="98" t="s">
        <v>924</v>
      </c>
      <c r="C698" s="75" t="s">
        <v>203</v>
      </c>
      <c r="D698" s="75" t="s">
        <v>239</v>
      </c>
      <c r="E698" s="75" t="s">
        <v>925</v>
      </c>
      <c r="F698" s="75" t="s">
        <v>230</v>
      </c>
      <c r="G698" s="76">
        <f t="shared" si="176"/>
        <v>0</v>
      </c>
      <c r="H698" s="76">
        <f t="shared" si="176"/>
        <v>0</v>
      </c>
      <c r="I698" s="76">
        <f t="shared" si="176"/>
        <v>0</v>
      </c>
    </row>
    <row r="699" spans="1:9" hidden="1">
      <c r="A699" s="74" t="s">
        <v>292</v>
      </c>
      <c r="B699" s="98" t="s">
        <v>924</v>
      </c>
      <c r="C699" s="75" t="s">
        <v>203</v>
      </c>
      <c r="D699" s="75" t="s">
        <v>239</v>
      </c>
      <c r="E699" s="75" t="s">
        <v>925</v>
      </c>
      <c r="F699" s="75" t="s">
        <v>294</v>
      </c>
      <c r="G699" s="76"/>
      <c r="H699" s="76"/>
      <c r="I699" s="76"/>
    </row>
    <row r="700" spans="1:9" ht="31.5">
      <c r="A700" s="223" t="s">
        <v>256</v>
      </c>
      <c r="B700" s="212" t="s">
        <v>924</v>
      </c>
      <c r="C700" s="136" t="s">
        <v>203</v>
      </c>
      <c r="D700" s="136" t="s">
        <v>257</v>
      </c>
      <c r="E700" s="136" t="s">
        <v>260</v>
      </c>
      <c r="F700" s="136"/>
      <c r="G700" s="224">
        <f t="shared" si="176"/>
        <v>3721.68</v>
      </c>
      <c r="H700" s="224">
        <f t="shared" si="176"/>
        <v>0</v>
      </c>
      <c r="I700" s="224">
        <f t="shared" si="176"/>
        <v>0</v>
      </c>
    </row>
    <row r="701" spans="1:9" ht="31.5">
      <c r="A701" s="89" t="s">
        <v>258</v>
      </c>
      <c r="B701" s="98" t="s">
        <v>924</v>
      </c>
      <c r="C701" s="75" t="s">
        <v>203</v>
      </c>
      <c r="D701" s="75" t="s">
        <v>257</v>
      </c>
      <c r="E701" s="75" t="s">
        <v>260</v>
      </c>
      <c r="F701" s="75" t="s">
        <v>204</v>
      </c>
      <c r="G701" s="76">
        <f t="shared" si="176"/>
        <v>3721.68</v>
      </c>
      <c r="H701" s="76">
        <f t="shared" si="176"/>
        <v>0</v>
      </c>
      <c r="I701" s="76">
        <f t="shared" si="176"/>
        <v>0</v>
      </c>
    </row>
    <row r="702" spans="1:9" ht="47.25">
      <c r="A702" s="89" t="s">
        <v>211</v>
      </c>
      <c r="B702" s="98" t="s">
        <v>924</v>
      </c>
      <c r="C702" s="75" t="s">
        <v>203</v>
      </c>
      <c r="D702" s="75" t="s">
        <v>257</v>
      </c>
      <c r="E702" s="75" t="s">
        <v>260</v>
      </c>
      <c r="F702" s="75" t="s">
        <v>224</v>
      </c>
      <c r="G702" s="76">
        <f t="shared" si="176"/>
        <v>3721.68</v>
      </c>
      <c r="H702" s="76">
        <f t="shared" si="176"/>
        <v>0</v>
      </c>
      <c r="I702" s="76">
        <f t="shared" si="176"/>
        <v>0</v>
      </c>
    </row>
    <row r="703" spans="1:9" ht="31.5">
      <c r="A703" s="89" t="s">
        <v>259</v>
      </c>
      <c r="B703" s="98" t="s">
        <v>924</v>
      </c>
      <c r="C703" s="75" t="s">
        <v>203</v>
      </c>
      <c r="D703" s="75" t="s">
        <v>257</v>
      </c>
      <c r="E703" s="75" t="s">
        <v>260</v>
      </c>
      <c r="F703" s="75" t="s">
        <v>226</v>
      </c>
      <c r="G703" s="76">
        <f>'3'!F79</f>
        <v>3721.68</v>
      </c>
      <c r="H703" s="76">
        <f>'3'!G79</f>
        <v>0</v>
      </c>
      <c r="I703" s="76">
        <f>'3'!H79</f>
        <v>0</v>
      </c>
    </row>
    <row r="704" spans="1:9" hidden="1">
      <c r="A704" s="74" t="s">
        <v>229</v>
      </c>
      <c r="B704" s="98" t="s">
        <v>924</v>
      </c>
      <c r="C704" s="75" t="s">
        <v>203</v>
      </c>
      <c r="D704" s="75" t="s">
        <v>257</v>
      </c>
      <c r="E704" s="75" t="s">
        <v>260</v>
      </c>
      <c r="F704" s="75" t="s">
        <v>230</v>
      </c>
      <c r="G704" s="76">
        <f>G705</f>
        <v>0</v>
      </c>
      <c r="H704" s="76">
        <f t="shared" ref="H704:I704" si="177">H705</f>
        <v>0</v>
      </c>
      <c r="I704" s="76">
        <f t="shared" si="177"/>
        <v>0</v>
      </c>
    </row>
    <row r="705" spans="1:12" hidden="1">
      <c r="A705" s="161" t="s">
        <v>261</v>
      </c>
      <c r="B705" s="98" t="s">
        <v>924</v>
      </c>
      <c r="C705" s="75" t="s">
        <v>203</v>
      </c>
      <c r="D705" s="75" t="s">
        <v>257</v>
      </c>
      <c r="E705" s="75" t="s">
        <v>260</v>
      </c>
      <c r="F705" s="75" t="s">
        <v>262</v>
      </c>
      <c r="G705" s="76">
        <v>0</v>
      </c>
      <c r="H705" s="76">
        <f>'3'!G79</f>
        <v>0</v>
      </c>
      <c r="I705" s="76">
        <f>'3'!H79</f>
        <v>0</v>
      </c>
    </row>
    <row r="706" spans="1:12" hidden="1">
      <c r="A706" s="78" t="s">
        <v>292</v>
      </c>
      <c r="B706" s="128" t="s">
        <v>924</v>
      </c>
      <c r="C706" s="79" t="s">
        <v>203</v>
      </c>
      <c r="D706" s="79" t="s">
        <v>266</v>
      </c>
      <c r="E706" s="79" t="s">
        <v>293</v>
      </c>
      <c r="F706" s="79" t="s">
        <v>206</v>
      </c>
      <c r="G706" s="80">
        <f t="shared" ref="G706:I715" si="178">G707</f>
        <v>0</v>
      </c>
      <c r="H706" s="80">
        <f t="shared" si="178"/>
        <v>0</v>
      </c>
      <c r="I706" s="80">
        <f t="shared" si="178"/>
        <v>0</v>
      </c>
    </row>
    <row r="707" spans="1:12" hidden="1">
      <c r="A707" s="74" t="s">
        <v>229</v>
      </c>
      <c r="B707" s="98" t="s">
        <v>924</v>
      </c>
      <c r="C707" s="75" t="s">
        <v>203</v>
      </c>
      <c r="D707" s="75" t="s">
        <v>266</v>
      </c>
      <c r="E707" s="75" t="s">
        <v>293</v>
      </c>
      <c r="F707" s="75" t="s">
        <v>230</v>
      </c>
      <c r="G707" s="76">
        <f t="shared" si="178"/>
        <v>0</v>
      </c>
      <c r="H707" s="76">
        <f t="shared" si="178"/>
        <v>0</v>
      </c>
      <c r="I707" s="76">
        <f t="shared" si="178"/>
        <v>0</v>
      </c>
    </row>
    <row r="708" spans="1:12" hidden="1">
      <c r="A708" s="74" t="s">
        <v>292</v>
      </c>
      <c r="B708" s="98" t="s">
        <v>924</v>
      </c>
      <c r="C708" s="75" t="s">
        <v>203</v>
      </c>
      <c r="D708" s="75" t="s">
        <v>266</v>
      </c>
      <c r="E708" s="75" t="s">
        <v>293</v>
      </c>
      <c r="F708" s="75" t="s">
        <v>294</v>
      </c>
      <c r="G708" s="76"/>
      <c r="H708" s="76"/>
      <c r="I708" s="76"/>
    </row>
    <row r="709" spans="1:12" hidden="1">
      <c r="A709" s="78" t="s">
        <v>292</v>
      </c>
      <c r="B709" s="128" t="s">
        <v>924</v>
      </c>
      <c r="C709" s="79" t="s">
        <v>203</v>
      </c>
      <c r="D709" s="79" t="s">
        <v>266</v>
      </c>
      <c r="E709" s="79" t="s">
        <v>293</v>
      </c>
      <c r="F709" s="79" t="s">
        <v>206</v>
      </c>
      <c r="G709" s="80">
        <f t="shared" si="178"/>
        <v>0</v>
      </c>
      <c r="H709" s="80">
        <f t="shared" si="178"/>
        <v>0</v>
      </c>
      <c r="I709" s="80">
        <f t="shared" si="178"/>
        <v>0</v>
      </c>
    </row>
    <row r="710" spans="1:12" hidden="1">
      <c r="A710" s="74" t="s">
        <v>229</v>
      </c>
      <c r="B710" s="98" t="s">
        <v>924</v>
      </c>
      <c r="C710" s="75" t="s">
        <v>203</v>
      </c>
      <c r="D710" s="75" t="s">
        <v>266</v>
      </c>
      <c r="E710" s="75" t="s">
        <v>293</v>
      </c>
      <c r="F710" s="75" t="s">
        <v>230</v>
      </c>
      <c r="G710" s="76">
        <f t="shared" si="178"/>
        <v>0</v>
      </c>
      <c r="H710" s="76">
        <f t="shared" si="178"/>
        <v>0</v>
      </c>
      <c r="I710" s="76">
        <f t="shared" si="178"/>
        <v>0</v>
      </c>
    </row>
    <row r="711" spans="1:12" hidden="1">
      <c r="A711" s="74" t="s">
        <v>292</v>
      </c>
      <c r="B711" s="98" t="s">
        <v>924</v>
      </c>
      <c r="C711" s="75" t="s">
        <v>203</v>
      </c>
      <c r="D711" s="75" t="s">
        <v>266</v>
      </c>
      <c r="E711" s="75" t="s">
        <v>293</v>
      </c>
      <c r="F711" s="75" t="s">
        <v>294</v>
      </c>
      <c r="G711" s="76"/>
      <c r="H711" s="76"/>
      <c r="I711" s="76"/>
    </row>
    <row r="712" spans="1:12" ht="31.5" hidden="1">
      <c r="A712" s="74" t="s">
        <v>295</v>
      </c>
      <c r="B712" s="98" t="s">
        <v>924</v>
      </c>
      <c r="C712" s="75" t="s">
        <v>203</v>
      </c>
      <c r="D712" s="75" t="s">
        <v>266</v>
      </c>
      <c r="E712" s="98" t="s">
        <v>228</v>
      </c>
      <c r="F712" s="75" t="s">
        <v>224</v>
      </c>
      <c r="G712" s="76">
        <f t="shared" si="178"/>
        <v>0</v>
      </c>
      <c r="H712" s="76">
        <f>H713</f>
        <v>0</v>
      </c>
      <c r="I712" s="76">
        <f>I713</f>
        <v>0</v>
      </c>
    </row>
    <row r="713" spans="1:12" ht="47.25" hidden="1">
      <c r="A713" s="74" t="s">
        <v>225</v>
      </c>
      <c r="B713" s="98" t="s">
        <v>924</v>
      </c>
      <c r="C713" s="75" t="s">
        <v>203</v>
      </c>
      <c r="D713" s="75" t="s">
        <v>266</v>
      </c>
      <c r="E713" s="98" t="s">
        <v>228</v>
      </c>
      <c r="F713" s="75" t="s">
        <v>226</v>
      </c>
      <c r="G713" s="76">
        <v>0</v>
      </c>
      <c r="H713" s="76">
        <v>0</v>
      </c>
      <c r="I713" s="76">
        <v>0</v>
      </c>
    </row>
    <row r="714" spans="1:12" s="211" customFormat="1" ht="63" customHeight="1">
      <c r="A714" s="78" t="s">
        <v>622</v>
      </c>
      <c r="B714" s="128" t="s">
        <v>924</v>
      </c>
      <c r="C714" s="79" t="s">
        <v>257</v>
      </c>
      <c r="D714" s="79" t="s">
        <v>236</v>
      </c>
      <c r="E714" s="79" t="s">
        <v>623</v>
      </c>
      <c r="F714" s="79" t="s">
        <v>206</v>
      </c>
      <c r="G714" s="80">
        <f t="shared" si="178"/>
        <v>20</v>
      </c>
      <c r="H714" s="80">
        <f t="shared" ref="H714:I715" si="179">H715</f>
        <v>20</v>
      </c>
      <c r="I714" s="80">
        <f t="shared" si="179"/>
        <v>20</v>
      </c>
    </row>
    <row r="715" spans="1:12" ht="35.25" customHeight="1">
      <c r="A715" s="74" t="s">
        <v>223</v>
      </c>
      <c r="B715" s="98" t="s">
        <v>924</v>
      </c>
      <c r="C715" s="75" t="s">
        <v>257</v>
      </c>
      <c r="D715" s="75" t="s">
        <v>236</v>
      </c>
      <c r="E715" s="75" t="s">
        <v>623</v>
      </c>
      <c r="F715" s="75" t="s">
        <v>224</v>
      </c>
      <c r="G715" s="76">
        <f t="shared" si="178"/>
        <v>20</v>
      </c>
      <c r="H715" s="76">
        <f t="shared" si="179"/>
        <v>20</v>
      </c>
      <c r="I715" s="76">
        <f t="shared" si="179"/>
        <v>20</v>
      </c>
    </row>
    <row r="716" spans="1:12" ht="47.25">
      <c r="A716" s="74" t="s">
        <v>225</v>
      </c>
      <c r="B716" s="98" t="s">
        <v>924</v>
      </c>
      <c r="C716" s="75" t="s">
        <v>257</v>
      </c>
      <c r="D716" s="75" t="s">
        <v>236</v>
      </c>
      <c r="E716" s="75" t="s">
        <v>623</v>
      </c>
      <c r="F716" s="75" t="s">
        <v>226</v>
      </c>
      <c r="G716" s="76">
        <v>20</v>
      </c>
      <c r="H716" s="76">
        <v>20</v>
      </c>
      <c r="I716" s="76">
        <v>20</v>
      </c>
    </row>
    <row r="717" spans="1:12" ht="94.5">
      <c r="A717" s="214" t="s">
        <v>824</v>
      </c>
      <c r="B717" s="215" t="s">
        <v>924</v>
      </c>
      <c r="C717" s="87" t="s">
        <v>374</v>
      </c>
      <c r="D717" s="87" t="s">
        <v>204</v>
      </c>
      <c r="E717" s="87" t="s">
        <v>345</v>
      </c>
      <c r="F717" s="87" t="s">
        <v>206</v>
      </c>
      <c r="G717" s="88">
        <f>G720+G723+G729</f>
        <v>19919.803999999996</v>
      </c>
      <c r="H717" s="88">
        <f t="shared" ref="H717:I717" si="180">H720+H723+H729</f>
        <v>11540.454</v>
      </c>
      <c r="I717" s="88">
        <f t="shared" si="180"/>
        <v>11440.454</v>
      </c>
      <c r="J717" s="184"/>
      <c r="K717" s="184"/>
      <c r="L717" s="184"/>
    </row>
    <row r="718" spans="1:12" ht="51" customHeight="1">
      <c r="A718" s="74" t="s">
        <v>835</v>
      </c>
      <c r="B718" s="98" t="s">
        <v>924</v>
      </c>
      <c r="C718" s="75" t="s">
        <v>374</v>
      </c>
      <c r="D718" s="75" t="s">
        <v>203</v>
      </c>
      <c r="E718" s="75" t="s">
        <v>345</v>
      </c>
      <c r="F718" s="75" t="s">
        <v>206</v>
      </c>
      <c r="G718" s="76">
        <f>G719+G723+G727</f>
        <v>19919.803999999996</v>
      </c>
      <c r="H718" s="76">
        <f>H723</f>
        <v>650</v>
      </c>
      <c r="I718" s="76">
        <f>I723</f>
        <v>600</v>
      </c>
    </row>
    <row r="719" spans="1:12" ht="50.25" customHeight="1">
      <c r="A719" s="78" t="s">
        <v>836</v>
      </c>
      <c r="B719" s="98" t="s">
        <v>924</v>
      </c>
      <c r="C719" s="79" t="s">
        <v>374</v>
      </c>
      <c r="D719" s="79" t="s">
        <v>203</v>
      </c>
      <c r="E719" s="79" t="s">
        <v>837</v>
      </c>
      <c r="F719" s="79" t="s">
        <v>206</v>
      </c>
      <c r="G719" s="80">
        <f t="shared" ref="G719:G721" si="181">G720</f>
        <v>10840.454</v>
      </c>
      <c r="H719" s="80">
        <f t="shared" ref="H719:I721" si="182">H720</f>
        <v>10840.454</v>
      </c>
      <c r="I719" s="80">
        <f t="shared" si="182"/>
        <v>10840.454</v>
      </c>
    </row>
    <row r="720" spans="1:12" ht="21" customHeight="1">
      <c r="A720" s="74" t="s">
        <v>348</v>
      </c>
      <c r="B720" s="98" t="s">
        <v>924</v>
      </c>
      <c r="C720" s="75" t="s">
        <v>374</v>
      </c>
      <c r="D720" s="75" t="s">
        <v>203</v>
      </c>
      <c r="E720" s="75" t="s">
        <v>837</v>
      </c>
      <c r="F720" s="75" t="s">
        <v>206</v>
      </c>
      <c r="G720" s="76">
        <f t="shared" si="181"/>
        <v>10840.454</v>
      </c>
      <c r="H720" s="76">
        <f t="shared" si="182"/>
        <v>10840.454</v>
      </c>
      <c r="I720" s="76">
        <f t="shared" si="182"/>
        <v>10840.454</v>
      </c>
    </row>
    <row r="721" spans="1:9" ht="129" customHeight="1">
      <c r="A721" s="78" t="s">
        <v>838</v>
      </c>
      <c r="B721" s="98" t="s">
        <v>924</v>
      </c>
      <c r="C721" s="75" t="s">
        <v>374</v>
      </c>
      <c r="D721" s="75" t="s">
        <v>203</v>
      </c>
      <c r="E721" s="75" t="s">
        <v>837</v>
      </c>
      <c r="F721" s="75" t="s">
        <v>206</v>
      </c>
      <c r="G721" s="76">
        <f t="shared" si="181"/>
        <v>10840.454</v>
      </c>
      <c r="H721" s="76">
        <f t="shared" si="182"/>
        <v>10840.454</v>
      </c>
      <c r="I721" s="76">
        <f t="shared" si="182"/>
        <v>10840.454</v>
      </c>
    </row>
    <row r="722" spans="1:9" ht="16.5" customHeight="1">
      <c r="A722" s="74" t="s">
        <v>839</v>
      </c>
      <c r="B722" s="98" t="s">
        <v>924</v>
      </c>
      <c r="C722" s="75" t="s">
        <v>374</v>
      </c>
      <c r="D722" s="75" t="s">
        <v>203</v>
      </c>
      <c r="E722" s="75" t="s">
        <v>837</v>
      </c>
      <c r="F722" s="75" t="s">
        <v>840</v>
      </c>
      <c r="G722" s="76">
        <f>'5'!D227</f>
        <v>10840.454</v>
      </c>
      <c r="H722" s="76">
        <f>'5'!E227</f>
        <v>10840.454</v>
      </c>
      <c r="I722" s="76">
        <f>'5'!F227</f>
        <v>10840.454</v>
      </c>
    </row>
    <row r="723" spans="1:9" ht="47.25">
      <c r="A723" s="78" t="s">
        <v>841</v>
      </c>
      <c r="B723" s="98" t="s">
        <v>924</v>
      </c>
      <c r="C723" s="79" t="s">
        <v>374</v>
      </c>
      <c r="D723" s="79" t="s">
        <v>203</v>
      </c>
      <c r="E723" s="79" t="s">
        <v>842</v>
      </c>
      <c r="F723" s="79" t="s">
        <v>206</v>
      </c>
      <c r="G723" s="80">
        <f>G724</f>
        <v>7899</v>
      </c>
      <c r="H723" s="80">
        <f>H724</f>
        <v>650</v>
      </c>
      <c r="I723" s="80">
        <f>I724</f>
        <v>600</v>
      </c>
    </row>
    <row r="724" spans="1:9" ht="18.75" customHeight="1">
      <c r="A724" s="74" t="s">
        <v>839</v>
      </c>
      <c r="B724" s="98" t="s">
        <v>924</v>
      </c>
      <c r="C724" s="75" t="s">
        <v>374</v>
      </c>
      <c r="D724" s="75" t="s">
        <v>203</v>
      </c>
      <c r="E724" s="75" t="s">
        <v>842</v>
      </c>
      <c r="F724" s="75" t="s">
        <v>840</v>
      </c>
      <c r="G724" s="76">
        <f>'5'!D228</f>
        <v>7899</v>
      </c>
      <c r="H724" s="76">
        <f>'5'!E228</f>
        <v>650</v>
      </c>
      <c r="I724" s="76">
        <f>'5'!F228</f>
        <v>600</v>
      </c>
    </row>
    <row r="725" spans="1:9" ht="47.25" hidden="1">
      <c r="A725" s="70" t="s">
        <v>841</v>
      </c>
      <c r="B725" s="130" t="s">
        <v>924</v>
      </c>
      <c r="C725" s="71" t="s">
        <v>374</v>
      </c>
      <c r="D725" s="71" t="s">
        <v>203</v>
      </c>
      <c r="E725" s="71" t="s">
        <v>293</v>
      </c>
      <c r="F725" s="71" t="s">
        <v>206</v>
      </c>
      <c r="G725" s="72">
        <f>G726</f>
        <v>0</v>
      </c>
      <c r="H725" s="72">
        <f>H726</f>
        <v>0</v>
      </c>
      <c r="I725" s="72">
        <f>I726</f>
        <v>0</v>
      </c>
    </row>
    <row r="726" spans="1:9" hidden="1">
      <c r="A726" s="70" t="s">
        <v>292</v>
      </c>
      <c r="B726" s="130" t="s">
        <v>924</v>
      </c>
      <c r="C726" s="71" t="s">
        <v>374</v>
      </c>
      <c r="D726" s="71" t="s">
        <v>203</v>
      </c>
      <c r="E726" s="71" t="s">
        <v>293</v>
      </c>
      <c r="F726" s="71" t="s">
        <v>840</v>
      </c>
      <c r="G726" s="72"/>
      <c r="H726" s="72"/>
      <c r="I726" s="72"/>
    </row>
    <row r="727" spans="1:9" ht="31.5">
      <c r="A727" s="225" t="s">
        <v>843</v>
      </c>
      <c r="B727" s="207" t="s">
        <v>924</v>
      </c>
      <c r="C727" s="226" t="s">
        <v>374</v>
      </c>
      <c r="D727" s="226" t="s">
        <v>220</v>
      </c>
      <c r="E727" s="226" t="s">
        <v>345</v>
      </c>
      <c r="F727" s="226" t="s">
        <v>206</v>
      </c>
      <c r="G727" s="227">
        <f>G728+G733</f>
        <v>1180.3500000000001</v>
      </c>
      <c r="H727" s="227">
        <f>H728+H733</f>
        <v>50</v>
      </c>
      <c r="I727" s="227">
        <f>I728+I733</f>
        <v>0</v>
      </c>
    </row>
    <row r="728" spans="1:9" ht="31.5">
      <c r="A728" s="74" t="s">
        <v>844</v>
      </c>
      <c r="B728" s="98" t="s">
        <v>924</v>
      </c>
      <c r="C728" s="75" t="s">
        <v>374</v>
      </c>
      <c r="D728" s="75" t="s">
        <v>220</v>
      </c>
      <c r="E728" s="75" t="s">
        <v>845</v>
      </c>
      <c r="F728" s="75" t="s">
        <v>206</v>
      </c>
      <c r="G728" s="76">
        <f>G729</f>
        <v>1180.3500000000001</v>
      </c>
      <c r="H728" s="76">
        <f>H729</f>
        <v>50</v>
      </c>
      <c r="I728" s="76">
        <f>I729</f>
        <v>0</v>
      </c>
    </row>
    <row r="729" spans="1:9" ht="16.5" customHeight="1">
      <c r="A729" s="74" t="s">
        <v>348</v>
      </c>
      <c r="B729" s="98" t="s">
        <v>924</v>
      </c>
      <c r="C729" s="75" t="s">
        <v>374</v>
      </c>
      <c r="D729" s="75" t="s">
        <v>220</v>
      </c>
      <c r="E729" s="75" t="s">
        <v>845</v>
      </c>
      <c r="F729" s="75" t="s">
        <v>349</v>
      </c>
      <c r="G729" s="76">
        <f>G730+G733</f>
        <v>1180.3500000000001</v>
      </c>
      <c r="H729" s="76">
        <f>H730+H733</f>
        <v>50</v>
      </c>
      <c r="I729" s="76">
        <f>I730+I733</f>
        <v>0</v>
      </c>
    </row>
    <row r="730" spans="1:9" ht="17.649999999999999" customHeight="1">
      <c r="A730" s="74" t="s">
        <v>410</v>
      </c>
      <c r="B730" s="98" t="s">
        <v>924</v>
      </c>
      <c r="C730" s="75" t="s">
        <v>374</v>
      </c>
      <c r="D730" s="75" t="s">
        <v>220</v>
      </c>
      <c r="E730" s="75" t="s">
        <v>845</v>
      </c>
      <c r="F730" s="75" t="s">
        <v>411</v>
      </c>
      <c r="G730" s="76">
        <f>'5'!D229+'5'!D231</f>
        <v>1180.3500000000001</v>
      </c>
      <c r="H730" s="76">
        <f>'5'!E229+'5'!E231</f>
        <v>50</v>
      </c>
      <c r="I730" s="76">
        <f>'5'!F229+'5'!F231</f>
        <v>0</v>
      </c>
    </row>
    <row r="731" spans="1:9" hidden="1">
      <c r="A731" s="70" t="s">
        <v>348</v>
      </c>
      <c r="B731" s="130" t="s">
        <v>924</v>
      </c>
      <c r="C731" s="71" t="s">
        <v>374</v>
      </c>
      <c r="D731" s="71" t="s">
        <v>220</v>
      </c>
      <c r="E731" s="71" t="s">
        <v>926</v>
      </c>
      <c r="F731" s="71" t="s">
        <v>349</v>
      </c>
      <c r="G731" s="72">
        <f>G732</f>
        <v>0</v>
      </c>
      <c r="H731" s="72">
        <f>H732</f>
        <v>0</v>
      </c>
      <c r="I731" s="72">
        <f>I732</f>
        <v>0</v>
      </c>
    </row>
    <row r="732" spans="1:9" ht="141.75" hidden="1">
      <c r="A732" s="70" t="s">
        <v>846</v>
      </c>
      <c r="B732" s="130" t="s">
        <v>924</v>
      </c>
      <c r="C732" s="71" t="s">
        <v>374</v>
      </c>
      <c r="D732" s="71" t="s">
        <v>220</v>
      </c>
      <c r="E732" s="71" t="s">
        <v>926</v>
      </c>
      <c r="F732" s="71" t="s">
        <v>411</v>
      </c>
      <c r="G732" s="72"/>
      <c r="H732" s="72"/>
      <c r="I732" s="72"/>
    </row>
    <row r="733" spans="1:9" ht="78.75" hidden="1">
      <c r="A733" s="70" t="s">
        <v>847</v>
      </c>
      <c r="B733" s="130" t="s">
        <v>924</v>
      </c>
      <c r="C733" s="71" t="s">
        <v>374</v>
      </c>
      <c r="D733" s="71" t="s">
        <v>220</v>
      </c>
      <c r="E733" s="71" t="s">
        <v>848</v>
      </c>
      <c r="F733" s="71" t="s">
        <v>411</v>
      </c>
      <c r="G733" s="72"/>
      <c r="H733" s="72"/>
      <c r="I733" s="72"/>
    </row>
    <row r="734" spans="1:9" s="210" customFormat="1" ht="31.5" hidden="1">
      <c r="A734" s="206" t="s">
        <v>505</v>
      </c>
      <c r="B734" s="207" t="s">
        <v>924</v>
      </c>
      <c r="C734" s="208" t="s">
        <v>374</v>
      </c>
      <c r="D734" s="208" t="s">
        <v>203</v>
      </c>
      <c r="E734" s="208" t="s">
        <v>849</v>
      </c>
      <c r="F734" s="208" t="s">
        <v>206</v>
      </c>
      <c r="G734" s="209">
        <f>G735+G738+G740</f>
        <v>0</v>
      </c>
      <c r="H734" s="209">
        <f>H735+H738+H740</f>
        <v>0</v>
      </c>
      <c r="I734" s="209">
        <f>I735+I738+I740</f>
        <v>0</v>
      </c>
    </row>
    <row r="735" spans="1:9" hidden="1">
      <c r="A735" s="70" t="s">
        <v>348</v>
      </c>
      <c r="B735" s="130"/>
      <c r="C735" s="71"/>
      <c r="D735" s="71"/>
      <c r="E735" s="71" t="s">
        <v>849</v>
      </c>
      <c r="F735" s="71" t="s">
        <v>206</v>
      </c>
      <c r="G735" s="72">
        <f t="shared" ref="G735:I736" si="183">G736</f>
        <v>0</v>
      </c>
      <c r="H735" s="72">
        <f t="shared" si="183"/>
        <v>0</v>
      </c>
      <c r="I735" s="72">
        <f t="shared" si="183"/>
        <v>0</v>
      </c>
    </row>
    <row r="736" spans="1:9" ht="126" hidden="1" customHeight="1">
      <c r="A736" s="132" t="s">
        <v>838</v>
      </c>
      <c r="B736" s="213" t="s">
        <v>924</v>
      </c>
      <c r="C736" s="127" t="s">
        <v>374</v>
      </c>
      <c r="D736" s="127" t="s">
        <v>203</v>
      </c>
      <c r="E736" s="127" t="s">
        <v>849</v>
      </c>
      <c r="F736" s="127" t="s">
        <v>349</v>
      </c>
      <c r="G736" s="129">
        <f t="shared" si="183"/>
        <v>0</v>
      </c>
      <c r="H736" s="129">
        <f t="shared" si="183"/>
        <v>0</v>
      </c>
      <c r="I736" s="129">
        <f t="shared" si="183"/>
        <v>0</v>
      </c>
    </row>
    <row r="737" spans="1:12" hidden="1">
      <c r="A737" s="70" t="s">
        <v>839</v>
      </c>
      <c r="B737" s="130" t="s">
        <v>924</v>
      </c>
      <c r="C737" s="127" t="s">
        <v>374</v>
      </c>
      <c r="D737" s="127" t="s">
        <v>203</v>
      </c>
      <c r="E737" s="71" t="s">
        <v>849</v>
      </c>
      <c r="F737" s="127" t="s">
        <v>840</v>
      </c>
      <c r="G737" s="129">
        <f>'5'!D338</f>
        <v>0</v>
      </c>
      <c r="H737" s="129">
        <f>'5'!E338</f>
        <v>0</v>
      </c>
      <c r="I737" s="129">
        <f>'5'!F338</f>
        <v>0</v>
      </c>
    </row>
    <row r="738" spans="1:12" ht="47.25" hidden="1">
      <c r="A738" s="132" t="s">
        <v>841</v>
      </c>
      <c r="B738" s="130" t="s">
        <v>924</v>
      </c>
      <c r="C738" s="71" t="s">
        <v>374</v>
      </c>
      <c r="D738" s="71" t="s">
        <v>203</v>
      </c>
      <c r="E738" s="71" t="s">
        <v>850</v>
      </c>
      <c r="F738" s="71" t="s">
        <v>349</v>
      </c>
      <c r="G738" s="72">
        <f>G739</f>
        <v>0</v>
      </c>
      <c r="H738" s="72">
        <f>H739</f>
        <v>0</v>
      </c>
      <c r="I738" s="72">
        <f>I739</f>
        <v>0</v>
      </c>
    </row>
    <row r="739" spans="1:12" hidden="1">
      <c r="A739" s="70" t="s">
        <v>839</v>
      </c>
      <c r="B739" s="130" t="s">
        <v>924</v>
      </c>
      <c r="C739" s="71" t="s">
        <v>374</v>
      </c>
      <c r="D739" s="71" t="s">
        <v>203</v>
      </c>
      <c r="E739" s="71" t="s">
        <v>850</v>
      </c>
      <c r="F739" s="71" t="s">
        <v>840</v>
      </c>
      <c r="G739" s="72">
        <f>'5'!D339</f>
        <v>0</v>
      </c>
      <c r="H739" s="72">
        <f>'5'!E339</f>
        <v>0</v>
      </c>
      <c r="I739" s="72">
        <f>'5'!F339</f>
        <v>0</v>
      </c>
    </row>
    <row r="740" spans="1:12" ht="31.5" hidden="1">
      <c r="A740" s="132" t="s">
        <v>843</v>
      </c>
      <c r="B740" s="213" t="s">
        <v>924</v>
      </c>
      <c r="C740" s="127" t="s">
        <v>374</v>
      </c>
      <c r="D740" s="127" t="s">
        <v>220</v>
      </c>
      <c r="E740" s="127" t="s">
        <v>851</v>
      </c>
      <c r="F740" s="127" t="s">
        <v>349</v>
      </c>
      <c r="G740" s="129">
        <f>G741</f>
        <v>0</v>
      </c>
      <c r="H740" s="129">
        <f>H741</f>
        <v>0</v>
      </c>
      <c r="I740" s="129">
        <f>I741</f>
        <v>0</v>
      </c>
    </row>
    <row r="741" spans="1:12" hidden="1">
      <c r="A741" s="70" t="s">
        <v>410</v>
      </c>
      <c r="B741" s="130" t="s">
        <v>924</v>
      </c>
      <c r="C741" s="71" t="s">
        <v>374</v>
      </c>
      <c r="D741" s="71" t="s">
        <v>220</v>
      </c>
      <c r="E741" s="71" t="s">
        <v>851</v>
      </c>
      <c r="F741" s="71" t="s">
        <v>411</v>
      </c>
      <c r="G741" s="72">
        <f>'5'!D340</f>
        <v>0</v>
      </c>
      <c r="H741" s="72">
        <f>'5'!E340</f>
        <v>0</v>
      </c>
      <c r="I741" s="72">
        <f>'5'!F340</f>
        <v>0</v>
      </c>
    </row>
    <row r="742" spans="1:12" ht="101.25" customHeight="1">
      <c r="A742" s="117" t="s">
        <v>927</v>
      </c>
      <c r="B742" s="198" t="s">
        <v>928</v>
      </c>
      <c r="C742" s="198" t="s">
        <v>204</v>
      </c>
      <c r="D742" s="198" t="s">
        <v>204</v>
      </c>
      <c r="E742" s="198" t="s">
        <v>205</v>
      </c>
      <c r="F742" s="198" t="s">
        <v>206</v>
      </c>
      <c r="G742" s="63">
        <f>G743+G973+G992</f>
        <v>778615.69442515157</v>
      </c>
      <c r="H742" s="63">
        <f>H743+H973+H992</f>
        <v>686892.13290000008</v>
      </c>
      <c r="I742" s="63">
        <f>I743+I973+I992</f>
        <v>720527.69090500008</v>
      </c>
    </row>
    <row r="743" spans="1:12">
      <c r="A743" s="66" t="s">
        <v>491</v>
      </c>
      <c r="B743" s="199" t="s">
        <v>928</v>
      </c>
      <c r="C743" s="67" t="s">
        <v>257</v>
      </c>
      <c r="D743" s="67" t="s">
        <v>204</v>
      </c>
      <c r="E743" s="67" t="s">
        <v>205</v>
      </c>
      <c r="F743" s="67" t="s">
        <v>206</v>
      </c>
      <c r="G743" s="68">
        <f>G744+G770+G852+G880+G906</f>
        <v>771508.35339515156</v>
      </c>
      <c r="H743" s="68">
        <f t="shared" ref="H743:I743" si="184">H744+H770+H852+H880+H906</f>
        <v>680197.44990000012</v>
      </c>
      <c r="I743" s="68">
        <f t="shared" si="184"/>
        <v>713588.79590500006</v>
      </c>
      <c r="J743" s="184"/>
      <c r="K743" s="184"/>
      <c r="L743" s="184"/>
    </row>
    <row r="744" spans="1:12">
      <c r="A744" s="206" t="s">
        <v>492</v>
      </c>
      <c r="B744" s="207" t="s">
        <v>928</v>
      </c>
      <c r="C744" s="208" t="s">
        <v>257</v>
      </c>
      <c r="D744" s="208" t="s">
        <v>203</v>
      </c>
      <c r="E744" s="208" t="s">
        <v>205</v>
      </c>
      <c r="F744" s="208" t="s">
        <v>206</v>
      </c>
      <c r="G744" s="209">
        <f>G747+G749+G752+G755+G758</f>
        <v>111277.01920000001</v>
      </c>
      <c r="H744" s="209">
        <f t="shared" ref="H744:I744" si="185">H747+H749+H752+H755+H758</f>
        <v>100376.014</v>
      </c>
      <c r="I744" s="209">
        <f t="shared" si="185"/>
        <v>107158.054</v>
      </c>
    </row>
    <row r="745" spans="1:12" ht="48.75" customHeight="1">
      <c r="A745" s="132" t="s">
        <v>315</v>
      </c>
      <c r="B745" s="213" t="s">
        <v>928</v>
      </c>
      <c r="C745" s="127" t="s">
        <v>257</v>
      </c>
      <c r="D745" s="127" t="s">
        <v>203</v>
      </c>
      <c r="E745" s="127" t="s">
        <v>493</v>
      </c>
      <c r="F745" s="127" t="s">
        <v>206</v>
      </c>
      <c r="G745" s="129">
        <f>G746</f>
        <v>55535.353199999998</v>
      </c>
      <c r="H745" s="129">
        <f>H746</f>
        <v>42129</v>
      </c>
      <c r="I745" s="129">
        <f>I746</f>
        <v>44629</v>
      </c>
    </row>
    <row r="746" spans="1:12" ht="49.5" customHeight="1">
      <c r="A746" s="108" t="s">
        <v>494</v>
      </c>
      <c r="B746" s="98" t="s">
        <v>928</v>
      </c>
      <c r="C746" s="75" t="s">
        <v>257</v>
      </c>
      <c r="D746" s="75" t="s">
        <v>203</v>
      </c>
      <c r="E746" s="75" t="s">
        <v>495</v>
      </c>
      <c r="F746" s="75" t="s">
        <v>206</v>
      </c>
      <c r="G746" s="76">
        <f>G747+G752+G750</f>
        <v>55535.353199999998</v>
      </c>
      <c r="H746" s="76">
        <f>H747+H752+H750</f>
        <v>42129</v>
      </c>
      <c r="I746" s="76">
        <f>I747+I752+I750</f>
        <v>44629</v>
      </c>
    </row>
    <row r="747" spans="1:12" ht="48.75" customHeight="1">
      <c r="A747" s="74" t="s">
        <v>284</v>
      </c>
      <c r="B747" s="98" t="s">
        <v>928</v>
      </c>
      <c r="C747" s="75" t="s">
        <v>257</v>
      </c>
      <c r="D747" s="75" t="s">
        <v>203</v>
      </c>
      <c r="E747" s="75" t="s">
        <v>496</v>
      </c>
      <c r="F747" s="75" t="s">
        <v>283</v>
      </c>
      <c r="G747" s="76">
        <f>G748</f>
        <v>420</v>
      </c>
      <c r="H747" s="76">
        <f>H748</f>
        <v>200</v>
      </c>
      <c r="I747" s="76">
        <f>I748</f>
        <v>200</v>
      </c>
    </row>
    <row r="748" spans="1:12" ht="20.25" customHeight="1">
      <c r="A748" s="74" t="s">
        <v>497</v>
      </c>
      <c r="B748" s="98" t="s">
        <v>928</v>
      </c>
      <c r="C748" s="75" t="s">
        <v>257</v>
      </c>
      <c r="D748" s="75" t="s">
        <v>203</v>
      </c>
      <c r="E748" s="75" t="s">
        <v>498</v>
      </c>
      <c r="F748" s="75" t="s">
        <v>499</v>
      </c>
      <c r="G748" s="76">
        <f>'5'!D58</f>
        <v>420</v>
      </c>
      <c r="H748" s="76">
        <f>'5'!E58</f>
        <v>200</v>
      </c>
      <c r="I748" s="76">
        <f>'5'!F58</f>
        <v>200</v>
      </c>
    </row>
    <row r="749" spans="1:12" ht="50.25" customHeight="1">
      <c r="A749" s="74" t="s">
        <v>502</v>
      </c>
      <c r="B749" s="98" t="s">
        <v>928</v>
      </c>
      <c r="C749" s="75" t="s">
        <v>257</v>
      </c>
      <c r="D749" s="75" t="s">
        <v>203</v>
      </c>
      <c r="E749" s="75" t="s">
        <v>503</v>
      </c>
      <c r="F749" s="75" t="s">
        <v>206</v>
      </c>
      <c r="G749" s="76">
        <f t="shared" ref="G749:I750" si="186">G750</f>
        <v>238</v>
      </c>
      <c r="H749" s="76">
        <f t="shared" si="186"/>
        <v>0</v>
      </c>
      <c r="I749" s="76">
        <f t="shared" si="186"/>
        <v>0</v>
      </c>
    </row>
    <row r="750" spans="1:12" ht="48" customHeight="1">
      <c r="A750" s="74" t="s">
        <v>284</v>
      </c>
      <c r="B750" s="98" t="s">
        <v>928</v>
      </c>
      <c r="C750" s="75" t="s">
        <v>257</v>
      </c>
      <c r="D750" s="75" t="s">
        <v>203</v>
      </c>
      <c r="E750" s="75" t="s">
        <v>503</v>
      </c>
      <c r="F750" s="75" t="s">
        <v>283</v>
      </c>
      <c r="G750" s="76">
        <f t="shared" si="186"/>
        <v>238</v>
      </c>
      <c r="H750" s="76">
        <f t="shared" si="186"/>
        <v>0</v>
      </c>
      <c r="I750" s="76">
        <f t="shared" si="186"/>
        <v>0</v>
      </c>
    </row>
    <row r="751" spans="1:12" ht="19.899999999999999" customHeight="1">
      <c r="A751" s="74" t="s">
        <v>504</v>
      </c>
      <c r="B751" s="98" t="s">
        <v>928</v>
      </c>
      <c r="C751" s="75" t="s">
        <v>257</v>
      </c>
      <c r="D751" s="75" t="s">
        <v>203</v>
      </c>
      <c r="E751" s="75" t="s">
        <v>503</v>
      </c>
      <c r="F751" s="75" t="s">
        <v>499</v>
      </c>
      <c r="G751" s="76">
        <f>'5'!D60</f>
        <v>238</v>
      </c>
      <c r="H751" s="76">
        <f>'5'!E60</f>
        <v>0</v>
      </c>
      <c r="I751" s="76">
        <f>'5'!F60</f>
        <v>0</v>
      </c>
    </row>
    <row r="752" spans="1:12" ht="108" customHeight="1">
      <c r="A752" s="78" t="s">
        <v>500</v>
      </c>
      <c r="B752" s="98" t="s">
        <v>928</v>
      </c>
      <c r="C752" s="75" t="s">
        <v>257</v>
      </c>
      <c r="D752" s="75" t="s">
        <v>203</v>
      </c>
      <c r="E752" s="75" t="s">
        <v>496</v>
      </c>
      <c r="F752" s="75" t="s">
        <v>206</v>
      </c>
      <c r="G752" s="76">
        <f t="shared" ref="G752:I753" si="187">G753</f>
        <v>54877.353199999998</v>
      </c>
      <c r="H752" s="76">
        <f t="shared" si="187"/>
        <v>41929</v>
      </c>
      <c r="I752" s="76">
        <f t="shared" si="187"/>
        <v>44429</v>
      </c>
    </row>
    <row r="753" spans="1:9" ht="47.25">
      <c r="A753" s="74" t="s">
        <v>284</v>
      </c>
      <c r="B753" s="98" t="s">
        <v>928</v>
      </c>
      <c r="C753" s="75" t="s">
        <v>257</v>
      </c>
      <c r="D753" s="75" t="s">
        <v>203</v>
      </c>
      <c r="E753" s="75" t="s">
        <v>496</v>
      </c>
      <c r="F753" s="75" t="s">
        <v>283</v>
      </c>
      <c r="G753" s="76">
        <f t="shared" si="187"/>
        <v>54877.353199999998</v>
      </c>
      <c r="H753" s="76">
        <f t="shared" si="187"/>
        <v>41929</v>
      </c>
      <c r="I753" s="76">
        <f t="shared" si="187"/>
        <v>44429</v>
      </c>
    </row>
    <row r="754" spans="1:9" ht="18.75" customHeight="1">
      <c r="A754" s="74" t="s">
        <v>504</v>
      </c>
      <c r="B754" s="98" t="s">
        <v>928</v>
      </c>
      <c r="C754" s="75" t="s">
        <v>257</v>
      </c>
      <c r="D754" s="75" t="s">
        <v>203</v>
      </c>
      <c r="E754" s="75" t="s">
        <v>501</v>
      </c>
      <c r="F754" s="75" t="s">
        <v>499</v>
      </c>
      <c r="G754" s="76">
        <f>'5'!D66+'5'!D67</f>
        <v>54877.353199999998</v>
      </c>
      <c r="H754" s="76">
        <f>'5'!E66</f>
        <v>41929</v>
      </c>
      <c r="I754" s="76">
        <f>'5'!F66</f>
        <v>44429</v>
      </c>
    </row>
    <row r="755" spans="1:9" ht="95.25" customHeight="1">
      <c r="A755" s="78" t="s">
        <v>508</v>
      </c>
      <c r="B755" s="98" t="s">
        <v>928</v>
      </c>
      <c r="C755" s="75" t="s">
        <v>257</v>
      </c>
      <c r="D755" s="98" t="s">
        <v>203</v>
      </c>
      <c r="E755" s="75" t="s">
        <v>509</v>
      </c>
      <c r="F755" s="75" t="s">
        <v>206</v>
      </c>
      <c r="G755" s="76">
        <f t="shared" ref="G755:I756" si="188">G756</f>
        <v>52741.666000000005</v>
      </c>
      <c r="H755" s="76">
        <f t="shared" si="188"/>
        <v>58247.013999999996</v>
      </c>
      <c r="I755" s="76">
        <f t="shared" si="188"/>
        <v>62529.054000000004</v>
      </c>
    </row>
    <row r="756" spans="1:9" ht="48.75" customHeight="1">
      <c r="A756" s="74" t="s">
        <v>284</v>
      </c>
      <c r="B756" s="98" t="s">
        <v>928</v>
      </c>
      <c r="C756" s="75" t="s">
        <v>257</v>
      </c>
      <c r="D756" s="75" t="s">
        <v>203</v>
      </c>
      <c r="E756" s="75" t="s">
        <v>509</v>
      </c>
      <c r="F756" s="75" t="s">
        <v>283</v>
      </c>
      <c r="G756" s="76">
        <f t="shared" si="188"/>
        <v>52741.666000000005</v>
      </c>
      <c r="H756" s="76">
        <f t="shared" si="188"/>
        <v>58247.013999999996</v>
      </c>
      <c r="I756" s="76">
        <f t="shared" si="188"/>
        <v>62529.054000000004</v>
      </c>
    </row>
    <row r="757" spans="1:9" ht="20.25" customHeight="1">
      <c r="A757" s="74" t="s">
        <v>497</v>
      </c>
      <c r="B757" s="98" t="s">
        <v>928</v>
      </c>
      <c r="C757" s="75" t="s">
        <v>257</v>
      </c>
      <c r="D757" s="75" t="s">
        <v>203</v>
      </c>
      <c r="E757" s="75" t="s">
        <v>509</v>
      </c>
      <c r="F757" s="75" t="s">
        <v>499</v>
      </c>
      <c r="G757" s="76">
        <f>'5'!D68</f>
        <v>52741.666000000005</v>
      </c>
      <c r="H757" s="76">
        <f>'5'!E68</f>
        <v>58247.013999999996</v>
      </c>
      <c r="I757" s="76">
        <f>'5'!F68</f>
        <v>62529.054000000004</v>
      </c>
    </row>
    <row r="758" spans="1:9" ht="51.75" customHeight="1">
      <c r="A758" s="100" t="s">
        <v>510</v>
      </c>
      <c r="B758" s="133" t="s">
        <v>928</v>
      </c>
      <c r="C758" s="101" t="s">
        <v>257</v>
      </c>
      <c r="D758" s="101" t="s">
        <v>203</v>
      </c>
      <c r="E758" s="133" t="s">
        <v>495</v>
      </c>
      <c r="F758" s="101" t="s">
        <v>206</v>
      </c>
      <c r="G758" s="102">
        <f>G759+G762</f>
        <v>3000</v>
      </c>
      <c r="H758" s="102">
        <f>H759+H762</f>
        <v>0</v>
      </c>
      <c r="I758" s="102">
        <f>I759+I762</f>
        <v>0</v>
      </c>
    </row>
    <row r="759" spans="1:9" ht="102.75" customHeight="1">
      <c r="A759" s="74" t="s">
        <v>511</v>
      </c>
      <c r="B759" s="98" t="s">
        <v>928</v>
      </c>
      <c r="C759" s="75" t="s">
        <v>257</v>
      </c>
      <c r="D759" s="75" t="s">
        <v>203</v>
      </c>
      <c r="E759" s="98" t="s">
        <v>512</v>
      </c>
      <c r="F759" s="75" t="s">
        <v>206</v>
      </c>
      <c r="G759" s="76">
        <f t="shared" ref="G759:I760" si="189">G760</f>
        <v>3000</v>
      </c>
      <c r="H759" s="76">
        <f t="shared" si="189"/>
        <v>0</v>
      </c>
      <c r="I759" s="76">
        <f t="shared" si="189"/>
        <v>0</v>
      </c>
    </row>
    <row r="760" spans="1:9" ht="51" customHeight="1">
      <c r="A760" s="74" t="s">
        <v>284</v>
      </c>
      <c r="B760" s="98" t="s">
        <v>928</v>
      </c>
      <c r="C760" s="75" t="s">
        <v>257</v>
      </c>
      <c r="D760" s="75" t="s">
        <v>203</v>
      </c>
      <c r="E760" s="98" t="s">
        <v>512</v>
      </c>
      <c r="F760" s="75" t="s">
        <v>283</v>
      </c>
      <c r="G760" s="76">
        <f t="shared" si="189"/>
        <v>3000</v>
      </c>
      <c r="H760" s="76">
        <f t="shared" si="189"/>
        <v>0</v>
      </c>
      <c r="I760" s="76">
        <f t="shared" si="189"/>
        <v>0</v>
      </c>
    </row>
    <row r="761" spans="1:9" ht="24" customHeight="1">
      <c r="A761" s="70" t="s">
        <v>497</v>
      </c>
      <c r="B761" s="130" t="s">
        <v>928</v>
      </c>
      <c r="C761" s="71" t="s">
        <v>257</v>
      </c>
      <c r="D761" s="71" t="s">
        <v>203</v>
      </c>
      <c r="E761" s="98" t="s">
        <v>512</v>
      </c>
      <c r="F761" s="71" t="s">
        <v>499</v>
      </c>
      <c r="G761" s="72">
        <f>'3'!F440</f>
        <v>3000</v>
      </c>
      <c r="H761" s="72">
        <f>'3'!G440</f>
        <v>0</v>
      </c>
      <c r="I761" s="72">
        <f>'3'!H440</f>
        <v>0</v>
      </c>
    </row>
    <row r="762" spans="1:9" ht="31.5" hidden="1" customHeight="1">
      <c r="A762" s="132" t="s">
        <v>929</v>
      </c>
      <c r="B762" s="130" t="s">
        <v>928</v>
      </c>
      <c r="C762" s="71" t="s">
        <v>257</v>
      </c>
      <c r="D762" s="71" t="s">
        <v>203</v>
      </c>
      <c r="E762" s="228" t="s">
        <v>212</v>
      </c>
      <c r="F762" s="127" t="s">
        <v>206</v>
      </c>
      <c r="G762" s="129">
        <f t="shared" ref="G762:I768" si="190">G763</f>
        <v>0</v>
      </c>
      <c r="H762" s="129">
        <f t="shared" si="190"/>
        <v>0</v>
      </c>
      <c r="I762" s="129">
        <f t="shared" si="190"/>
        <v>0</v>
      </c>
    </row>
    <row r="763" spans="1:9" ht="47.25" hidden="1" customHeight="1">
      <c r="A763" s="70" t="s">
        <v>284</v>
      </c>
      <c r="B763" s="130" t="s">
        <v>928</v>
      </c>
      <c r="C763" s="71" t="s">
        <v>257</v>
      </c>
      <c r="D763" s="71" t="s">
        <v>203</v>
      </c>
      <c r="E763" s="229" t="s">
        <v>212</v>
      </c>
      <c r="F763" s="71" t="s">
        <v>283</v>
      </c>
      <c r="G763" s="72">
        <f t="shared" si="190"/>
        <v>0</v>
      </c>
      <c r="H763" s="72">
        <f t="shared" si="190"/>
        <v>0</v>
      </c>
      <c r="I763" s="72">
        <f t="shared" si="190"/>
        <v>0</v>
      </c>
    </row>
    <row r="764" spans="1:9" ht="15.75" hidden="1" customHeight="1">
      <c r="A764" s="70" t="s">
        <v>497</v>
      </c>
      <c r="B764" s="130" t="s">
        <v>928</v>
      </c>
      <c r="C764" s="71" t="s">
        <v>257</v>
      </c>
      <c r="D764" s="71" t="s">
        <v>203</v>
      </c>
      <c r="E764" s="229" t="s">
        <v>212</v>
      </c>
      <c r="F764" s="71" t="s">
        <v>499</v>
      </c>
      <c r="G764" s="72"/>
      <c r="H764" s="72"/>
      <c r="I764" s="72"/>
    </row>
    <row r="765" spans="1:9" ht="47.25" hidden="1" customHeight="1">
      <c r="A765" s="70" t="s">
        <v>209</v>
      </c>
      <c r="B765" s="130" t="s">
        <v>928</v>
      </c>
      <c r="C765" s="71" t="s">
        <v>257</v>
      </c>
      <c r="D765" s="71" t="s">
        <v>203</v>
      </c>
      <c r="E765" s="71" t="s">
        <v>210</v>
      </c>
      <c r="F765" s="71" t="s">
        <v>206</v>
      </c>
      <c r="G765" s="72">
        <f t="shared" si="190"/>
        <v>0</v>
      </c>
      <c r="H765" s="72">
        <f t="shared" ref="H765:I768" si="191">H766</f>
        <v>0</v>
      </c>
      <c r="I765" s="72">
        <f t="shared" si="191"/>
        <v>0</v>
      </c>
    </row>
    <row r="766" spans="1:9" ht="47.25" hidden="1" customHeight="1">
      <c r="A766" s="70" t="s">
        <v>211</v>
      </c>
      <c r="B766" s="130" t="s">
        <v>928</v>
      </c>
      <c r="C766" s="71" t="s">
        <v>257</v>
      </c>
      <c r="D766" s="71" t="s">
        <v>203</v>
      </c>
      <c r="E766" s="71" t="s">
        <v>212</v>
      </c>
      <c r="F766" s="71" t="s">
        <v>206</v>
      </c>
      <c r="G766" s="72">
        <f t="shared" si="190"/>
        <v>0</v>
      </c>
      <c r="H766" s="72">
        <f t="shared" si="191"/>
        <v>0</v>
      </c>
      <c r="I766" s="72">
        <f t="shared" si="191"/>
        <v>0</v>
      </c>
    </row>
    <row r="767" spans="1:9" ht="31.5" hidden="1" customHeight="1">
      <c r="A767" s="134" t="s">
        <v>513</v>
      </c>
      <c r="B767" s="130" t="s">
        <v>928</v>
      </c>
      <c r="C767" s="71" t="s">
        <v>257</v>
      </c>
      <c r="D767" s="71" t="s">
        <v>203</v>
      </c>
      <c r="E767" s="71" t="s">
        <v>507</v>
      </c>
      <c r="F767" s="71" t="s">
        <v>206</v>
      </c>
      <c r="G767" s="72">
        <f t="shared" si="190"/>
        <v>0</v>
      </c>
      <c r="H767" s="72">
        <f t="shared" si="191"/>
        <v>0</v>
      </c>
      <c r="I767" s="72">
        <f t="shared" si="191"/>
        <v>0</v>
      </c>
    </row>
    <row r="768" spans="1:9" ht="47.25" hidden="1" customHeight="1">
      <c r="A768" s="70" t="s">
        <v>284</v>
      </c>
      <c r="B768" s="130" t="s">
        <v>928</v>
      </c>
      <c r="C768" s="71" t="s">
        <v>257</v>
      </c>
      <c r="D768" s="71" t="s">
        <v>203</v>
      </c>
      <c r="E768" s="71" t="s">
        <v>507</v>
      </c>
      <c r="F768" s="71" t="s">
        <v>283</v>
      </c>
      <c r="G768" s="72">
        <f t="shared" si="190"/>
        <v>0</v>
      </c>
      <c r="H768" s="72">
        <f t="shared" si="191"/>
        <v>0</v>
      </c>
      <c r="I768" s="72">
        <f t="shared" si="191"/>
        <v>0</v>
      </c>
    </row>
    <row r="769" spans="1:9" ht="15.75" hidden="1" customHeight="1">
      <c r="A769" s="70" t="s">
        <v>497</v>
      </c>
      <c r="B769" s="130" t="s">
        <v>928</v>
      </c>
      <c r="C769" s="71" t="s">
        <v>257</v>
      </c>
      <c r="D769" s="71" t="s">
        <v>203</v>
      </c>
      <c r="E769" s="71" t="s">
        <v>507</v>
      </c>
      <c r="F769" s="71" t="s">
        <v>499</v>
      </c>
      <c r="G769" s="72"/>
      <c r="H769" s="72"/>
      <c r="I769" s="72"/>
    </row>
    <row r="770" spans="1:9" ht="20.25" customHeight="1">
      <c r="A770" s="206" t="s">
        <v>514</v>
      </c>
      <c r="B770" s="207" t="s">
        <v>928</v>
      </c>
      <c r="C770" s="208" t="s">
        <v>257</v>
      </c>
      <c r="D770" s="208" t="s">
        <v>208</v>
      </c>
      <c r="E770" s="208" t="s">
        <v>205</v>
      </c>
      <c r="F770" s="208" t="s">
        <v>206</v>
      </c>
      <c r="G770" s="209">
        <f>G773+G776+G783+G808+G812+G829+G832+G835+G843+G846+G849+G838+G793+G800</f>
        <v>499951.93082515144</v>
      </c>
      <c r="H770" s="209">
        <f>H773+H776+H783+H808+H812+H829+H832+H835+H843+H846+H849+H838</f>
        <v>465121.95900000009</v>
      </c>
      <c r="I770" s="209">
        <f>I773+I776+I783+I808+I812+I829+I832+I835+I843+I846+I849+I838</f>
        <v>491635.57853000006</v>
      </c>
    </row>
    <row r="771" spans="1:9" ht="48" customHeight="1">
      <c r="A771" s="132" t="s">
        <v>315</v>
      </c>
      <c r="B771" s="213" t="s">
        <v>928</v>
      </c>
      <c r="C771" s="127" t="s">
        <v>257</v>
      </c>
      <c r="D771" s="127" t="s">
        <v>208</v>
      </c>
      <c r="E771" s="127" t="s">
        <v>493</v>
      </c>
      <c r="F771" s="127" t="s">
        <v>206</v>
      </c>
      <c r="G771" s="129">
        <f>G772+G807+G814+G841</f>
        <v>189355.70151515151</v>
      </c>
      <c r="H771" s="129">
        <f t="shared" ref="H771:I771" si="192">H772+H807+H814+H841</f>
        <v>125260.1</v>
      </c>
      <c r="I771" s="129">
        <f t="shared" si="192"/>
        <v>128841.75</v>
      </c>
    </row>
    <row r="772" spans="1:9" ht="53.25" customHeight="1">
      <c r="A772" s="108" t="s">
        <v>760</v>
      </c>
      <c r="B772" s="98" t="s">
        <v>928</v>
      </c>
      <c r="C772" s="75" t="s">
        <v>257</v>
      </c>
      <c r="D772" s="75" t="s">
        <v>208</v>
      </c>
      <c r="E772" s="75" t="s">
        <v>516</v>
      </c>
      <c r="F772" s="75" t="s">
        <v>206</v>
      </c>
      <c r="G772" s="76">
        <f>G773+G776+G783+G780+G786+G793+G800</f>
        <v>155701.39151515151</v>
      </c>
      <c r="H772" s="76">
        <f t="shared" ref="H772:I772" si="193">H773+H776+H783+H780+H786+H793+H800</f>
        <v>96895</v>
      </c>
      <c r="I772" s="76">
        <f t="shared" si="193"/>
        <v>100945</v>
      </c>
    </row>
    <row r="773" spans="1:9" ht="33" customHeight="1">
      <c r="A773" s="74" t="s">
        <v>517</v>
      </c>
      <c r="B773" s="98" t="s">
        <v>928</v>
      </c>
      <c r="C773" s="75" t="s">
        <v>257</v>
      </c>
      <c r="D773" s="75" t="s">
        <v>208</v>
      </c>
      <c r="E773" s="75" t="s">
        <v>518</v>
      </c>
      <c r="F773" s="75" t="s">
        <v>206</v>
      </c>
      <c r="G773" s="76">
        <f t="shared" ref="G773:I774" si="194">G774</f>
        <v>10045.74</v>
      </c>
      <c r="H773" s="76">
        <f t="shared" si="194"/>
        <v>500</v>
      </c>
      <c r="I773" s="76">
        <f t="shared" si="194"/>
        <v>500</v>
      </c>
    </row>
    <row r="774" spans="1:9" ht="48.75" customHeight="1">
      <c r="A774" s="74" t="s">
        <v>284</v>
      </c>
      <c r="B774" s="98" t="s">
        <v>928</v>
      </c>
      <c r="C774" s="75" t="s">
        <v>257</v>
      </c>
      <c r="D774" s="75" t="s">
        <v>208</v>
      </c>
      <c r="E774" s="75" t="s">
        <v>518</v>
      </c>
      <c r="F774" s="75" t="s">
        <v>283</v>
      </c>
      <c r="G774" s="76">
        <f t="shared" si="194"/>
        <v>10045.74</v>
      </c>
      <c r="H774" s="76">
        <f t="shared" si="194"/>
        <v>500</v>
      </c>
      <c r="I774" s="76">
        <f t="shared" si="194"/>
        <v>500</v>
      </c>
    </row>
    <row r="775" spans="1:9" ht="21" customHeight="1">
      <c r="A775" s="74" t="s">
        <v>497</v>
      </c>
      <c r="B775" s="98" t="s">
        <v>928</v>
      </c>
      <c r="C775" s="75" t="s">
        <v>257</v>
      </c>
      <c r="D775" s="75" t="s">
        <v>208</v>
      </c>
      <c r="E775" s="75" t="s">
        <v>519</v>
      </c>
      <c r="F775" s="75" t="s">
        <v>499</v>
      </c>
      <c r="G775" s="76">
        <f>'5'!D15</f>
        <v>10045.74</v>
      </c>
      <c r="H775" s="76">
        <f>'5'!E15</f>
        <v>500</v>
      </c>
      <c r="I775" s="76">
        <f>'5'!F15</f>
        <v>500</v>
      </c>
    </row>
    <row r="776" spans="1:9" ht="95.25" customHeight="1">
      <c r="A776" s="74" t="s">
        <v>520</v>
      </c>
      <c r="B776" s="98" t="s">
        <v>928</v>
      </c>
      <c r="C776" s="75" t="s">
        <v>257</v>
      </c>
      <c r="D776" s="75" t="s">
        <v>208</v>
      </c>
      <c r="E776" s="75" t="s">
        <v>518</v>
      </c>
      <c r="F776" s="75" t="s">
        <v>206</v>
      </c>
      <c r="G776" s="76">
        <f t="shared" ref="G776:I777" si="195">G777</f>
        <v>143018.5</v>
      </c>
      <c r="H776" s="76">
        <f t="shared" si="195"/>
        <v>96395</v>
      </c>
      <c r="I776" s="76">
        <f t="shared" si="195"/>
        <v>100445</v>
      </c>
    </row>
    <row r="777" spans="1:9" ht="48" customHeight="1">
      <c r="A777" s="74" t="s">
        <v>284</v>
      </c>
      <c r="B777" s="98" t="s">
        <v>928</v>
      </c>
      <c r="C777" s="75" t="s">
        <v>257</v>
      </c>
      <c r="D777" s="75" t="s">
        <v>208</v>
      </c>
      <c r="E777" s="75" t="s">
        <v>518</v>
      </c>
      <c r="F777" s="75" t="s">
        <v>283</v>
      </c>
      <c r="G777" s="76">
        <f t="shared" si="195"/>
        <v>143018.5</v>
      </c>
      <c r="H777" s="76">
        <f t="shared" si="195"/>
        <v>96395</v>
      </c>
      <c r="I777" s="76">
        <f t="shared" si="195"/>
        <v>100445</v>
      </c>
    </row>
    <row r="778" spans="1:9" ht="22.9" customHeight="1">
      <c r="A778" s="74" t="s">
        <v>497</v>
      </c>
      <c r="B778" s="98" t="s">
        <v>928</v>
      </c>
      <c r="C778" s="75" t="s">
        <v>257</v>
      </c>
      <c r="D778" s="75" t="s">
        <v>208</v>
      </c>
      <c r="E778" s="75" t="s">
        <v>521</v>
      </c>
      <c r="F778" s="75" t="s">
        <v>499</v>
      </c>
      <c r="G778" s="76">
        <f>'5'!D47+'5'!D48</f>
        <v>143018.5</v>
      </c>
      <c r="H778" s="76">
        <f>'5'!E47</f>
        <v>96395</v>
      </c>
      <c r="I778" s="76">
        <f>'5'!F47</f>
        <v>100445</v>
      </c>
    </row>
    <row r="779" spans="1:9" hidden="1">
      <c r="A779" s="74"/>
      <c r="B779" s="98" t="s">
        <v>928</v>
      </c>
      <c r="C779" s="75" t="s">
        <v>257</v>
      </c>
      <c r="D779" s="75" t="s">
        <v>208</v>
      </c>
      <c r="E779" s="75" t="s">
        <v>521</v>
      </c>
      <c r="F779" s="75" t="s">
        <v>499</v>
      </c>
      <c r="G779" s="76"/>
      <c r="H779" s="76"/>
      <c r="I779" s="76"/>
    </row>
    <row r="780" spans="1:9" ht="94.5" hidden="1">
      <c r="A780" s="74" t="s">
        <v>325</v>
      </c>
      <c r="B780" s="98" t="s">
        <v>928</v>
      </c>
      <c r="C780" s="75" t="s">
        <v>257</v>
      </c>
      <c r="D780" s="75" t="s">
        <v>208</v>
      </c>
      <c r="E780" s="75" t="s">
        <v>522</v>
      </c>
      <c r="F780" s="75" t="s">
        <v>206</v>
      </c>
      <c r="G780" s="76">
        <f t="shared" ref="G780:I781" si="196">G781</f>
        <v>0</v>
      </c>
      <c r="H780" s="76">
        <f t="shared" si="196"/>
        <v>0</v>
      </c>
      <c r="I780" s="76">
        <f t="shared" si="196"/>
        <v>0</v>
      </c>
    </row>
    <row r="781" spans="1:9" ht="47.25" hidden="1">
      <c r="A781" s="74" t="s">
        <v>284</v>
      </c>
      <c r="B781" s="98" t="s">
        <v>928</v>
      </c>
      <c r="C781" s="75" t="s">
        <v>257</v>
      </c>
      <c r="D781" s="75" t="s">
        <v>208</v>
      </c>
      <c r="E781" s="75" t="s">
        <v>522</v>
      </c>
      <c r="F781" s="75" t="s">
        <v>283</v>
      </c>
      <c r="G781" s="76">
        <f t="shared" si="196"/>
        <v>0</v>
      </c>
      <c r="H781" s="76">
        <f t="shared" si="196"/>
        <v>0</v>
      </c>
      <c r="I781" s="76">
        <f t="shared" si="196"/>
        <v>0</v>
      </c>
    </row>
    <row r="782" spans="1:9" ht="15.75" hidden="1" customHeight="1">
      <c r="A782" s="74" t="s">
        <v>497</v>
      </c>
      <c r="B782" s="98" t="s">
        <v>928</v>
      </c>
      <c r="C782" s="75" t="s">
        <v>257</v>
      </c>
      <c r="D782" s="75" t="s">
        <v>208</v>
      </c>
      <c r="E782" s="75" t="s">
        <v>522</v>
      </c>
      <c r="F782" s="75" t="s">
        <v>499</v>
      </c>
      <c r="G782" s="76"/>
      <c r="H782" s="76"/>
      <c r="I782" s="76"/>
    </row>
    <row r="783" spans="1:9" ht="50.25" customHeight="1">
      <c r="A783" s="74" t="s">
        <v>523</v>
      </c>
      <c r="B783" s="98" t="s">
        <v>928</v>
      </c>
      <c r="C783" s="75" t="s">
        <v>257</v>
      </c>
      <c r="D783" s="75" t="s">
        <v>208</v>
      </c>
      <c r="E783" s="75" t="s">
        <v>524</v>
      </c>
      <c r="F783" s="75" t="s">
        <v>206</v>
      </c>
      <c r="G783" s="76">
        <f>G785</f>
        <v>1122</v>
      </c>
      <c r="H783" s="76">
        <f>H785</f>
        <v>0</v>
      </c>
      <c r="I783" s="76">
        <f>I785</f>
        <v>0</v>
      </c>
    </row>
    <row r="784" spans="1:9" ht="49.5" customHeight="1">
      <c r="A784" s="74" t="s">
        <v>284</v>
      </c>
      <c r="B784" s="98" t="s">
        <v>928</v>
      </c>
      <c r="C784" s="75" t="s">
        <v>257</v>
      </c>
      <c r="D784" s="75" t="s">
        <v>208</v>
      </c>
      <c r="E784" s="75" t="s">
        <v>524</v>
      </c>
      <c r="F784" s="75" t="s">
        <v>283</v>
      </c>
      <c r="G784" s="76">
        <f>G785</f>
        <v>1122</v>
      </c>
      <c r="H784" s="76">
        <f>H785</f>
        <v>0</v>
      </c>
      <c r="I784" s="76">
        <f>I785</f>
        <v>0</v>
      </c>
    </row>
    <row r="785" spans="1:9" ht="22.9" customHeight="1">
      <c r="A785" s="74" t="s">
        <v>497</v>
      </c>
      <c r="B785" s="98" t="s">
        <v>928</v>
      </c>
      <c r="C785" s="75" t="s">
        <v>257</v>
      </c>
      <c r="D785" s="75" t="s">
        <v>208</v>
      </c>
      <c r="E785" s="75" t="s">
        <v>524</v>
      </c>
      <c r="F785" s="75" t="s">
        <v>499</v>
      </c>
      <c r="G785" s="76">
        <f>'5'!D20</f>
        <v>1122</v>
      </c>
      <c r="H785" s="76">
        <f>'5'!E20</f>
        <v>0</v>
      </c>
      <c r="I785" s="76">
        <f>'5'!F20</f>
        <v>0</v>
      </c>
    </row>
    <row r="786" spans="1:9" ht="47.25" hidden="1" customHeight="1">
      <c r="A786" s="104" t="s">
        <v>930</v>
      </c>
      <c r="B786" s="139" t="s">
        <v>928</v>
      </c>
      <c r="C786" s="105" t="s">
        <v>257</v>
      </c>
      <c r="D786" s="105" t="s">
        <v>208</v>
      </c>
      <c r="E786" s="105" t="s">
        <v>516</v>
      </c>
      <c r="F786" s="105" t="s">
        <v>206</v>
      </c>
      <c r="G786" s="106">
        <f>G790+G788</f>
        <v>0</v>
      </c>
      <c r="H786" s="106">
        <f>H790+H788</f>
        <v>0</v>
      </c>
      <c r="I786" s="106">
        <f>I790+I788</f>
        <v>0</v>
      </c>
    </row>
    <row r="787" spans="1:9" ht="47.25" hidden="1">
      <c r="A787" s="74" t="s">
        <v>525</v>
      </c>
      <c r="B787" s="98" t="s">
        <v>928</v>
      </c>
      <c r="C787" s="75" t="s">
        <v>257</v>
      </c>
      <c r="D787" s="75" t="s">
        <v>208</v>
      </c>
      <c r="E787" s="75" t="s">
        <v>526</v>
      </c>
      <c r="F787" s="75" t="s">
        <v>206</v>
      </c>
      <c r="G787" s="76">
        <f t="shared" ref="G787:I791" si="197">G788</f>
        <v>0</v>
      </c>
      <c r="H787" s="76">
        <f t="shared" si="197"/>
        <v>0</v>
      </c>
      <c r="I787" s="76">
        <f t="shared" si="197"/>
        <v>0</v>
      </c>
    </row>
    <row r="788" spans="1:9" ht="47.25" hidden="1">
      <c r="A788" s="74" t="s">
        <v>284</v>
      </c>
      <c r="B788" s="98" t="s">
        <v>928</v>
      </c>
      <c r="C788" s="75" t="s">
        <v>257</v>
      </c>
      <c r="D788" s="75" t="s">
        <v>208</v>
      </c>
      <c r="E788" s="75" t="s">
        <v>526</v>
      </c>
      <c r="F788" s="75" t="s">
        <v>283</v>
      </c>
      <c r="G788" s="76">
        <f t="shared" si="197"/>
        <v>0</v>
      </c>
      <c r="H788" s="76">
        <f t="shared" si="197"/>
        <v>0</v>
      </c>
      <c r="I788" s="76">
        <f t="shared" si="197"/>
        <v>0</v>
      </c>
    </row>
    <row r="789" spans="1:9" hidden="1">
      <c r="A789" s="74" t="s">
        <v>497</v>
      </c>
      <c r="B789" s="98" t="s">
        <v>928</v>
      </c>
      <c r="C789" s="75" t="s">
        <v>257</v>
      </c>
      <c r="D789" s="75" t="s">
        <v>208</v>
      </c>
      <c r="E789" s="75" t="s">
        <v>526</v>
      </c>
      <c r="F789" s="75" t="s">
        <v>499</v>
      </c>
      <c r="G789" s="76">
        <v>0</v>
      </c>
      <c r="H789" s="76">
        <v>0</v>
      </c>
      <c r="I789" s="76">
        <v>0</v>
      </c>
    </row>
    <row r="790" spans="1:9" ht="78.75" hidden="1" customHeight="1">
      <c r="A790" s="74" t="s">
        <v>527</v>
      </c>
      <c r="B790" s="98" t="s">
        <v>928</v>
      </c>
      <c r="C790" s="75" t="s">
        <v>257</v>
      </c>
      <c r="D790" s="75" t="s">
        <v>208</v>
      </c>
      <c r="E790" s="98" t="s">
        <v>528</v>
      </c>
      <c r="F790" s="75" t="s">
        <v>206</v>
      </c>
      <c r="G790" s="76">
        <f t="shared" si="197"/>
        <v>0</v>
      </c>
      <c r="H790" s="76">
        <f t="shared" si="197"/>
        <v>0</v>
      </c>
      <c r="I790" s="76">
        <f t="shared" si="197"/>
        <v>0</v>
      </c>
    </row>
    <row r="791" spans="1:9" ht="47.25" hidden="1" customHeight="1">
      <c r="A791" s="74" t="s">
        <v>284</v>
      </c>
      <c r="B791" s="98" t="s">
        <v>928</v>
      </c>
      <c r="C791" s="75" t="s">
        <v>257</v>
      </c>
      <c r="D791" s="75" t="s">
        <v>208</v>
      </c>
      <c r="E791" s="98" t="s">
        <v>528</v>
      </c>
      <c r="F791" s="75" t="s">
        <v>283</v>
      </c>
      <c r="G791" s="76">
        <f t="shared" si="197"/>
        <v>0</v>
      </c>
      <c r="H791" s="76">
        <f t="shared" si="197"/>
        <v>0</v>
      </c>
      <c r="I791" s="76">
        <f t="shared" si="197"/>
        <v>0</v>
      </c>
    </row>
    <row r="792" spans="1:9" hidden="1">
      <c r="A792" s="74" t="s">
        <v>497</v>
      </c>
      <c r="B792" s="98" t="s">
        <v>928</v>
      </c>
      <c r="C792" s="75" t="s">
        <v>257</v>
      </c>
      <c r="D792" s="75" t="s">
        <v>208</v>
      </c>
      <c r="E792" s="98" t="s">
        <v>528</v>
      </c>
      <c r="F792" s="75" t="s">
        <v>499</v>
      </c>
      <c r="G792" s="76">
        <f>'5'!D27</f>
        <v>0</v>
      </c>
      <c r="H792" s="76">
        <f>'5'!E27</f>
        <v>0</v>
      </c>
      <c r="I792" s="76">
        <f>'5'!F27</f>
        <v>0</v>
      </c>
    </row>
    <row r="793" spans="1:9" ht="47.25" hidden="1">
      <c r="A793" s="100" t="s">
        <v>510</v>
      </c>
      <c r="B793" s="133" t="s">
        <v>928</v>
      </c>
      <c r="C793" s="101" t="s">
        <v>257</v>
      </c>
      <c r="D793" s="101" t="s">
        <v>208</v>
      </c>
      <c r="E793" s="133" t="s">
        <v>516</v>
      </c>
      <c r="F793" s="101" t="s">
        <v>206</v>
      </c>
      <c r="G793" s="102">
        <f>G794+G797</f>
        <v>0</v>
      </c>
      <c r="H793" s="102">
        <f>H794+H797</f>
        <v>0</v>
      </c>
      <c r="I793" s="102">
        <f>I794+I797</f>
        <v>0</v>
      </c>
    </row>
    <row r="794" spans="1:9" ht="94.5" hidden="1" customHeight="1">
      <c r="A794" s="74" t="s">
        <v>511</v>
      </c>
      <c r="B794" s="98" t="s">
        <v>928</v>
      </c>
      <c r="C794" s="75" t="s">
        <v>257</v>
      </c>
      <c r="D794" s="75" t="s">
        <v>208</v>
      </c>
      <c r="E794" s="98" t="s">
        <v>529</v>
      </c>
      <c r="F794" s="75" t="s">
        <v>206</v>
      </c>
      <c r="G794" s="76">
        <f t="shared" ref="G794:I795" si="198">G795</f>
        <v>0</v>
      </c>
      <c r="H794" s="76">
        <f t="shared" si="198"/>
        <v>0</v>
      </c>
      <c r="I794" s="76">
        <f t="shared" si="198"/>
        <v>0</v>
      </c>
    </row>
    <row r="795" spans="1:9" ht="47.25" hidden="1">
      <c r="A795" s="74" t="s">
        <v>284</v>
      </c>
      <c r="B795" s="98" t="s">
        <v>928</v>
      </c>
      <c r="C795" s="75" t="s">
        <v>257</v>
      </c>
      <c r="D795" s="75" t="s">
        <v>208</v>
      </c>
      <c r="E795" s="98" t="s">
        <v>529</v>
      </c>
      <c r="F795" s="75" t="s">
        <v>283</v>
      </c>
      <c r="G795" s="76">
        <f t="shared" si="198"/>
        <v>0</v>
      </c>
      <c r="H795" s="76">
        <f t="shared" si="198"/>
        <v>0</v>
      </c>
      <c r="I795" s="76">
        <f t="shared" si="198"/>
        <v>0</v>
      </c>
    </row>
    <row r="796" spans="1:9" hidden="1">
      <c r="A796" s="74" t="s">
        <v>497</v>
      </c>
      <c r="B796" s="98" t="s">
        <v>928</v>
      </c>
      <c r="C796" s="75" t="s">
        <v>257</v>
      </c>
      <c r="D796" s="75" t="s">
        <v>208</v>
      </c>
      <c r="E796" s="98" t="s">
        <v>931</v>
      </c>
      <c r="F796" s="75" t="s">
        <v>499</v>
      </c>
      <c r="G796" s="76">
        <f>'5'!D31</f>
        <v>0</v>
      </c>
      <c r="H796" s="76">
        <f>'5'!E29</f>
        <v>0</v>
      </c>
      <c r="I796" s="76">
        <f>'5'!F29</f>
        <v>0</v>
      </c>
    </row>
    <row r="797" spans="1:9" ht="78.75" hidden="1">
      <c r="A797" s="74" t="s">
        <v>932</v>
      </c>
      <c r="B797" s="98" t="s">
        <v>928</v>
      </c>
      <c r="C797" s="75" t="s">
        <v>257</v>
      </c>
      <c r="D797" s="75" t="s">
        <v>208</v>
      </c>
      <c r="E797" s="98" t="s">
        <v>531</v>
      </c>
      <c r="F797" s="75" t="s">
        <v>206</v>
      </c>
      <c r="G797" s="76">
        <f t="shared" ref="G797:I798" si="199">G798</f>
        <v>0</v>
      </c>
      <c r="H797" s="76">
        <f t="shared" si="199"/>
        <v>0</v>
      </c>
      <c r="I797" s="76">
        <f t="shared" si="199"/>
        <v>0</v>
      </c>
    </row>
    <row r="798" spans="1:9" ht="47.25" hidden="1">
      <c r="A798" s="74" t="s">
        <v>284</v>
      </c>
      <c r="B798" s="98" t="s">
        <v>928</v>
      </c>
      <c r="C798" s="75" t="s">
        <v>257</v>
      </c>
      <c r="D798" s="75" t="s">
        <v>208</v>
      </c>
      <c r="E798" s="98" t="s">
        <v>531</v>
      </c>
      <c r="F798" s="75" t="s">
        <v>283</v>
      </c>
      <c r="G798" s="76">
        <f t="shared" si="199"/>
        <v>0</v>
      </c>
      <c r="H798" s="76">
        <f t="shared" si="199"/>
        <v>0</v>
      </c>
      <c r="I798" s="76">
        <f t="shared" si="199"/>
        <v>0</v>
      </c>
    </row>
    <row r="799" spans="1:9" hidden="1">
      <c r="A799" s="74" t="s">
        <v>497</v>
      </c>
      <c r="B799" s="98" t="s">
        <v>928</v>
      </c>
      <c r="C799" s="75" t="s">
        <v>257</v>
      </c>
      <c r="D799" s="75" t="s">
        <v>208</v>
      </c>
      <c r="E799" s="98" t="s">
        <v>531</v>
      </c>
      <c r="F799" s="75" t="s">
        <v>499</v>
      </c>
      <c r="G799" s="76">
        <f>'5'!D34</f>
        <v>0</v>
      </c>
      <c r="H799" s="76">
        <f>'5'!E30</f>
        <v>0</v>
      </c>
      <c r="I799" s="76">
        <f>'5'!F30</f>
        <v>0</v>
      </c>
    </row>
    <row r="800" spans="1:9" ht="47.25">
      <c r="A800" s="100" t="s">
        <v>532</v>
      </c>
      <c r="B800" s="133" t="s">
        <v>928</v>
      </c>
      <c r="C800" s="101" t="s">
        <v>257</v>
      </c>
      <c r="D800" s="101" t="s">
        <v>208</v>
      </c>
      <c r="E800" s="133" t="s">
        <v>516</v>
      </c>
      <c r="F800" s="101" t="s">
        <v>206</v>
      </c>
      <c r="G800" s="102">
        <f>G801+G804</f>
        <v>1515.1515151515152</v>
      </c>
      <c r="H800" s="102">
        <f t="shared" ref="H800:I800" si="200">H801+H804</f>
        <v>0</v>
      </c>
      <c r="I800" s="102">
        <f t="shared" si="200"/>
        <v>0</v>
      </c>
    </row>
    <row r="801" spans="1:9" ht="84.75" customHeight="1">
      <c r="A801" s="74" t="s">
        <v>933</v>
      </c>
      <c r="B801" s="98" t="s">
        <v>928</v>
      </c>
      <c r="C801" s="75" t="s">
        <v>257</v>
      </c>
      <c r="D801" s="75" t="s">
        <v>208</v>
      </c>
      <c r="E801" s="33" t="s">
        <v>534</v>
      </c>
      <c r="F801" s="75" t="s">
        <v>206</v>
      </c>
      <c r="G801" s="76">
        <f t="shared" ref="G801:I802" si="201">G802</f>
        <v>1515.1515151515152</v>
      </c>
      <c r="H801" s="76">
        <f t="shared" si="201"/>
        <v>0</v>
      </c>
      <c r="I801" s="76">
        <f t="shared" si="201"/>
        <v>0</v>
      </c>
    </row>
    <row r="802" spans="1:9" ht="47.25" customHeight="1">
      <c r="A802" s="74" t="s">
        <v>284</v>
      </c>
      <c r="B802" s="98" t="s">
        <v>928</v>
      </c>
      <c r="C802" s="75" t="s">
        <v>257</v>
      </c>
      <c r="D802" s="75" t="s">
        <v>208</v>
      </c>
      <c r="E802" s="33" t="s">
        <v>534</v>
      </c>
      <c r="F802" s="75" t="s">
        <v>283</v>
      </c>
      <c r="G802" s="76">
        <f t="shared" si="201"/>
        <v>1515.1515151515152</v>
      </c>
      <c r="H802" s="76">
        <f t="shared" si="201"/>
        <v>0</v>
      </c>
      <c r="I802" s="76">
        <f t="shared" si="201"/>
        <v>0</v>
      </c>
    </row>
    <row r="803" spans="1:9" ht="15.75" customHeight="1">
      <c r="A803" s="74" t="s">
        <v>497</v>
      </c>
      <c r="B803" s="98" t="s">
        <v>928</v>
      </c>
      <c r="C803" s="75" t="s">
        <v>257</v>
      </c>
      <c r="D803" s="75" t="s">
        <v>208</v>
      </c>
      <c r="E803" s="33" t="s">
        <v>534</v>
      </c>
      <c r="F803" s="75" t="s">
        <v>499</v>
      </c>
      <c r="G803" s="76">
        <f>'5'!D40</f>
        <v>1515.1515151515152</v>
      </c>
      <c r="H803" s="76">
        <f>'5'!E38</f>
        <v>0</v>
      </c>
      <c r="I803" s="76">
        <f>'5'!F38</f>
        <v>0</v>
      </c>
    </row>
    <row r="804" spans="1:9" ht="94.5" hidden="1" customHeight="1">
      <c r="A804" s="74" t="s">
        <v>934</v>
      </c>
      <c r="B804" s="98" t="s">
        <v>928</v>
      </c>
      <c r="C804" s="75" t="s">
        <v>257</v>
      </c>
      <c r="D804" s="75" t="s">
        <v>208</v>
      </c>
      <c r="E804" s="33" t="s">
        <v>536</v>
      </c>
      <c r="F804" s="75" t="s">
        <v>206</v>
      </c>
      <c r="G804" s="76">
        <f t="shared" ref="G804:I805" si="202">G805</f>
        <v>0</v>
      </c>
      <c r="H804" s="76">
        <f t="shared" si="202"/>
        <v>0</v>
      </c>
      <c r="I804" s="76">
        <f t="shared" si="202"/>
        <v>0</v>
      </c>
    </row>
    <row r="805" spans="1:9" ht="47.25" hidden="1" customHeight="1">
      <c r="A805" s="74" t="s">
        <v>284</v>
      </c>
      <c r="B805" s="98" t="s">
        <v>928</v>
      </c>
      <c r="C805" s="75" t="s">
        <v>257</v>
      </c>
      <c r="D805" s="75" t="s">
        <v>208</v>
      </c>
      <c r="E805" s="33" t="s">
        <v>536</v>
      </c>
      <c r="F805" s="75" t="s">
        <v>283</v>
      </c>
      <c r="G805" s="76">
        <f t="shared" si="202"/>
        <v>0</v>
      </c>
      <c r="H805" s="76">
        <f t="shared" si="202"/>
        <v>0</v>
      </c>
      <c r="I805" s="76">
        <f t="shared" si="202"/>
        <v>0</v>
      </c>
    </row>
    <row r="806" spans="1:9" ht="15.75" hidden="1" customHeight="1">
      <c r="A806" s="74" t="s">
        <v>497</v>
      </c>
      <c r="B806" s="98" t="s">
        <v>928</v>
      </c>
      <c r="C806" s="75" t="s">
        <v>257</v>
      </c>
      <c r="D806" s="75" t="s">
        <v>208</v>
      </c>
      <c r="E806" s="33" t="s">
        <v>536</v>
      </c>
      <c r="F806" s="75" t="s">
        <v>499</v>
      </c>
      <c r="G806" s="76">
        <f>'5'!D43</f>
        <v>0</v>
      </c>
      <c r="H806" s="76">
        <f>'5'!E39</f>
        <v>0</v>
      </c>
      <c r="I806" s="76">
        <f>'5'!F39</f>
        <v>0</v>
      </c>
    </row>
    <row r="807" spans="1:9" ht="36.75" customHeight="1">
      <c r="A807" s="108" t="s">
        <v>537</v>
      </c>
      <c r="B807" s="98" t="s">
        <v>928</v>
      </c>
      <c r="C807" s="75" t="s">
        <v>257</v>
      </c>
      <c r="D807" s="75" t="s">
        <v>208</v>
      </c>
      <c r="E807" s="75" t="s">
        <v>538</v>
      </c>
      <c r="F807" s="75" t="s">
        <v>206</v>
      </c>
      <c r="G807" s="76">
        <f>G808+G811</f>
        <v>5781.06</v>
      </c>
      <c r="H807" s="76">
        <f>H808+H811</f>
        <v>1800</v>
      </c>
      <c r="I807" s="76">
        <f>I808+I811</f>
        <v>1800</v>
      </c>
    </row>
    <row r="808" spans="1:9" ht="47.25">
      <c r="A808" s="78" t="s">
        <v>539</v>
      </c>
      <c r="B808" s="128" t="s">
        <v>928</v>
      </c>
      <c r="C808" s="79" t="s">
        <v>257</v>
      </c>
      <c r="D808" s="79" t="s">
        <v>208</v>
      </c>
      <c r="E808" s="79" t="s">
        <v>540</v>
      </c>
      <c r="F808" s="79" t="s">
        <v>206</v>
      </c>
      <c r="G808" s="80">
        <f>G809</f>
        <v>250</v>
      </c>
      <c r="H808" s="80">
        <f t="shared" ref="G808:I809" si="203">H809</f>
        <v>300</v>
      </c>
      <c r="I808" s="80">
        <f t="shared" si="203"/>
        <v>300</v>
      </c>
    </row>
    <row r="809" spans="1:9" ht="47.25">
      <c r="A809" s="74" t="s">
        <v>284</v>
      </c>
      <c r="B809" s="98" t="s">
        <v>928</v>
      </c>
      <c r="C809" s="75" t="s">
        <v>257</v>
      </c>
      <c r="D809" s="75" t="s">
        <v>208</v>
      </c>
      <c r="E809" s="75" t="s">
        <v>540</v>
      </c>
      <c r="F809" s="75" t="s">
        <v>283</v>
      </c>
      <c r="G809" s="76">
        <f t="shared" si="203"/>
        <v>250</v>
      </c>
      <c r="H809" s="76">
        <f t="shared" si="203"/>
        <v>300</v>
      </c>
      <c r="I809" s="76">
        <f t="shared" si="203"/>
        <v>300</v>
      </c>
    </row>
    <row r="810" spans="1:9" ht="21" customHeight="1">
      <c r="A810" s="74" t="s">
        <v>497</v>
      </c>
      <c r="B810" s="98" t="s">
        <v>928</v>
      </c>
      <c r="C810" s="75" t="s">
        <v>257</v>
      </c>
      <c r="D810" s="75" t="s">
        <v>208</v>
      </c>
      <c r="E810" s="75" t="s">
        <v>541</v>
      </c>
      <c r="F810" s="75" t="s">
        <v>499</v>
      </c>
      <c r="G810" s="76">
        <f>'5'!D71</f>
        <v>250</v>
      </c>
      <c r="H810" s="76">
        <f>'5'!E71</f>
        <v>300</v>
      </c>
      <c r="I810" s="76">
        <f>'5'!F71</f>
        <v>300</v>
      </c>
    </row>
    <row r="811" spans="1:9" ht="32.25" customHeight="1">
      <c r="A811" s="78" t="s">
        <v>542</v>
      </c>
      <c r="B811" s="128" t="s">
        <v>928</v>
      </c>
      <c r="C811" s="79" t="s">
        <v>257</v>
      </c>
      <c r="D811" s="79" t="s">
        <v>208</v>
      </c>
      <c r="E811" s="79" t="s">
        <v>540</v>
      </c>
      <c r="F811" s="79" t="s">
        <v>206</v>
      </c>
      <c r="G811" s="80">
        <f t="shared" ref="G811:I812" si="204">G812</f>
        <v>5531.06</v>
      </c>
      <c r="H811" s="80">
        <f t="shared" si="204"/>
        <v>1500</v>
      </c>
      <c r="I811" s="80">
        <f t="shared" si="204"/>
        <v>1500</v>
      </c>
    </row>
    <row r="812" spans="1:9" ht="48.75" customHeight="1">
      <c r="A812" s="74" t="s">
        <v>284</v>
      </c>
      <c r="B812" s="98" t="s">
        <v>928</v>
      </c>
      <c r="C812" s="75" t="s">
        <v>257</v>
      </c>
      <c r="D812" s="75" t="s">
        <v>208</v>
      </c>
      <c r="E812" s="75" t="s">
        <v>540</v>
      </c>
      <c r="F812" s="75" t="s">
        <v>283</v>
      </c>
      <c r="G812" s="76">
        <f t="shared" si="204"/>
        <v>5531.06</v>
      </c>
      <c r="H812" s="76">
        <f t="shared" si="204"/>
        <v>1500</v>
      </c>
      <c r="I812" s="76">
        <f t="shared" si="204"/>
        <v>1500</v>
      </c>
    </row>
    <row r="813" spans="1:9" ht="18.75" customHeight="1">
      <c r="A813" s="74" t="s">
        <v>935</v>
      </c>
      <c r="B813" s="98" t="s">
        <v>928</v>
      </c>
      <c r="C813" s="75" t="s">
        <v>257</v>
      </c>
      <c r="D813" s="75" t="s">
        <v>208</v>
      </c>
      <c r="E813" s="75" t="s">
        <v>543</v>
      </c>
      <c r="F813" s="75" t="s">
        <v>499</v>
      </c>
      <c r="G813" s="76">
        <f>'5'!D72</f>
        <v>5531.06</v>
      </c>
      <c r="H813" s="76">
        <f>'5'!E72</f>
        <v>1500</v>
      </c>
      <c r="I813" s="76">
        <f>'5'!F72</f>
        <v>1500</v>
      </c>
    </row>
    <row r="814" spans="1:9" ht="31.5" hidden="1">
      <c r="A814" s="108" t="s">
        <v>544</v>
      </c>
      <c r="B814" s="98" t="s">
        <v>928</v>
      </c>
      <c r="C814" s="75" t="s">
        <v>257</v>
      </c>
      <c r="D814" s="75" t="s">
        <v>208</v>
      </c>
      <c r="E814" s="75" t="s">
        <v>545</v>
      </c>
      <c r="F814" s="75" t="s">
        <v>206</v>
      </c>
      <c r="G814" s="76">
        <f>G815</f>
        <v>0</v>
      </c>
      <c r="H814" s="76">
        <f>H815</f>
        <v>0</v>
      </c>
      <c r="I814" s="76">
        <f>I815</f>
        <v>0</v>
      </c>
    </row>
    <row r="815" spans="1:9" ht="47.25" hidden="1">
      <c r="A815" s="74" t="s">
        <v>284</v>
      </c>
      <c r="B815" s="98" t="s">
        <v>928</v>
      </c>
      <c r="C815" s="75" t="s">
        <v>257</v>
      </c>
      <c r="D815" s="75" t="s">
        <v>208</v>
      </c>
      <c r="E815" s="75" t="s">
        <v>547</v>
      </c>
      <c r="F815" s="75" t="s">
        <v>206</v>
      </c>
      <c r="G815" s="76">
        <f>G816+G817</f>
        <v>0</v>
      </c>
      <c r="H815" s="76">
        <f>H816+H817</f>
        <v>0</v>
      </c>
      <c r="I815" s="76">
        <f>I816+I817</f>
        <v>0</v>
      </c>
    </row>
    <row r="816" spans="1:9" ht="31.5" hidden="1">
      <c r="A816" s="74" t="s">
        <v>548</v>
      </c>
      <c r="B816" s="98" t="s">
        <v>928</v>
      </c>
      <c r="C816" s="75" t="s">
        <v>257</v>
      </c>
      <c r="D816" s="75" t="s">
        <v>208</v>
      </c>
      <c r="E816" s="75" t="s">
        <v>549</v>
      </c>
      <c r="F816" s="75" t="s">
        <v>499</v>
      </c>
      <c r="G816" s="76"/>
      <c r="H816" s="76"/>
      <c r="I816" s="76"/>
    </row>
    <row r="817" spans="1:9" ht="31.5" hidden="1">
      <c r="A817" s="74" t="s">
        <v>550</v>
      </c>
      <c r="B817" s="98" t="s">
        <v>928</v>
      </c>
      <c r="C817" s="75" t="s">
        <v>257</v>
      </c>
      <c r="D817" s="75" t="s">
        <v>208</v>
      </c>
      <c r="E817" s="75" t="s">
        <v>551</v>
      </c>
      <c r="F817" s="75" t="s">
        <v>499</v>
      </c>
      <c r="G817" s="76"/>
      <c r="H817" s="76"/>
      <c r="I817" s="76"/>
    </row>
    <row r="818" spans="1:9" ht="48" customHeight="1">
      <c r="A818" s="78" t="s">
        <v>315</v>
      </c>
      <c r="B818" s="128" t="s">
        <v>928</v>
      </c>
      <c r="C818" s="79" t="s">
        <v>257</v>
      </c>
      <c r="D818" s="79" t="s">
        <v>208</v>
      </c>
      <c r="E818" s="79" t="s">
        <v>493</v>
      </c>
      <c r="F818" s="79" t="s">
        <v>206</v>
      </c>
      <c r="G818" s="80">
        <f t="shared" ref="G818:I819" si="205">G819</f>
        <v>273458.663</v>
      </c>
      <c r="H818" s="80">
        <f t="shared" si="205"/>
        <v>302704.51300000004</v>
      </c>
      <c r="I818" s="80">
        <f t="shared" si="205"/>
        <v>325378.54400000005</v>
      </c>
    </row>
    <row r="819" spans="1:9" ht="57" customHeight="1">
      <c r="A819" s="108" t="s">
        <v>760</v>
      </c>
      <c r="B819" s="98" t="s">
        <v>928</v>
      </c>
      <c r="C819" s="75" t="s">
        <v>257</v>
      </c>
      <c r="D819" s="75" t="s">
        <v>208</v>
      </c>
      <c r="E819" s="75" t="s">
        <v>516</v>
      </c>
      <c r="F819" s="75" t="s">
        <v>206</v>
      </c>
      <c r="G819" s="76">
        <f t="shared" si="205"/>
        <v>273458.663</v>
      </c>
      <c r="H819" s="76">
        <f t="shared" si="205"/>
        <v>302704.51300000004</v>
      </c>
      <c r="I819" s="76">
        <f t="shared" si="205"/>
        <v>325378.54400000005</v>
      </c>
    </row>
    <row r="820" spans="1:9" s="210" customFormat="1" ht="20.25" customHeight="1">
      <c r="A820" s="104" t="s">
        <v>267</v>
      </c>
      <c r="B820" s="139" t="s">
        <v>928</v>
      </c>
      <c r="C820" s="105" t="s">
        <v>257</v>
      </c>
      <c r="D820" s="105" t="s">
        <v>208</v>
      </c>
      <c r="E820" s="105" t="s">
        <v>205</v>
      </c>
      <c r="F820" s="105" t="s">
        <v>206</v>
      </c>
      <c r="G820" s="106">
        <f>G823+G826+G829</f>
        <v>273458.663</v>
      </c>
      <c r="H820" s="106">
        <f>H823+H826+H829</f>
        <v>302704.51300000004</v>
      </c>
      <c r="I820" s="106">
        <f>I823+I826+I829</f>
        <v>325378.54400000005</v>
      </c>
    </row>
    <row r="821" spans="1:9" ht="47.25" hidden="1" customHeight="1">
      <c r="A821" s="74" t="s">
        <v>936</v>
      </c>
      <c r="B821" s="98" t="s">
        <v>928</v>
      </c>
      <c r="C821" s="75" t="s">
        <v>257</v>
      </c>
      <c r="D821" s="75" t="s">
        <v>208</v>
      </c>
      <c r="E821" s="75" t="s">
        <v>937</v>
      </c>
      <c r="F821" s="75" t="s">
        <v>206</v>
      </c>
      <c r="G821" s="76">
        <f>G822</f>
        <v>0</v>
      </c>
      <c r="H821" s="76">
        <f>H822</f>
        <v>0</v>
      </c>
      <c r="I821" s="76">
        <f>I822</f>
        <v>0</v>
      </c>
    </row>
    <row r="822" spans="1:9" hidden="1">
      <c r="A822" s="74" t="s">
        <v>267</v>
      </c>
      <c r="B822" s="98" t="s">
        <v>928</v>
      </c>
      <c r="C822" s="75" t="s">
        <v>257</v>
      </c>
      <c r="D822" s="75" t="s">
        <v>208</v>
      </c>
      <c r="E822" s="75" t="s">
        <v>937</v>
      </c>
      <c r="F822" s="75" t="s">
        <v>350</v>
      </c>
      <c r="G822" s="76"/>
      <c r="H822" s="76"/>
      <c r="I822" s="76"/>
    </row>
    <row r="823" spans="1:9" ht="63" hidden="1" customHeight="1">
      <c r="A823" s="78" t="s">
        <v>557</v>
      </c>
      <c r="B823" s="98" t="s">
        <v>928</v>
      </c>
      <c r="C823" s="75" t="s">
        <v>257</v>
      </c>
      <c r="D823" s="75" t="s">
        <v>208</v>
      </c>
      <c r="E823" s="75" t="s">
        <v>516</v>
      </c>
      <c r="F823" s="75" t="s">
        <v>206</v>
      </c>
      <c r="G823" s="76">
        <f t="shared" ref="G823:I827" si="206">G824</f>
        <v>0</v>
      </c>
      <c r="H823" s="76">
        <f t="shared" si="206"/>
        <v>0</v>
      </c>
      <c r="I823" s="76">
        <f t="shared" si="206"/>
        <v>0</v>
      </c>
    </row>
    <row r="824" spans="1:9" ht="47.25" hidden="1" customHeight="1">
      <c r="A824" s="74" t="s">
        <v>284</v>
      </c>
      <c r="B824" s="98" t="s">
        <v>928</v>
      </c>
      <c r="C824" s="75" t="s">
        <v>257</v>
      </c>
      <c r="D824" s="75" t="s">
        <v>208</v>
      </c>
      <c r="E824" s="75" t="s">
        <v>558</v>
      </c>
      <c r="F824" s="75" t="s">
        <v>283</v>
      </c>
      <c r="G824" s="76">
        <f t="shared" si="206"/>
        <v>0</v>
      </c>
      <c r="H824" s="76">
        <f t="shared" si="206"/>
        <v>0</v>
      </c>
      <c r="I824" s="76">
        <f t="shared" si="206"/>
        <v>0</v>
      </c>
    </row>
    <row r="825" spans="1:9" ht="15.75" hidden="1" customHeight="1">
      <c r="A825" s="74" t="s">
        <v>497</v>
      </c>
      <c r="B825" s="98" t="s">
        <v>928</v>
      </c>
      <c r="C825" s="75" t="s">
        <v>257</v>
      </c>
      <c r="D825" s="75" t="s">
        <v>208</v>
      </c>
      <c r="E825" s="75" t="s">
        <v>558</v>
      </c>
      <c r="F825" s="75" t="s">
        <v>499</v>
      </c>
      <c r="G825" s="76"/>
      <c r="H825" s="76"/>
      <c r="I825" s="76"/>
    </row>
    <row r="826" spans="1:9" ht="94.5" hidden="1" customHeight="1">
      <c r="A826" s="78" t="s">
        <v>559</v>
      </c>
      <c r="B826" s="128" t="s">
        <v>928</v>
      </c>
      <c r="C826" s="79" t="s">
        <v>257</v>
      </c>
      <c r="D826" s="79" t="s">
        <v>208</v>
      </c>
      <c r="E826" s="79" t="s">
        <v>560</v>
      </c>
      <c r="F826" s="79" t="s">
        <v>206</v>
      </c>
      <c r="G826" s="80">
        <f t="shared" si="206"/>
        <v>0</v>
      </c>
      <c r="H826" s="80">
        <f t="shared" si="206"/>
        <v>0</v>
      </c>
      <c r="I826" s="80">
        <f t="shared" si="206"/>
        <v>0</v>
      </c>
    </row>
    <row r="827" spans="1:9" ht="47.25" hidden="1">
      <c r="A827" s="74" t="s">
        <v>284</v>
      </c>
      <c r="B827" s="98" t="s">
        <v>928</v>
      </c>
      <c r="C827" s="75" t="s">
        <v>257</v>
      </c>
      <c r="D827" s="75" t="s">
        <v>208</v>
      </c>
      <c r="E827" s="75" t="s">
        <v>560</v>
      </c>
      <c r="F827" s="75" t="s">
        <v>283</v>
      </c>
      <c r="G827" s="76">
        <f t="shared" si="206"/>
        <v>0</v>
      </c>
      <c r="H827" s="76">
        <f t="shared" si="206"/>
        <v>0</v>
      </c>
      <c r="I827" s="76">
        <f t="shared" si="206"/>
        <v>0</v>
      </c>
    </row>
    <row r="828" spans="1:9" ht="15.75" hidden="1" customHeight="1">
      <c r="A828" s="74" t="s">
        <v>497</v>
      </c>
      <c r="B828" s="98" t="s">
        <v>928</v>
      </c>
      <c r="C828" s="75" t="s">
        <v>257</v>
      </c>
      <c r="D828" s="75" t="s">
        <v>208</v>
      </c>
      <c r="E828" s="75" t="s">
        <v>560</v>
      </c>
      <c r="F828" s="75" t="s">
        <v>499</v>
      </c>
      <c r="G828" s="76">
        <f>'5'!D52</f>
        <v>0</v>
      </c>
      <c r="H828" s="76">
        <f>'5'!E52</f>
        <v>0</v>
      </c>
      <c r="I828" s="76">
        <f>'5'!F52</f>
        <v>0</v>
      </c>
    </row>
    <row r="829" spans="1:9" ht="80.25" customHeight="1">
      <c r="A829" s="78" t="s">
        <v>561</v>
      </c>
      <c r="B829" s="98" t="s">
        <v>928</v>
      </c>
      <c r="C829" s="75" t="s">
        <v>257</v>
      </c>
      <c r="D829" s="75" t="s">
        <v>208</v>
      </c>
      <c r="E829" s="75" t="s">
        <v>562</v>
      </c>
      <c r="F829" s="75" t="s">
        <v>206</v>
      </c>
      <c r="G829" s="76">
        <f t="shared" ref="G829:I830" si="207">G830</f>
        <v>273458.663</v>
      </c>
      <c r="H829" s="76">
        <f t="shared" si="207"/>
        <v>302704.51300000004</v>
      </c>
      <c r="I829" s="76">
        <f t="shared" si="207"/>
        <v>325378.54400000005</v>
      </c>
    </row>
    <row r="830" spans="1:9" ht="47.25" customHeight="1">
      <c r="A830" s="74" t="s">
        <v>284</v>
      </c>
      <c r="B830" s="98" t="s">
        <v>928</v>
      </c>
      <c r="C830" s="75" t="s">
        <v>257</v>
      </c>
      <c r="D830" s="75" t="s">
        <v>208</v>
      </c>
      <c r="E830" s="75" t="s">
        <v>562</v>
      </c>
      <c r="F830" s="75" t="s">
        <v>283</v>
      </c>
      <c r="G830" s="76">
        <f t="shared" si="207"/>
        <v>273458.663</v>
      </c>
      <c r="H830" s="76">
        <f t="shared" si="207"/>
        <v>302704.51300000004</v>
      </c>
      <c r="I830" s="76">
        <f t="shared" si="207"/>
        <v>325378.54400000005</v>
      </c>
    </row>
    <row r="831" spans="1:9" ht="18.75" customHeight="1">
      <c r="A831" s="74" t="s">
        <v>497</v>
      </c>
      <c r="B831" s="98" t="s">
        <v>928</v>
      </c>
      <c r="C831" s="75" t="s">
        <v>257</v>
      </c>
      <c r="D831" s="75" t="s">
        <v>208</v>
      </c>
      <c r="E831" s="75" t="s">
        <v>562</v>
      </c>
      <c r="F831" s="75" t="s">
        <v>499</v>
      </c>
      <c r="G831" s="76">
        <f>'5'!D49</f>
        <v>273458.663</v>
      </c>
      <c r="H831" s="76">
        <f>'5'!E49</f>
        <v>302704.51300000004</v>
      </c>
      <c r="I831" s="76">
        <f>'5'!F49</f>
        <v>325378.54400000005</v>
      </c>
    </row>
    <row r="832" spans="1:9" s="211" customFormat="1" ht="109.5" customHeight="1">
      <c r="A832" s="78" t="s">
        <v>185</v>
      </c>
      <c r="B832" s="128" t="s">
        <v>928</v>
      </c>
      <c r="C832" s="79" t="s">
        <v>257</v>
      </c>
      <c r="D832" s="79" t="s">
        <v>208</v>
      </c>
      <c r="E832" s="128" t="s">
        <v>563</v>
      </c>
      <c r="F832" s="79" t="s">
        <v>206</v>
      </c>
      <c r="G832" s="80">
        <f t="shared" ref="G832:I833" si="208">G833</f>
        <v>35334</v>
      </c>
      <c r="H832" s="80">
        <f t="shared" si="208"/>
        <v>35334</v>
      </c>
      <c r="I832" s="80">
        <f t="shared" si="208"/>
        <v>35568</v>
      </c>
    </row>
    <row r="833" spans="1:9" ht="50.25" customHeight="1">
      <c r="A833" s="74" t="s">
        <v>284</v>
      </c>
      <c r="B833" s="98" t="s">
        <v>928</v>
      </c>
      <c r="C833" s="75" t="s">
        <v>257</v>
      </c>
      <c r="D833" s="75" t="s">
        <v>208</v>
      </c>
      <c r="E833" s="98" t="s">
        <v>563</v>
      </c>
      <c r="F833" s="75" t="s">
        <v>283</v>
      </c>
      <c r="G833" s="76">
        <f t="shared" si="208"/>
        <v>35334</v>
      </c>
      <c r="H833" s="76">
        <f t="shared" si="208"/>
        <v>35334</v>
      </c>
      <c r="I833" s="76">
        <f t="shared" si="208"/>
        <v>35568</v>
      </c>
    </row>
    <row r="834" spans="1:9" ht="18.75" customHeight="1">
      <c r="A834" s="74" t="s">
        <v>497</v>
      </c>
      <c r="B834" s="98" t="s">
        <v>928</v>
      </c>
      <c r="C834" s="75" t="s">
        <v>257</v>
      </c>
      <c r="D834" s="75" t="s">
        <v>208</v>
      </c>
      <c r="E834" s="98" t="s">
        <v>563</v>
      </c>
      <c r="F834" s="75" t="s">
        <v>499</v>
      </c>
      <c r="G834" s="76">
        <f>'5'!D53</f>
        <v>35334</v>
      </c>
      <c r="H834" s="76">
        <f>'5'!E53</f>
        <v>35334</v>
      </c>
      <c r="I834" s="76">
        <f>'5'!F53</f>
        <v>35568</v>
      </c>
    </row>
    <row r="835" spans="1:9" ht="117.75" customHeight="1">
      <c r="A835" s="78" t="s">
        <v>183</v>
      </c>
      <c r="B835" s="128" t="s">
        <v>928</v>
      </c>
      <c r="C835" s="79" t="s">
        <v>257</v>
      </c>
      <c r="D835" s="79" t="s">
        <v>208</v>
      </c>
      <c r="E835" s="128" t="s">
        <v>564</v>
      </c>
      <c r="F835" s="79" t="s">
        <v>206</v>
      </c>
      <c r="G835" s="80">
        <f t="shared" ref="G835:I836" si="209">G836</f>
        <v>1303.5983099999999</v>
      </c>
      <c r="H835" s="80">
        <f t="shared" si="209"/>
        <v>1323.3780000000006</v>
      </c>
      <c r="I835" s="80">
        <f t="shared" si="209"/>
        <v>1347.3165300000005</v>
      </c>
    </row>
    <row r="836" spans="1:9" ht="47.25" customHeight="1">
      <c r="A836" s="74" t="s">
        <v>284</v>
      </c>
      <c r="B836" s="98" t="s">
        <v>928</v>
      </c>
      <c r="C836" s="75" t="s">
        <v>257</v>
      </c>
      <c r="D836" s="75" t="s">
        <v>208</v>
      </c>
      <c r="E836" s="98" t="s">
        <v>564</v>
      </c>
      <c r="F836" s="75" t="s">
        <v>283</v>
      </c>
      <c r="G836" s="76">
        <f t="shared" si="209"/>
        <v>1303.5983099999999</v>
      </c>
      <c r="H836" s="76">
        <f t="shared" si="209"/>
        <v>1323.3780000000006</v>
      </c>
      <c r="I836" s="76">
        <f t="shared" si="209"/>
        <v>1347.3165300000005</v>
      </c>
    </row>
    <row r="837" spans="1:9" ht="19.149999999999999" customHeight="1">
      <c r="A837" s="74" t="s">
        <v>497</v>
      </c>
      <c r="B837" s="98" t="s">
        <v>928</v>
      </c>
      <c r="C837" s="75" t="s">
        <v>257</v>
      </c>
      <c r="D837" s="75" t="s">
        <v>208</v>
      </c>
      <c r="E837" s="98" t="s">
        <v>564</v>
      </c>
      <c r="F837" s="75" t="s">
        <v>499</v>
      </c>
      <c r="G837" s="76">
        <f>'5'!D54</f>
        <v>1303.5983099999999</v>
      </c>
      <c r="H837" s="76">
        <f>'5'!E54</f>
        <v>1323.3780000000006</v>
      </c>
      <c r="I837" s="76">
        <f>'5'!F54</f>
        <v>1347.3165300000005</v>
      </c>
    </row>
    <row r="838" spans="1:9" ht="204.75">
      <c r="A838" s="78" t="s">
        <v>565</v>
      </c>
      <c r="B838" s="128" t="s">
        <v>928</v>
      </c>
      <c r="C838" s="79" t="s">
        <v>257</v>
      </c>
      <c r="D838" s="79" t="s">
        <v>208</v>
      </c>
      <c r="E838" s="128" t="s">
        <v>566</v>
      </c>
      <c r="F838" s="79" t="s">
        <v>206</v>
      </c>
      <c r="G838" s="80">
        <f t="shared" ref="G838:G839" si="210">G839</f>
        <v>499.96800000000002</v>
      </c>
      <c r="H838" s="80">
        <f t="shared" ref="H838:I839" si="211">H839</f>
        <v>499.96800000000002</v>
      </c>
      <c r="I838" s="80">
        <f t="shared" si="211"/>
        <v>499.96800000000002</v>
      </c>
    </row>
    <row r="839" spans="1:9" ht="47.25">
      <c r="A839" s="74" t="s">
        <v>284</v>
      </c>
      <c r="B839" s="98" t="s">
        <v>928</v>
      </c>
      <c r="C839" s="75" t="s">
        <v>257</v>
      </c>
      <c r="D839" s="75" t="s">
        <v>208</v>
      </c>
      <c r="E839" s="98" t="s">
        <v>566</v>
      </c>
      <c r="F839" s="75" t="s">
        <v>283</v>
      </c>
      <c r="G839" s="76">
        <f t="shared" si="210"/>
        <v>499.96800000000002</v>
      </c>
      <c r="H839" s="76">
        <f t="shared" si="211"/>
        <v>499.96800000000002</v>
      </c>
      <c r="I839" s="76">
        <f t="shared" si="211"/>
        <v>499.96800000000002</v>
      </c>
    </row>
    <row r="840" spans="1:9" ht="19.149999999999999" customHeight="1">
      <c r="A840" s="74" t="s">
        <v>497</v>
      </c>
      <c r="B840" s="98" t="s">
        <v>928</v>
      </c>
      <c r="C840" s="75" t="s">
        <v>257</v>
      </c>
      <c r="D840" s="75" t="s">
        <v>208</v>
      </c>
      <c r="E840" s="98" t="s">
        <v>566</v>
      </c>
      <c r="F840" s="75" t="s">
        <v>499</v>
      </c>
      <c r="G840" s="76">
        <f>'3'!F519</f>
        <v>499.96800000000002</v>
      </c>
      <c r="H840" s="76">
        <f>'3'!G519</f>
        <v>499.96800000000002</v>
      </c>
      <c r="I840" s="76">
        <f>'3'!H519</f>
        <v>499.96800000000002</v>
      </c>
    </row>
    <row r="841" spans="1:9" ht="51.75" customHeight="1">
      <c r="A841" s="135" t="s">
        <v>569</v>
      </c>
      <c r="B841" s="212" t="s">
        <v>928</v>
      </c>
      <c r="C841" s="136" t="s">
        <v>257</v>
      </c>
      <c r="D841" s="136" t="s">
        <v>208</v>
      </c>
      <c r="E841" s="136" t="s">
        <v>570</v>
      </c>
      <c r="F841" s="136" t="s">
        <v>206</v>
      </c>
      <c r="G841" s="137">
        <f>G842</f>
        <v>27873.25</v>
      </c>
      <c r="H841" s="137">
        <f>H842</f>
        <v>26565.1</v>
      </c>
      <c r="I841" s="137">
        <f>I842</f>
        <v>26096.75</v>
      </c>
    </row>
    <row r="842" spans="1:9" ht="19.5" customHeight="1">
      <c r="A842" s="78" t="s">
        <v>267</v>
      </c>
      <c r="B842" s="98" t="s">
        <v>928</v>
      </c>
      <c r="C842" s="75" t="s">
        <v>257</v>
      </c>
      <c r="D842" s="75" t="s">
        <v>208</v>
      </c>
      <c r="E842" s="79" t="s">
        <v>493</v>
      </c>
      <c r="F842" s="79" t="s">
        <v>206</v>
      </c>
      <c r="G842" s="80">
        <f>G843+G846+G849</f>
        <v>27873.25</v>
      </c>
      <c r="H842" s="80">
        <f>H843+H846+H849</f>
        <v>26565.1</v>
      </c>
      <c r="I842" s="80">
        <f>I843+I846+I849</f>
        <v>26096.75</v>
      </c>
    </row>
    <row r="843" spans="1:9" ht="63.75" customHeight="1">
      <c r="A843" s="104" t="s">
        <v>557</v>
      </c>
      <c r="B843" s="98" t="s">
        <v>928</v>
      </c>
      <c r="C843" s="75" t="s">
        <v>257</v>
      </c>
      <c r="D843" s="75" t="s">
        <v>208</v>
      </c>
      <c r="E843" s="105" t="s">
        <v>493</v>
      </c>
      <c r="F843" s="105" t="s">
        <v>206</v>
      </c>
      <c r="G843" s="106">
        <f t="shared" ref="G843:I844" si="212">G844</f>
        <v>12256.2</v>
      </c>
      <c r="H843" s="106">
        <f t="shared" si="212"/>
        <v>12256.2</v>
      </c>
      <c r="I843" s="106">
        <f t="shared" si="212"/>
        <v>12256.2</v>
      </c>
    </row>
    <row r="844" spans="1:9" ht="51.75" customHeight="1">
      <c r="A844" s="74" t="s">
        <v>284</v>
      </c>
      <c r="B844" s="98" t="s">
        <v>928</v>
      </c>
      <c r="C844" s="75" t="s">
        <v>257</v>
      </c>
      <c r="D844" s="75" t="s">
        <v>208</v>
      </c>
      <c r="E844" s="75" t="s">
        <v>571</v>
      </c>
      <c r="F844" s="75" t="s">
        <v>283</v>
      </c>
      <c r="G844" s="76">
        <f t="shared" si="212"/>
        <v>12256.2</v>
      </c>
      <c r="H844" s="76">
        <f t="shared" si="212"/>
        <v>12256.2</v>
      </c>
      <c r="I844" s="76">
        <f t="shared" si="212"/>
        <v>12256.2</v>
      </c>
    </row>
    <row r="845" spans="1:9" ht="25.15" customHeight="1">
      <c r="A845" s="74" t="s">
        <v>497</v>
      </c>
      <c r="B845" s="98" t="s">
        <v>928</v>
      </c>
      <c r="C845" s="75" t="s">
        <v>257</v>
      </c>
      <c r="D845" s="75" t="s">
        <v>208</v>
      </c>
      <c r="E845" s="75" t="s">
        <v>571</v>
      </c>
      <c r="F845" s="75" t="s">
        <v>499</v>
      </c>
      <c r="G845" s="76">
        <f>'3'!F524</f>
        <v>12256.2</v>
      </c>
      <c r="H845" s="76">
        <f>'3'!G524</f>
        <v>12256.2</v>
      </c>
      <c r="I845" s="76">
        <f>'3'!H524</f>
        <v>12256.2</v>
      </c>
    </row>
    <row r="846" spans="1:9" ht="98.25" customHeight="1">
      <c r="A846" s="104" t="s">
        <v>559</v>
      </c>
      <c r="B846" s="98" t="s">
        <v>928</v>
      </c>
      <c r="C846" s="75" t="s">
        <v>257</v>
      </c>
      <c r="D846" s="75" t="s">
        <v>208</v>
      </c>
      <c r="E846" s="230" t="s">
        <v>572</v>
      </c>
      <c r="F846" s="105" t="s">
        <v>206</v>
      </c>
      <c r="G846" s="106">
        <f t="shared" ref="G846:I847" si="213">G847</f>
        <v>15617.050000000001</v>
      </c>
      <c r="H846" s="106">
        <f t="shared" si="213"/>
        <v>14308.9</v>
      </c>
      <c r="I846" s="106">
        <f t="shared" si="213"/>
        <v>13840.550000000001</v>
      </c>
    </row>
    <row r="847" spans="1:9" ht="46.5" customHeight="1">
      <c r="A847" s="74" t="s">
        <v>284</v>
      </c>
      <c r="B847" s="98" t="s">
        <v>928</v>
      </c>
      <c r="C847" s="75" t="s">
        <v>257</v>
      </c>
      <c r="D847" s="75" t="s">
        <v>208</v>
      </c>
      <c r="E847" s="95" t="s">
        <v>572</v>
      </c>
      <c r="F847" s="75" t="s">
        <v>283</v>
      </c>
      <c r="G847" s="76">
        <f t="shared" si="213"/>
        <v>15617.050000000001</v>
      </c>
      <c r="H847" s="76">
        <f t="shared" si="213"/>
        <v>14308.9</v>
      </c>
      <c r="I847" s="76">
        <f t="shared" si="213"/>
        <v>13840.550000000001</v>
      </c>
    </row>
    <row r="848" spans="1:9" ht="25.15" customHeight="1">
      <c r="A848" s="74" t="s">
        <v>497</v>
      </c>
      <c r="B848" s="98" t="s">
        <v>928</v>
      </c>
      <c r="C848" s="75" t="s">
        <v>257</v>
      </c>
      <c r="D848" s="75" t="s">
        <v>208</v>
      </c>
      <c r="E848" s="95" t="s">
        <v>572</v>
      </c>
      <c r="F848" s="75" t="s">
        <v>499</v>
      </c>
      <c r="G848" s="76">
        <f>'5'!D107</f>
        <v>15617.050000000001</v>
      </c>
      <c r="H848" s="76">
        <f>'5'!E107</f>
        <v>14308.9</v>
      </c>
      <c r="I848" s="76">
        <f>'5'!F107</f>
        <v>13840.550000000001</v>
      </c>
    </row>
    <row r="849" spans="1:12" ht="54.75" hidden="1" customHeight="1">
      <c r="A849" s="104"/>
      <c r="B849" s="98"/>
      <c r="C849" s="75"/>
      <c r="D849" s="75"/>
      <c r="E849" s="139"/>
      <c r="F849" s="105"/>
      <c r="G849" s="106"/>
      <c r="H849" s="106"/>
      <c r="I849" s="106"/>
    </row>
    <row r="850" spans="1:12" ht="48.75" hidden="1" customHeight="1">
      <c r="A850" s="74"/>
      <c r="B850" s="98"/>
      <c r="C850" s="75"/>
      <c r="D850" s="75"/>
      <c r="E850" s="98"/>
      <c r="F850" s="75"/>
      <c r="G850" s="76"/>
      <c r="H850" s="76"/>
      <c r="I850" s="76"/>
    </row>
    <row r="851" spans="1:12" ht="25.15" hidden="1" customHeight="1">
      <c r="A851" s="74"/>
      <c r="B851" s="98"/>
      <c r="C851" s="75"/>
      <c r="D851" s="75"/>
      <c r="E851" s="98"/>
      <c r="F851" s="75"/>
      <c r="G851" s="76"/>
      <c r="H851" s="76"/>
      <c r="I851" s="76"/>
    </row>
    <row r="852" spans="1:12" ht="20.25" customHeight="1">
      <c r="A852" s="66" t="s">
        <v>573</v>
      </c>
      <c r="B852" s="199" t="s">
        <v>928</v>
      </c>
      <c r="C852" s="67" t="s">
        <v>257</v>
      </c>
      <c r="D852" s="67" t="s">
        <v>220</v>
      </c>
      <c r="E852" s="199" t="s">
        <v>205</v>
      </c>
      <c r="F852" s="67" t="s">
        <v>206</v>
      </c>
      <c r="G852" s="68">
        <f>G856+G858+G859+G862+G863+G866+G868+G871+G874+G877</f>
        <v>76101.898000000001</v>
      </c>
      <c r="H852" s="68">
        <f t="shared" ref="H852:I852" si="214">H856+H858+H859+H862+H863+H866+H868+H871+H874+H877</f>
        <v>41187.385170000009</v>
      </c>
      <c r="I852" s="68">
        <f t="shared" si="214"/>
        <v>39531.399935000009</v>
      </c>
      <c r="J852" s="184"/>
      <c r="K852" s="184"/>
      <c r="L852" s="184"/>
    </row>
    <row r="853" spans="1:12" s="218" customFormat="1" ht="53.25" customHeight="1">
      <c r="A853" s="74" t="s">
        <v>315</v>
      </c>
      <c r="B853" s="98" t="s">
        <v>928</v>
      </c>
      <c r="C853" s="75" t="s">
        <v>257</v>
      </c>
      <c r="D853" s="75" t="s">
        <v>220</v>
      </c>
      <c r="E853" s="75" t="s">
        <v>493</v>
      </c>
      <c r="F853" s="75" t="s">
        <v>206</v>
      </c>
      <c r="G853" s="76">
        <f>G855+G859+G863+G870+G856</f>
        <v>76011.849000000002</v>
      </c>
      <c r="H853" s="76">
        <f t="shared" ref="H853:I853" si="215">H855+H859+H863+H870+H856</f>
        <v>41187.385170000009</v>
      </c>
      <c r="I853" s="76">
        <f t="shared" si="215"/>
        <v>39531.399935000009</v>
      </c>
    </row>
    <row r="854" spans="1:12" ht="36" customHeight="1">
      <c r="A854" s="108" t="s">
        <v>544</v>
      </c>
      <c r="B854" s="98" t="s">
        <v>928</v>
      </c>
      <c r="C854" s="75" t="s">
        <v>257</v>
      </c>
      <c r="D854" s="75" t="s">
        <v>220</v>
      </c>
      <c r="E854" s="75" t="s">
        <v>545</v>
      </c>
      <c r="F854" s="75" t="s">
        <v>206</v>
      </c>
      <c r="G854" s="76">
        <f>G855</f>
        <v>40308.381000000001</v>
      </c>
      <c r="H854" s="76">
        <f t="shared" ref="H854:I854" si="216">H855</f>
        <v>39149.517170000006</v>
      </c>
      <c r="I854" s="76">
        <f t="shared" si="216"/>
        <v>37493.531935000006</v>
      </c>
    </row>
    <row r="855" spans="1:12" ht="47.25">
      <c r="A855" s="74" t="s">
        <v>284</v>
      </c>
      <c r="B855" s="98" t="s">
        <v>928</v>
      </c>
      <c r="C855" s="75" t="s">
        <v>257</v>
      </c>
      <c r="D855" s="75" t="s">
        <v>220</v>
      </c>
      <c r="E855" s="75" t="s">
        <v>547</v>
      </c>
      <c r="F855" s="75" t="s">
        <v>283</v>
      </c>
      <c r="G855" s="76">
        <f>G858+G862+G866+G867</f>
        <v>40308.381000000001</v>
      </c>
      <c r="H855" s="76">
        <f t="shared" ref="H855:I855" si="217">H858+H862+H866+H867</f>
        <v>39149.517170000006</v>
      </c>
      <c r="I855" s="76">
        <f t="shared" si="217"/>
        <v>37493.531935000006</v>
      </c>
    </row>
    <row r="856" spans="1:12" ht="48.75" customHeight="1">
      <c r="A856" s="74" t="s">
        <v>938</v>
      </c>
      <c r="B856" s="98" t="s">
        <v>928</v>
      </c>
      <c r="C856" s="75" t="s">
        <v>257</v>
      </c>
      <c r="D856" s="75" t="s">
        <v>220</v>
      </c>
      <c r="E856" s="75" t="s">
        <v>581</v>
      </c>
      <c r="F856" s="75" t="s">
        <v>499</v>
      </c>
      <c r="G856" s="76">
        <f>'5'!D78</f>
        <v>160</v>
      </c>
      <c r="H856" s="76">
        <f>'5'!E78</f>
        <v>0</v>
      </c>
      <c r="I856" s="76">
        <f>'5'!F78</f>
        <v>0</v>
      </c>
    </row>
    <row r="857" spans="1:12" ht="47.25" hidden="1" customHeight="1">
      <c r="A857" s="74" t="s">
        <v>574</v>
      </c>
      <c r="B857" s="98" t="s">
        <v>928</v>
      </c>
      <c r="C857" s="75" t="s">
        <v>257</v>
      </c>
      <c r="D857" s="75" t="s">
        <v>220</v>
      </c>
      <c r="E857" s="75" t="s">
        <v>575</v>
      </c>
      <c r="F857" s="75" t="s">
        <v>499</v>
      </c>
      <c r="G857" s="76"/>
      <c r="H857" s="76">
        <v>0</v>
      </c>
      <c r="I857" s="76">
        <v>0</v>
      </c>
    </row>
    <row r="858" spans="1:12" ht="37.5" customHeight="1">
      <c r="A858" s="74" t="s">
        <v>939</v>
      </c>
      <c r="B858" s="98" t="s">
        <v>928</v>
      </c>
      <c r="C858" s="75" t="s">
        <v>257</v>
      </c>
      <c r="D858" s="75" t="s">
        <v>220</v>
      </c>
      <c r="E858" s="75" t="s">
        <v>549</v>
      </c>
      <c r="F858" s="75" t="s">
        <v>499</v>
      </c>
      <c r="G858" s="76">
        <f>'5'!D79</f>
        <v>15921</v>
      </c>
      <c r="H858" s="76">
        <f>'5'!E79</f>
        <v>14443.21413</v>
      </c>
      <c r="I858" s="76">
        <f>'5'!F79</f>
        <v>14891.176935000001</v>
      </c>
    </row>
    <row r="859" spans="1:12" ht="131.25" customHeight="1">
      <c r="A859" s="74" t="s">
        <v>579</v>
      </c>
      <c r="B859" s="98" t="s">
        <v>928</v>
      </c>
      <c r="C859" s="75" t="s">
        <v>257</v>
      </c>
      <c r="D859" s="75" t="s">
        <v>220</v>
      </c>
      <c r="E859" s="75" t="s">
        <v>578</v>
      </c>
      <c r="F859" s="75" t="s">
        <v>206</v>
      </c>
      <c r="G859" s="76">
        <f>G860</f>
        <v>860.76700000000005</v>
      </c>
      <c r="H859" s="76">
        <f t="shared" ref="G859:I860" si="218">H860</f>
        <v>860.76700000000005</v>
      </c>
      <c r="I859" s="76">
        <f t="shared" si="218"/>
        <v>860.76700000000005</v>
      </c>
    </row>
    <row r="860" spans="1:12" ht="51.75" customHeight="1">
      <c r="A860" s="74" t="s">
        <v>284</v>
      </c>
      <c r="B860" s="98" t="s">
        <v>928</v>
      </c>
      <c r="C860" s="75" t="s">
        <v>257</v>
      </c>
      <c r="D860" s="75" t="s">
        <v>220</v>
      </c>
      <c r="E860" s="75" t="s">
        <v>578</v>
      </c>
      <c r="F860" s="75" t="s">
        <v>283</v>
      </c>
      <c r="G860" s="76">
        <f t="shared" si="218"/>
        <v>860.76700000000005</v>
      </c>
      <c r="H860" s="76">
        <f t="shared" si="218"/>
        <v>860.76700000000005</v>
      </c>
      <c r="I860" s="76">
        <f t="shared" si="218"/>
        <v>860.76700000000005</v>
      </c>
    </row>
    <row r="861" spans="1:12" ht="35.25" customHeight="1">
      <c r="A861" s="74" t="s">
        <v>940</v>
      </c>
      <c r="B861" s="98" t="s">
        <v>928</v>
      </c>
      <c r="C861" s="75" t="s">
        <v>257</v>
      </c>
      <c r="D861" s="75" t="s">
        <v>220</v>
      </c>
      <c r="E861" s="75" t="s">
        <v>578</v>
      </c>
      <c r="F861" s="75" t="s">
        <v>499</v>
      </c>
      <c r="G861" s="76">
        <f>'3'!F541</f>
        <v>860.76700000000005</v>
      </c>
      <c r="H861" s="76">
        <f>'3'!G541</f>
        <v>860.76700000000005</v>
      </c>
      <c r="I861" s="76">
        <f>'3'!H541</f>
        <v>860.76700000000005</v>
      </c>
    </row>
    <row r="862" spans="1:12" ht="48.75" customHeight="1">
      <c r="A862" s="74" t="s">
        <v>582</v>
      </c>
      <c r="B862" s="98" t="s">
        <v>928</v>
      </c>
      <c r="C862" s="75" t="s">
        <v>257</v>
      </c>
      <c r="D862" s="75" t="s">
        <v>220</v>
      </c>
      <c r="E862" s="75" t="s">
        <v>551</v>
      </c>
      <c r="F862" s="75" t="s">
        <v>499</v>
      </c>
      <c r="G862" s="76">
        <f>'5'!D80</f>
        <v>23292.381000000001</v>
      </c>
      <c r="H862" s="76">
        <f>'3'!G543</f>
        <v>23412.503040000003</v>
      </c>
      <c r="I862" s="76">
        <f>'3'!H543</f>
        <v>21108.555</v>
      </c>
    </row>
    <row r="863" spans="1:12" ht="132.75" customHeight="1">
      <c r="A863" s="74" t="s">
        <v>579</v>
      </c>
      <c r="B863" s="98" t="s">
        <v>928</v>
      </c>
      <c r="C863" s="75" t="s">
        <v>257</v>
      </c>
      <c r="D863" s="75" t="s">
        <v>220</v>
      </c>
      <c r="E863" s="75" t="s">
        <v>578</v>
      </c>
      <c r="F863" s="75" t="s">
        <v>206</v>
      </c>
      <c r="G863" s="76">
        <f t="shared" ref="G863:I864" si="219">G864</f>
        <v>1177.1010000000001</v>
      </c>
      <c r="H863" s="76">
        <f t="shared" si="219"/>
        <v>1177.1010000000001</v>
      </c>
      <c r="I863" s="76">
        <f t="shared" si="219"/>
        <v>1177.1010000000001</v>
      </c>
    </row>
    <row r="864" spans="1:12" ht="54.75" customHeight="1">
      <c r="A864" s="74" t="s">
        <v>284</v>
      </c>
      <c r="B864" s="98" t="s">
        <v>928</v>
      </c>
      <c r="C864" s="75" t="s">
        <v>257</v>
      </c>
      <c r="D864" s="75" t="s">
        <v>220</v>
      </c>
      <c r="E864" s="75" t="s">
        <v>578</v>
      </c>
      <c r="F864" s="75" t="s">
        <v>283</v>
      </c>
      <c r="G864" s="76">
        <f t="shared" si="219"/>
        <v>1177.1010000000001</v>
      </c>
      <c r="H864" s="76">
        <f t="shared" si="219"/>
        <v>1177.1010000000001</v>
      </c>
      <c r="I864" s="76">
        <f t="shared" si="219"/>
        <v>1177.1010000000001</v>
      </c>
    </row>
    <row r="865" spans="1:12" ht="24" customHeight="1">
      <c r="A865" s="74" t="s">
        <v>497</v>
      </c>
      <c r="B865" s="98" t="s">
        <v>928</v>
      </c>
      <c r="C865" s="75" t="s">
        <v>257</v>
      </c>
      <c r="D865" s="75" t="s">
        <v>220</v>
      </c>
      <c r="E865" s="75" t="s">
        <v>578</v>
      </c>
      <c r="F865" s="75" t="s">
        <v>499</v>
      </c>
      <c r="G865" s="76">
        <f>'3'!F547</f>
        <v>1177.1010000000001</v>
      </c>
      <c r="H865" s="76">
        <f>'3'!G547</f>
        <v>1177.1010000000001</v>
      </c>
      <c r="I865" s="76">
        <f>'3'!H547</f>
        <v>1177.1010000000001</v>
      </c>
    </row>
    <row r="866" spans="1:12" ht="102" customHeight="1">
      <c r="A866" s="74" t="s">
        <v>584</v>
      </c>
      <c r="B866" s="98" t="s">
        <v>928</v>
      </c>
      <c r="C866" s="75" t="s">
        <v>257</v>
      </c>
      <c r="D866" s="75" t="s">
        <v>220</v>
      </c>
      <c r="E866" s="75" t="s">
        <v>585</v>
      </c>
      <c r="F866" s="75" t="s">
        <v>499</v>
      </c>
      <c r="G866" s="76">
        <f>'3'!F548</f>
        <v>1010</v>
      </c>
      <c r="H866" s="76">
        <f>'3'!G548</f>
        <v>1293.8</v>
      </c>
      <c r="I866" s="76">
        <f>'3'!H548</f>
        <v>1493.8</v>
      </c>
    </row>
    <row r="867" spans="1:12" ht="46.5" customHeight="1">
      <c r="A867" s="100" t="s">
        <v>574</v>
      </c>
      <c r="B867" s="133" t="s">
        <v>928</v>
      </c>
      <c r="C867" s="101" t="s">
        <v>257</v>
      </c>
      <c r="D867" s="101" t="s">
        <v>220</v>
      </c>
      <c r="E867" s="101" t="s">
        <v>575</v>
      </c>
      <c r="F867" s="101" t="s">
        <v>206</v>
      </c>
      <c r="G867" s="102">
        <f t="shared" ref="G867:I868" si="220">G868</f>
        <v>85</v>
      </c>
      <c r="H867" s="102">
        <f t="shared" si="220"/>
        <v>0</v>
      </c>
      <c r="I867" s="102">
        <f t="shared" si="220"/>
        <v>0</v>
      </c>
    </row>
    <row r="868" spans="1:12" ht="54.75" customHeight="1">
      <c r="A868" s="74" t="s">
        <v>284</v>
      </c>
      <c r="B868" s="98" t="s">
        <v>928</v>
      </c>
      <c r="C868" s="75" t="s">
        <v>257</v>
      </c>
      <c r="D868" s="75" t="s">
        <v>220</v>
      </c>
      <c r="E868" s="75" t="s">
        <v>575</v>
      </c>
      <c r="F868" s="75" t="s">
        <v>283</v>
      </c>
      <c r="G868" s="76">
        <f t="shared" si="220"/>
        <v>85</v>
      </c>
      <c r="H868" s="76">
        <f t="shared" si="220"/>
        <v>0</v>
      </c>
      <c r="I868" s="76">
        <f t="shared" si="220"/>
        <v>0</v>
      </c>
    </row>
    <row r="869" spans="1:12" ht="21" customHeight="1">
      <c r="A869" s="74" t="s">
        <v>497</v>
      </c>
      <c r="B869" s="98" t="s">
        <v>928</v>
      </c>
      <c r="C869" s="75" t="s">
        <v>257</v>
      </c>
      <c r="D869" s="75" t="s">
        <v>220</v>
      </c>
      <c r="E869" s="75" t="s">
        <v>575</v>
      </c>
      <c r="F869" s="75" t="s">
        <v>499</v>
      </c>
      <c r="G869" s="76">
        <f>'5'!D76</f>
        <v>85</v>
      </c>
      <c r="H869" s="76">
        <f>'5'!E76</f>
        <v>0</v>
      </c>
      <c r="I869" s="76">
        <f>'5'!F76</f>
        <v>0</v>
      </c>
    </row>
    <row r="870" spans="1:12" ht="68.25" customHeight="1">
      <c r="A870" s="104" t="s">
        <v>586</v>
      </c>
      <c r="B870" s="98" t="s">
        <v>928</v>
      </c>
      <c r="C870" s="79" t="s">
        <v>257</v>
      </c>
      <c r="D870" s="79" t="s">
        <v>220</v>
      </c>
      <c r="E870" s="75" t="s">
        <v>205</v>
      </c>
      <c r="F870" s="75" t="s">
        <v>206</v>
      </c>
      <c r="G870" s="106">
        <f>G871+G874</f>
        <v>33505.599999999999</v>
      </c>
      <c r="H870" s="106">
        <f t="shared" ref="H870:I870" si="221">H871+H874</f>
        <v>0</v>
      </c>
      <c r="I870" s="106">
        <f t="shared" si="221"/>
        <v>0</v>
      </c>
    </row>
    <row r="871" spans="1:12" ht="84" customHeight="1">
      <c r="A871" s="74" t="s">
        <v>587</v>
      </c>
      <c r="B871" s="98" t="s">
        <v>928</v>
      </c>
      <c r="C871" s="79" t="s">
        <v>257</v>
      </c>
      <c r="D871" s="79" t="s">
        <v>220</v>
      </c>
      <c r="E871" s="75" t="s">
        <v>588</v>
      </c>
      <c r="F871" s="75" t="s">
        <v>206</v>
      </c>
      <c r="G871" s="76">
        <f t="shared" ref="G871:G872" si="222">G872</f>
        <v>33170.544000000002</v>
      </c>
      <c r="H871" s="76">
        <f t="shared" ref="H871:I872" si="223">H872</f>
        <v>0</v>
      </c>
      <c r="I871" s="76">
        <f t="shared" si="223"/>
        <v>0</v>
      </c>
    </row>
    <row r="872" spans="1:12" ht="52.5" customHeight="1">
      <c r="A872" s="74" t="s">
        <v>284</v>
      </c>
      <c r="B872" s="98" t="s">
        <v>928</v>
      </c>
      <c r="C872" s="79" t="s">
        <v>257</v>
      </c>
      <c r="D872" s="79" t="s">
        <v>220</v>
      </c>
      <c r="E872" s="75" t="s">
        <v>588</v>
      </c>
      <c r="F872" s="75" t="s">
        <v>283</v>
      </c>
      <c r="G872" s="76">
        <f t="shared" si="222"/>
        <v>33170.544000000002</v>
      </c>
      <c r="H872" s="76">
        <f t="shared" si="223"/>
        <v>0</v>
      </c>
      <c r="I872" s="76">
        <f t="shared" si="223"/>
        <v>0</v>
      </c>
    </row>
    <row r="873" spans="1:12" ht="21" customHeight="1">
      <c r="A873" s="74" t="s">
        <v>497</v>
      </c>
      <c r="B873" s="98" t="s">
        <v>928</v>
      </c>
      <c r="C873" s="79" t="s">
        <v>257</v>
      </c>
      <c r="D873" s="79" t="s">
        <v>220</v>
      </c>
      <c r="E873" s="75" t="s">
        <v>588</v>
      </c>
      <c r="F873" s="75" t="s">
        <v>499</v>
      </c>
      <c r="G873" s="76">
        <f>'5'!D84</f>
        <v>33170.544000000002</v>
      </c>
      <c r="H873" s="76">
        <f>'5'!E84</f>
        <v>0</v>
      </c>
      <c r="I873" s="76">
        <f>'5'!F84</f>
        <v>0</v>
      </c>
    </row>
    <row r="874" spans="1:12" ht="121.5" customHeight="1">
      <c r="A874" s="78" t="s">
        <v>589</v>
      </c>
      <c r="B874" s="98" t="s">
        <v>220</v>
      </c>
      <c r="C874" s="79" t="s">
        <v>257</v>
      </c>
      <c r="D874" s="79" t="s">
        <v>220</v>
      </c>
      <c r="E874" s="79" t="s">
        <v>590</v>
      </c>
      <c r="F874" s="79" t="s">
        <v>206</v>
      </c>
      <c r="G874" s="76">
        <f t="shared" ref="G874:G875" si="224">G875</f>
        <v>335.05599999999998</v>
      </c>
      <c r="H874" s="76">
        <f t="shared" ref="H874:I875" si="225">H875</f>
        <v>0</v>
      </c>
      <c r="I874" s="76">
        <f t="shared" si="225"/>
        <v>0</v>
      </c>
    </row>
    <row r="875" spans="1:12" ht="50.25" customHeight="1">
      <c r="A875" s="74" t="s">
        <v>284</v>
      </c>
      <c r="B875" s="98" t="s">
        <v>928</v>
      </c>
      <c r="C875" s="75" t="s">
        <v>257</v>
      </c>
      <c r="D875" s="75" t="s">
        <v>220</v>
      </c>
      <c r="E875" s="75" t="s">
        <v>590</v>
      </c>
      <c r="F875" s="75" t="s">
        <v>283</v>
      </c>
      <c r="G875" s="76">
        <f t="shared" si="224"/>
        <v>335.05599999999998</v>
      </c>
      <c r="H875" s="76">
        <f t="shared" si="225"/>
        <v>0</v>
      </c>
      <c r="I875" s="76">
        <f t="shared" si="225"/>
        <v>0</v>
      </c>
    </row>
    <row r="876" spans="1:12" ht="25.5" customHeight="1">
      <c r="A876" s="74" t="s">
        <v>497</v>
      </c>
      <c r="B876" s="98" t="s">
        <v>928</v>
      </c>
      <c r="C876" s="75" t="s">
        <v>257</v>
      </c>
      <c r="D876" s="75" t="s">
        <v>220</v>
      </c>
      <c r="E876" s="75" t="s">
        <v>590</v>
      </c>
      <c r="F876" s="75" t="s">
        <v>499</v>
      </c>
      <c r="G876" s="76">
        <f>'5'!D85</f>
        <v>335.05599999999998</v>
      </c>
      <c r="H876" s="76">
        <f>'5'!E85</f>
        <v>0</v>
      </c>
      <c r="I876" s="76">
        <f>'5'!F85</f>
        <v>0</v>
      </c>
    </row>
    <row r="877" spans="1:12" ht="66.75" customHeight="1">
      <c r="A877" s="132" t="s">
        <v>616</v>
      </c>
      <c r="B877" s="213" t="s">
        <v>928</v>
      </c>
      <c r="C877" s="127" t="s">
        <v>257</v>
      </c>
      <c r="D877" s="127" t="s">
        <v>220</v>
      </c>
      <c r="E877" s="127" t="s">
        <v>617</v>
      </c>
      <c r="F877" s="127" t="s">
        <v>206</v>
      </c>
      <c r="G877" s="129">
        <f t="shared" ref="G877:I878" si="226">G878</f>
        <v>90.049000000000007</v>
      </c>
      <c r="H877" s="129">
        <f t="shared" si="226"/>
        <v>0</v>
      </c>
      <c r="I877" s="129">
        <f t="shared" si="226"/>
        <v>0</v>
      </c>
    </row>
    <row r="878" spans="1:12" ht="47.25" customHeight="1">
      <c r="A878" s="70" t="s">
        <v>284</v>
      </c>
      <c r="B878" s="130" t="s">
        <v>928</v>
      </c>
      <c r="C878" s="71" t="s">
        <v>257</v>
      </c>
      <c r="D878" s="71" t="s">
        <v>220</v>
      </c>
      <c r="E878" s="71" t="s">
        <v>617</v>
      </c>
      <c r="F878" s="71" t="s">
        <v>283</v>
      </c>
      <c r="G878" s="72">
        <f t="shared" si="226"/>
        <v>90.049000000000007</v>
      </c>
      <c r="H878" s="72">
        <f t="shared" si="226"/>
        <v>0</v>
      </c>
      <c r="I878" s="72">
        <f t="shared" si="226"/>
        <v>0</v>
      </c>
    </row>
    <row r="879" spans="1:12" ht="63" customHeight="1">
      <c r="A879" s="70" t="s">
        <v>941</v>
      </c>
      <c r="B879" s="130" t="s">
        <v>928</v>
      </c>
      <c r="C879" s="71" t="s">
        <v>257</v>
      </c>
      <c r="D879" s="71" t="s">
        <v>220</v>
      </c>
      <c r="E879" s="71" t="s">
        <v>617</v>
      </c>
      <c r="F879" s="71" t="s">
        <v>499</v>
      </c>
      <c r="G879" s="72">
        <v>90.049000000000007</v>
      </c>
      <c r="H879" s="72">
        <v>0</v>
      </c>
      <c r="I879" s="72">
        <v>0</v>
      </c>
    </row>
    <row r="880" spans="1:12" ht="60" customHeight="1">
      <c r="A880" s="206" t="s">
        <v>556</v>
      </c>
      <c r="B880" s="207" t="s">
        <v>928</v>
      </c>
      <c r="C880" s="208" t="s">
        <v>257</v>
      </c>
      <c r="D880" s="208" t="s">
        <v>236</v>
      </c>
      <c r="E880" s="208" t="s">
        <v>493</v>
      </c>
      <c r="F880" s="208" t="s">
        <v>206</v>
      </c>
      <c r="G880" s="209">
        <f>G882+G903</f>
        <v>125</v>
      </c>
      <c r="H880" s="209">
        <f t="shared" ref="H880:I880" si="227">H882+H903</f>
        <v>75</v>
      </c>
      <c r="I880" s="209">
        <f t="shared" si="227"/>
        <v>75</v>
      </c>
      <c r="J880" s="184"/>
      <c r="K880" s="184"/>
      <c r="L880" s="184"/>
    </row>
    <row r="881" spans="1:9" ht="34.15" customHeight="1">
      <c r="A881" s="108" t="s">
        <v>942</v>
      </c>
      <c r="B881" s="98" t="s">
        <v>928</v>
      </c>
      <c r="C881" s="75" t="s">
        <v>257</v>
      </c>
      <c r="D881" s="75" t="s">
        <v>236</v>
      </c>
      <c r="E881" s="75" t="s">
        <v>619</v>
      </c>
      <c r="F881" s="75" t="s">
        <v>206</v>
      </c>
      <c r="G881" s="76">
        <f t="shared" ref="G881:G883" si="228">G882</f>
        <v>100</v>
      </c>
      <c r="H881" s="76">
        <f t="shared" ref="H881:I883" si="229">H882</f>
        <v>50</v>
      </c>
      <c r="I881" s="76">
        <f t="shared" si="229"/>
        <v>50</v>
      </c>
    </row>
    <row r="882" spans="1:9" ht="29.45" customHeight="1">
      <c r="A882" s="74" t="s">
        <v>620</v>
      </c>
      <c r="B882" s="98" t="s">
        <v>928</v>
      </c>
      <c r="C882" s="75" t="s">
        <v>257</v>
      </c>
      <c r="D882" s="75" t="s">
        <v>236</v>
      </c>
      <c r="E882" s="75" t="s">
        <v>621</v>
      </c>
      <c r="F882" s="75" t="s">
        <v>206</v>
      </c>
      <c r="G882" s="76">
        <f t="shared" si="228"/>
        <v>100</v>
      </c>
      <c r="H882" s="76">
        <f t="shared" si="229"/>
        <v>50</v>
      </c>
      <c r="I882" s="76">
        <f t="shared" si="229"/>
        <v>50</v>
      </c>
    </row>
    <row r="883" spans="1:9" ht="47.25">
      <c r="A883" s="74" t="s">
        <v>284</v>
      </c>
      <c r="B883" s="98" t="s">
        <v>928</v>
      </c>
      <c r="C883" s="75" t="s">
        <v>257</v>
      </c>
      <c r="D883" s="75" t="s">
        <v>236</v>
      </c>
      <c r="E883" s="75" t="s">
        <v>621</v>
      </c>
      <c r="F883" s="75" t="s">
        <v>283</v>
      </c>
      <c r="G883" s="76">
        <f t="shared" si="228"/>
        <v>100</v>
      </c>
      <c r="H883" s="76">
        <f t="shared" si="229"/>
        <v>50</v>
      </c>
      <c r="I883" s="76">
        <f t="shared" si="229"/>
        <v>50</v>
      </c>
    </row>
    <row r="884" spans="1:9">
      <c r="A884" s="74" t="s">
        <v>497</v>
      </c>
      <c r="B884" s="98" t="s">
        <v>928</v>
      </c>
      <c r="C884" s="75" t="s">
        <v>257</v>
      </c>
      <c r="D884" s="75" t="s">
        <v>236</v>
      </c>
      <c r="E884" s="75" t="s">
        <v>621</v>
      </c>
      <c r="F884" s="75" t="s">
        <v>499</v>
      </c>
      <c r="G884" s="76">
        <f>'5'!D93</f>
        <v>100</v>
      </c>
      <c r="H884" s="76">
        <v>50</v>
      </c>
      <c r="I884" s="76">
        <v>50</v>
      </c>
    </row>
    <row r="885" spans="1:9" ht="47.25" hidden="1">
      <c r="A885" s="78" t="s">
        <v>943</v>
      </c>
      <c r="B885" s="128" t="s">
        <v>928</v>
      </c>
      <c r="C885" s="79" t="s">
        <v>257</v>
      </c>
      <c r="D885" s="79" t="s">
        <v>257</v>
      </c>
      <c r="E885" s="79" t="s">
        <v>493</v>
      </c>
      <c r="F885" s="79" t="s">
        <v>206</v>
      </c>
      <c r="G885" s="80">
        <f>G886+G894</f>
        <v>0</v>
      </c>
      <c r="H885" s="80">
        <f>H886+H894</f>
        <v>0</v>
      </c>
      <c r="I885" s="80">
        <f>I886+I894</f>
        <v>0</v>
      </c>
    </row>
    <row r="886" spans="1:9" ht="31.5" hidden="1" customHeight="1">
      <c r="A886" s="108" t="s">
        <v>544</v>
      </c>
      <c r="B886" s="98" t="s">
        <v>928</v>
      </c>
      <c r="C886" s="75" t="s">
        <v>257</v>
      </c>
      <c r="D886" s="75" t="s">
        <v>257</v>
      </c>
      <c r="E886" s="75" t="s">
        <v>545</v>
      </c>
      <c r="F886" s="75" t="s">
        <v>206</v>
      </c>
      <c r="G886" s="76">
        <f>G887</f>
        <v>0</v>
      </c>
      <c r="H886" s="76">
        <f>H887</f>
        <v>0</v>
      </c>
      <c r="I886" s="76">
        <f>I887</f>
        <v>0</v>
      </c>
    </row>
    <row r="887" spans="1:9" ht="63" hidden="1">
      <c r="A887" s="78" t="s">
        <v>586</v>
      </c>
      <c r="B887" s="128" t="s">
        <v>928</v>
      </c>
      <c r="C887" s="79" t="s">
        <v>257</v>
      </c>
      <c r="D887" s="79" t="s">
        <v>257</v>
      </c>
      <c r="E887" s="79" t="s">
        <v>205</v>
      </c>
      <c r="F887" s="79" t="s">
        <v>206</v>
      </c>
      <c r="G887" s="80">
        <f>G888+G891</f>
        <v>0</v>
      </c>
      <c r="H887" s="80">
        <f>H888+H891</f>
        <v>0</v>
      </c>
      <c r="I887" s="80">
        <f>I888+I891</f>
        <v>0</v>
      </c>
    </row>
    <row r="888" spans="1:9" ht="78.75" hidden="1">
      <c r="A888" s="74" t="s">
        <v>587</v>
      </c>
      <c r="B888" s="98" t="s">
        <v>928</v>
      </c>
      <c r="C888" s="75" t="s">
        <v>257</v>
      </c>
      <c r="D888" s="75" t="s">
        <v>257</v>
      </c>
      <c r="E888" s="75" t="s">
        <v>588</v>
      </c>
      <c r="F888" s="75" t="s">
        <v>206</v>
      </c>
      <c r="G888" s="76">
        <f>G889+G891</f>
        <v>0</v>
      </c>
      <c r="H888" s="76">
        <f>H889+H891</f>
        <v>0</v>
      </c>
      <c r="I888" s="76">
        <f>I889+I891</f>
        <v>0</v>
      </c>
    </row>
    <row r="889" spans="1:9" ht="47.25" hidden="1">
      <c r="A889" s="74" t="s">
        <v>284</v>
      </c>
      <c r="B889" s="98" t="s">
        <v>928</v>
      </c>
      <c r="C889" s="75" t="s">
        <v>257</v>
      </c>
      <c r="D889" s="75" t="s">
        <v>257</v>
      </c>
      <c r="E889" s="75" t="s">
        <v>588</v>
      </c>
      <c r="F889" s="75" t="s">
        <v>283</v>
      </c>
      <c r="G889" s="76">
        <f>G890</f>
        <v>0</v>
      </c>
      <c r="H889" s="76">
        <f>H890</f>
        <v>0</v>
      </c>
      <c r="I889" s="76">
        <f>I890</f>
        <v>0</v>
      </c>
    </row>
    <row r="890" spans="1:9" hidden="1">
      <c r="A890" s="74" t="s">
        <v>497</v>
      </c>
      <c r="B890" s="98" t="s">
        <v>928</v>
      </c>
      <c r="C890" s="75" t="s">
        <v>257</v>
      </c>
      <c r="D890" s="75" t="s">
        <v>257</v>
      </c>
      <c r="E890" s="75" t="s">
        <v>588</v>
      </c>
      <c r="F890" s="75" t="s">
        <v>499</v>
      </c>
      <c r="G890" s="76"/>
      <c r="H890" s="76"/>
      <c r="I890" s="76"/>
    </row>
    <row r="891" spans="1:9" ht="110.25" hidden="1">
      <c r="A891" s="74" t="s">
        <v>632</v>
      </c>
      <c r="B891" s="98" t="s">
        <v>928</v>
      </c>
      <c r="C891" s="75" t="s">
        <v>257</v>
      </c>
      <c r="D891" s="75" t="s">
        <v>257</v>
      </c>
      <c r="E891" s="75" t="s">
        <v>944</v>
      </c>
      <c r="F891" s="75" t="s">
        <v>206</v>
      </c>
      <c r="G891" s="76">
        <f t="shared" ref="G891:I894" si="230">G892</f>
        <v>0</v>
      </c>
      <c r="H891" s="76">
        <f t="shared" si="230"/>
        <v>0</v>
      </c>
      <c r="I891" s="76">
        <f t="shared" si="230"/>
        <v>0</v>
      </c>
    </row>
    <row r="892" spans="1:9" ht="47.25" hidden="1">
      <c r="A892" s="74" t="s">
        <v>284</v>
      </c>
      <c r="B892" s="98" t="s">
        <v>928</v>
      </c>
      <c r="C892" s="75" t="s">
        <v>257</v>
      </c>
      <c r="D892" s="75" t="s">
        <v>257</v>
      </c>
      <c r="E892" s="75" t="s">
        <v>944</v>
      </c>
      <c r="F892" s="75" t="s">
        <v>283</v>
      </c>
      <c r="G892" s="76">
        <f t="shared" si="230"/>
        <v>0</v>
      </c>
      <c r="H892" s="76">
        <f t="shared" si="230"/>
        <v>0</v>
      </c>
      <c r="I892" s="76">
        <f t="shared" si="230"/>
        <v>0</v>
      </c>
    </row>
    <row r="893" spans="1:9" hidden="1">
      <c r="A893" s="74" t="s">
        <v>497</v>
      </c>
      <c r="B893" s="98" t="s">
        <v>928</v>
      </c>
      <c r="C893" s="75" t="s">
        <v>257</v>
      </c>
      <c r="D893" s="75" t="s">
        <v>257</v>
      </c>
      <c r="E893" s="75" t="s">
        <v>944</v>
      </c>
      <c r="F893" s="75" t="s">
        <v>499</v>
      </c>
      <c r="G893" s="76"/>
      <c r="H893" s="76"/>
      <c r="I893" s="76"/>
    </row>
    <row r="894" spans="1:9" ht="31.5" hidden="1" customHeight="1">
      <c r="A894" s="108" t="s">
        <v>626</v>
      </c>
      <c r="B894" s="98" t="s">
        <v>928</v>
      </c>
      <c r="C894" s="75" t="s">
        <v>257</v>
      </c>
      <c r="D894" s="75" t="s">
        <v>257</v>
      </c>
      <c r="E894" s="75" t="s">
        <v>627</v>
      </c>
      <c r="F894" s="75" t="s">
        <v>206</v>
      </c>
      <c r="G894" s="76">
        <f t="shared" si="230"/>
        <v>0</v>
      </c>
      <c r="H894" s="76">
        <f>H895</f>
        <v>0</v>
      </c>
      <c r="I894" s="76">
        <f>I895</f>
        <v>0</v>
      </c>
    </row>
    <row r="895" spans="1:9" ht="78.75" hidden="1" customHeight="1">
      <c r="A895" s="100" t="s">
        <v>628</v>
      </c>
      <c r="B895" s="133" t="s">
        <v>928</v>
      </c>
      <c r="C895" s="101" t="s">
        <v>257</v>
      </c>
      <c r="D895" s="101" t="s">
        <v>257</v>
      </c>
      <c r="E895" s="101" t="s">
        <v>627</v>
      </c>
      <c r="F895" s="101" t="s">
        <v>206</v>
      </c>
      <c r="G895" s="102">
        <f>G896+G900</f>
        <v>0</v>
      </c>
      <c r="H895" s="102">
        <f>H896+H900</f>
        <v>0</v>
      </c>
      <c r="I895" s="102">
        <f>I896+I900</f>
        <v>0</v>
      </c>
    </row>
    <row r="896" spans="1:9" ht="47.25" hidden="1">
      <c r="A896" s="74" t="s">
        <v>284</v>
      </c>
      <c r="B896" s="98" t="s">
        <v>928</v>
      </c>
      <c r="C896" s="75" t="s">
        <v>257</v>
      </c>
      <c r="D896" s="75" t="s">
        <v>257</v>
      </c>
      <c r="E896" s="75" t="s">
        <v>629</v>
      </c>
      <c r="F896" s="75" t="s">
        <v>283</v>
      </c>
      <c r="G896" s="76">
        <f>G897</f>
        <v>0</v>
      </c>
      <c r="H896" s="76">
        <f>H897</f>
        <v>0</v>
      </c>
      <c r="I896" s="76">
        <f>I897</f>
        <v>0</v>
      </c>
    </row>
    <row r="897" spans="1:10" hidden="1">
      <c r="A897" s="74" t="s">
        <v>497</v>
      </c>
      <c r="B897" s="98" t="s">
        <v>928</v>
      </c>
      <c r="C897" s="75" t="s">
        <v>257</v>
      </c>
      <c r="D897" s="75" t="s">
        <v>257</v>
      </c>
      <c r="E897" s="75" t="s">
        <v>629</v>
      </c>
      <c r="F897" s="75" t="s">
        <v>499</v>
      </c>
      <c r="G897" s="76"/>
      <c r="H897" s="76"/>
      <c r="I897" s="76"/>
    </row>
    <row r="898" spans="1:10" ht="47.25" hidden="1">
      <c r="A898" s="74" t="s">
        <v>284</v>
      </c>
      <c r="B898" s="98" t="s">
        <v>928</v>
      </c>
      <c r="C898" s="75" t="s">
        <v>257</v>
      </c>
      <c r="D898" s="75" t="s">
        <v>257</v>
      </c>
      <c r="E898" s="75" t="s">
        <v>629</v>
      </c>
      <c r="F898" s="75" t="s">
        <v>283</v>
      </c>
      <c r="G898" s="76">
        <f>G899</f>
        <v>0</v>
      </c>
      <c r="H898" s="76">
        <f>H899</f>
        <v>0</v>
      </c>
      <c r="I898" s="76">
        <f>I899</f>
        <v>0</v>
      </c>
    </row>
    <row r="899" spans="1:10" hidden="1">
      <c r="A899" s="74" t="s">
        <v>497</v>
      </c>
      <c r="B899" s="98" t="s">
        <v>928</v>
      </c>
      <c r="C899" s="75" t="s">
        <v>257</v>
      </c>
      <c r="D899" s="75" t="s">
        <v>257</v>
      </c>
      <c r="E899" s="75" t="s">
        <v>629</v>
      </c>
      <c r="F899" s="75" t="s">
        <v>499</v>
      </c>
      <c r="G899" s="76"/>
      <c r="H899" s="76"/>
      <c r="I899" s="76"/>
    </row>
    <row r="900" spans="1:10" ht="63" hidden="1">
      <c r="A900" s="74" t="s">
        <v>634</v>
      </c>
      <c r="B900" s="98" t="s">
        <v>928</v>
      </c>
      <c r="C900" s="75" t="s">
        <v>257</v>
      </c>
      <c r="D900" s="75" t="s">
        <v>257</v>
      </c>
      <c r="E900" s="75" t="s">
        <v>635</v>
      </c>
      <c r="F900" s="75" t="s">
        <v>206</v>
      </c>
      <c r="G900" s="76">
        <f t="shared" ref="G900:I904" si="231">G901</f>
        <v>0</v>
      </c>
      <c r="H900" s="76">
        <f t="shared" si="231"/>
        <v>0</v>
      </c>
      <c r="I900" s="76">
        <f t="shared" si="231"/>
        <v>0</v>
      </c>
    </row>
    <row r="901" spans="1:10" ht="47.25" hidden="1">
      <c r="A901" s="74" t="s">
        <v>284</v>
      </c>
      <c r="B901" s="98" t="s">
        <v>928</v>
      </c>
      <c r="C901" s="75" t="s">
        <v>257</v>
      </c>
      <c r="D901" s="75" t="s">
        <v>257</v>
      </c>
      <c r="E901" s="75" t="s">
        <v>635</v>
      </c>
      <c r="F901" s="75" t="s">
        <v>283</v>
      </c>
      <c r="G901" s="76">
        <f t="shared" si="231"/>
        <v>0</v>
      </c>
      <c r="H901" s="76">
        <f t="shared" si="231"/>
        <v>0</v>
      </c>
      <c r="I901" s="76">
        <f t="shared" si="231"/>
        <v>0</v>
      </c>
    </row>
    <row r="902" spans="1:10" hidden="1">
      <c r="A902" s="74" t="s">
        <v>497</v>
      </c>
      <c r="B902" s="98" t="s">
        <v>928</v>
      </c>
      <c r="C902" s="75" t="s">
        <v>257</v>
      </c>
      <c r="D902" s="75" t="s">
        <v>257</v>
      </c>
      <c r="E902" s="75" t="s">
        <v>635</v>
      </c>
      <c r="F902" s="75" t="s">
        <v>499</v>
      </c>
      <c r="G902" s="76"/>
      <c r="H902" s="76"/>
      <c r="I902" s="76"/>
    </row>
    <row r="903" spans="1:10" ht="63">
      <c r="A903" s="74" t="s">
        <v>622</v>
      </c>
      <c r="B903" s="98" t="s">
        <v>928</v>
      </c>
      <c r="C903" s="75" t="s">
        <v>257</v>
      </c>
      <c r="D903" s="75" t="s">
        <v>236</v>
      </c>
      <c r="E903" s="75" t="s">
        <v>623</v>
      </c>
      <c r="F903" s="75" t="s">
        <v>206</v>
      </c>
      <c r="G903" s="76">
        <f t="shared" si="231"/>
        <v>25</v>
      </c>
      <c r="H903" s="76">
        <f t="shared" si="231"/>
        <v>25</v>
      </c>
      <c r="I903" s="76">
        <f t="shared" si="231"/>
        <v>25</v>
      </c>
    </row>
    <row r="904" spans="1:10" ht="31.5">
      <c r="A904" s="74" t="s">
        <v>223</v>
      </c>
      <c r="B904" s="98" t="s">
        <v>928</v>
      </c>
      <c r="C904" s="75" t="s">
        <v>257</v>
      </c>
      <c r="D904" s="75" t="s">
        <v>236</v>
      </c>
      <c r="E904" s="75" t="s">
        <v>623</v>
      </c>
      <c r="F904" s="75" t="s">
        <v>224</v>
      </c>
      <c r="G904" s="76">
        <f t="shared" si="231"/>
        <v>25</v>
      </c>
      <c r="H904" s="76">
        <f t="shared" si="231"/>
        <v>25</v>
      </c>
      <c r="I904" s="76">
        <f t="shared" si="231"/>
        <v>25</v>
      </c>
    </row>
    <row r="905" spans="1:10" ht="47.25">
      <c r="A905" s="74" t="s">
        <v>225</v>
      </c>
      <c r="B905" s="98" t="s">
        <v>928</v>
      </c>
      <c r="C905" s="75" t="s">
        <v>257</v>
      </c>
      <c r="D905" s="75" t="s">
        <v>236</v>
      </c>
      <c r="E905" s="75" t="s">
        <v>623</v>
      </c>
      <c r="F905" s="75" t="s">
        <v>226</v>
      </c>
      <c r="G905" s="76">
        <v>25</v>
      </c>
      <c r="H905" s="76">
        <v>25</v>
      </c>
      <c r="I905" s="76">
        <v>25</v>
      </c>
    </row>
    <row r="906" spans="1:10" ht="18.600000000000001" customHeight="1">
      <c r="A906" s="206" t="s">
        <v>636</v>
      </c>
      <c r="B906" s="207" t="s">
        <v>928</v>
      </c>
      <c r="C906" s="208" t="s">
        <v>257</v>
      </c>
      <c r="D906" s="208" t="s">
        <v>353</v>
      </c>
      <c r="E906" s="208" t="s">
        <v>205</v>
      </c>
      <c r="F906" s="208" t="s">
        <v>206</v>
      </c>
      <c r="G906" s="209">
        <f>G909+G912+G916+G926+G942+G943+G947+G952+G957+G962</f>
        <v>84052.505369999999</v>
      </c>
      <c r="H906" s="209">
        <f t="shared" ref="H906:I906" si="232">H909+H912+H916+H926+H942+H943+H947+H952+H957+H962</f>
        <v>73437.09173</v>
      </c>
      <c r="I906" s="209">
        <f t="shared" si="232"/>
        <v>75188.76344000001</v>
      </c>
      <c r="J906" s="184"/>
    </row>
    <row r="907" spans="1:10" ht="52.5" customHeight="1">
      <c r="A907" s="78" t="s">
        <v>315</v>
      </c>
      <c r="B907" s="128" t="s">
        <v>928</v>
      </c>
      <c r="C907" s="79" t="s">
        <v>257</v>
      </c>
      <c r="D907" s="79" t="s">
        <v>353</v>
      </c>
      <c r="E907" s="79" t="s">
        <v>205</v>
      </c>
      <c r="F907" s="79" t="s">
        <v>206</v>
      </c>
      <c r="G907" s="80">
        <f>G915+G908</f>
        <v>8337.6330100000014</v>
      </c>
      <c r="H907" s="80">
        <f t="shared" ref="H907:I907" si="233">H915+H908</f>
        <v>5812.8</v>
      </c>
      <c r="I907" s="80">
        <f t="shared" si="233"/>
        <v>5812.8</v>
      </c>
    </row>
    <row r="908" spans="1:10" ht="150" customHeight="1">
      <c r="A908" s="78" t="s">
        <v>639</v>
      </c>
      <c r="B908" s="128" t="s">
        <v>928</v>
      </c>
      <c r="C908" s="79" t="s">
        <v>257</v>
      </c>
      <c r="D908" s="79" t="s">
        <v>353</v>
      </c>
      <c r="E908" s="79" t="s">
        <v>545</v>
      </c>
      <c r="F908" s="79" t="s">
        <v>206</v>
      </c>
      <c r="G908" s="80">
        <f>G909+G912</f>
        <v>4190.5805100000007</v>
      </c>
      <c r="H908" s="80">
        <f>H909+H912</f>
        <v>0</v>
      </c>
      <c r="I908" s="80">
        <f>I909+I912</f>
        <v>0</v>
      </c>
    </row>
    <row r="909" spans="1:10" ht="150.75" customHeight="1">
      <c r="A909" s="74" t="s">
        <v>640</v>
      </c>
      <c r="B909" s="128" t="s">
        <v>928</v>
      </c>
      <c r="C909" s="79" t="s">
        <v>257</v>
      </c>
      <c r="D909" s="79" t="s">
        <v>353</v>
      </c>
      <c r="E909" s="98" t="s">
        <v>641</v>
      </c>
      <c r="F909" s="79" t="s">
        <v>206</v>
      </c>
      <c r="G909" s="76">
        <f t="shared" ref="G909:I910" si="234">G910</f>
        <v>4148.6747000000005</v>
      </c>
      <c r="H909" s="76">
        <f t="shared" si="234"/>
        <v>0</v>
      </c>
      <c r="I909" s="76">
        <f t="shared" si="234"/>
        <v>0</v>
      </c>
    </row>
    <row r="910" spans="1:10" ht="52.5" customHeight="1">
      <c r="A910" s="74" t="s">
        <v>284</v>
      </c>
      <c r="B910" s="128" t="s">
        <v>928</v>
      </c>
      <c r="C910" s="79" t="s">
        <v>257</v>
      </c>
      <c r="D910" s="79" t="s">
        <v>353</v>
      </c>
      <c r="E910" s="98" t="s">
        <v>641</v>
      </c>
      <c r="F910" s="79" t="s">
        <v>283</v>
      </c>
      <c r="G910" s="76">
        <f t="shared" si="234"/>
        <v>4148.6747000000005</v>
      </c>
      <c r="H910" s="76">
        <f t="shared" si="234"/>
        <v>0</v>
      </c>
      <c r="I910" s="76">
        <f t="shared" si="234"/>
        <v>0</v>
      </c>
    </row>
    <row r="911" spans="1:10" ht="19.5" customHeight="1">
      <c r="A911" s="74" t="s">
        <v>497</v>
      </c>
      <c r="B911" s="128" t="s">
        <v>928</v>
      </c>
      <c r="C911" s="79" t="s">
        <v>257</v>
      </c>
      <c r="D911" s="79" t="s">
        <v>353</v>
      </c>
      <c r="E911" s="98" t="s">
        <v>641</v>
      </c>
      <c r="F911" s="79" t="s">
        <v>499</v>
      </c>
      <c r="G911" s="76">
        <f>'5'!D90</f>
        <v>4148.6747000000005</v>
      </c>
      <c r="H911" s="76">
        <f>'5'!E90</f>
        <v>0</v>
      </c>
      <c r="I911" s="76">
        <f>'5'!F90</f>
        <v>0</v>
      </c>
    </row>
    <row r="912" spans="1:10" ht="152.25" customHeight="1">
      <c r="A912" s="74" t="s">
        <v>642</v>
      </c>
      <c r="B912" s="128" t="s">
        <v>928</v>
      </c>
      <c r="C912" s="79" t="s">
        <v>257</v>
      </c>
      <c r="D912" s="79" t="s">
        <v>353</v>
      </c>
      <c r="E912" s="79" t="s">
        <v>641</v>
      </c>
      <c r="F912" s="79" t="s">
        <v>206</v>
      </c>
      <c r="G912" s="76">
        <f t="shared" ref="G912:I913" si="235">G913</f>
        <v>41.905810000000002</v>
      </c>
      <c r="H912" s="76">
        <f t="shared" si="235"/>
        <v>0</v>
      </c>
      <c r="I912" s="76">
        <f t="shared" si="235"/>
        <v>0</v>
      </c>
    </row>
    <row r="913" spans="1:9" ht="49.5" customHeight="1">
      <c r="A913" s="74" t="s">
        <v>284</v>
      </c>
      <c r="B913" s="128" t="s">
        <v>928</v>
      </c>
      <c r="C913" s="79" t="s">
        <v>257</v>
      </c>
      <c r="D913" s="79" t="s">
        <v>353</v>
      </c>
      <c r="E913" s="79" t="s">
        <v>641</v>
      </c>
      <c r="F913" s="79" t="s">
        <v>283</v>
      </c>
      <c r="G913" s="76">
        <f t="shared" si="235"/>
        <v>41.905810000000002</v>
      </c>
      <c r="H913" s="76">
        <f t="shared" si="235"/>
        <v>0</v>
      </c>
      <c r="I913" s="76">
        <f t="shared" si="235"/>
        <v>0</v>
      </c>
    </row>
    <row r="914" spans="1:9" ht="21" customHeight="1">
      <c r="A914" s="74" t="s">
        <v>497</v>
      </c>
      <c r="B914" s="128" t="s">
        <v>928</v>
      </c>
      <c r="C914" s="79" t="s">
        <v>257</v>
      </c>
      <c r="D914" s="79" t="s">
        <v>353</v>
      </c>
      <c r="E914" s="79" t="s">
        <v>641</v>
      </c>
      <c r="F914" s="79" t="s">
        <v>499</v>
      </c>
      <c r="G914" s="76">
        <f>'5'!D91</f>
        <v>41.905810000000002</v>
      </c>
      <c r="H914" s="76">
        <f>'5'!E91</f>
        <v>0</v>
      </c>
      <c r="I914" s="76">
        <f>'5'!F91</f>
        <v>0</v>
      </c>
    </row>
    <row r="915" spans="1:9" ht="31.9" customHeight="1">
      <c r="A915" s="108" t="s">
        <v>626</v>
      </c>
      <c r="B915" s="98" t="s">
        <v>928</v>
      </c>
      <c r="C915" s="75" t="s">
        <v>257</v>
      </c>
      <c r="D915" s="75" t="s">
        <v>353</v>
      </c>
      <c r="E915" s="75" t="s">
        <v>627</v>
      </c>
      <c r="F915" s="75" t="s">
        <v>206</v>
      </c>
      <c r="G915" s="76">
        <f>G916</f>
        <v>4147.0524999999998</v>
      </c>
      <c r="H915" s="76">
        <f t="shared" ref="H915:I915" si="236">H916</f>
        <v>5812.8</v>
      </c>
      <c r="I915" s="76">
        <f t="shared" si="236"/>
        <v>5812.8</v>
      </c>
    </row>
    <row r="916" spans="1:9" ht="63.75" customHeight="1">
      <c r="A916" s="74" t="s">
        <v>628</v>
      </c>
      <c r="B916" s="98" t="s">
        <v>928</v>
      </c>
      <c r="C916" s="75" t="s">
        <v>257</v>
      </c>
      <c r="D916" s="75" t="s">
        <v>353</v>
      </c>
      <c r="E916" s="75" t="s">
        <v>627</v>
      </c>
      <c r="F916" s="75" t="s">
        <v>206</v>
      </c>
      <c r="G916" s="76">
        <f>G917+G919+G921</f>
        <v>4147.0524999999998</v>
      </c>
      <c r="H916" s="76">
        <f>H917+H919+H921</f>
        <v>5812.8</v>
      </c>
      <c r="I916" s="76">
        <f>I917+I919+I921</f>
        <v>5812.8</v>
      </c>
    </row>
    <row r="917" spans="1:9" ht="54.75" customHeight="1">
      <c r="A917" s="74" t="s">
        <v>284</v>
      </c>
      <c r="B917" s="98" t="s">
        <v>928</v>
      </c>
      <c r="C917" s="75" t="s">
        <v>257</v>
      </c>
      <c r="D917" s="75" t="s">
        <v>353</v>
      </c>
      <c r="E917" s="75" t="s">
        <v>629</v>
      </c>
      <c r="F917" s="75" t="s">
        <v>283</v>
      </c>
      <c r="G917" s="76">
        <f>G918</f>
        <v>4147.0524999999998</v>
      </c>
      <c r="H917" s="76">
        <f>H918</f>
        <v>5812.8</v>
      </c>
      <c r="I917" s="76">
        <f>I918</f>
        <v>5812.8</v>
      </c>
    </row>
    <row r="918" spans="1:9" ht="18.600000000000001" customHeight="1">
      <c r="A918" s="74" t="s">
        <v>497</v>
      </c>
      <c r="B918" s="98" t="s">
        <v>928</v>
      </c>
      <c r="C918" s="75" t="s">
        <v>257</v>
      </c>
      <c r="D918" s="75" t="s">
        <v>353</v>
      </c>
      <c r="E918" s="75" t="s">
        <v>629</v>
      </c>
      <c r="F918" s="75" t="s">
        <v>499</v>
      </c>
      <c r="G918" s="76">
        <f>'3'!F635</f>
        <v>4147.0524999999998</v>
      </c>
      <c r="H918" s="76">
        <f>'3'!G635</f>
        <v>5812.8</v>
      </c>
      <c r="I918" s="76">
        <f>'3'!H635</f>
        <v>5812.8</v>
      </c>
    </row>
    <row r="919" spans="1:9" ht="47.25" hidden="1" customHeight="1">
      <c r="A919" s="74" t="s">
        <v>284</v>
      </c>
      <c r="B919" s="98" t="s">
        <v>928</v>
      </c>
      <c r="C919" s="75" t="s">
        <v>257</v>
      </c>
      <c r="D919" s="75" t="s">
        <v>353</v>
      </c>
      <c r="E919" s="75" t="s">
        <v>629</v>
      </c>
      <c r="F919" s="75" t="s">
        <v>283</v>
      </c>
      <c r="G919" s="76">
        <f>G920</f>
        <v>0</v>
      </c>
      <c r="H919" s="76">
        <f>H920</f>
        <v>0</v>
      </c>
      <c r="I919" s="76">
        <f>I920</f>
        <v>0</v>
      </c>
    </row>
    <row r="920" spans="1:9" ht="15.75" hidden="1" customHeight="1">
      <c r="A920" s="74" t="s">
        <v>497</v>
      </c>
      <c r="B920" s="98" t="s">
        <v>928</v>
      </c>
      <c r="C920" s="75" t="s">
        <v>257</v>
      </c>
      <c r="D920" s="75" t="s">
        <v>353</v>
      </c>
      <c r="E920" s="75" t="s">
        <v>629</v>
      </c>
      <c r="F920" s="75" t="s">
        <v>499</v>
      </c>
      <c r="G920" s="76"/>
      <c r="H920" s="76"/>
      <c r="I920" s="76"/>
    </row>
    <row r="921" spans="1:9" ht="63" hidden="1" customHeight="1">
      <c r="A921" s="74" t="s">
        <v>634</v>
      </c>
      <c r="B921" s="98" t="s">
        <v>928</v>
      </c>
      <c r="C921" s="75" t="s">
        <v>257</v>
      </c>
      <c r="D921" s="75" t="s">
        <v>353</v>
      </c>
      <c r="E921" s="75" t="s">
        <v>635</v>
      </c>
      <c r="F921" s="75" t="s">
        <v>206</v>
      </c>
      <c r="G921" s="76">
        <f t="shared" ref="G921:I924" si="237">G922</f>
        <v>0</v>
      </c>
      <c r="H921" s="76">
        <f t="shared" si="237"/>
        <v>0</v>
      </c>
      <c r="I921" s="76">
        <f t="shared" si="237"/>
        <v>0</v>
      </c>
    </row>
    <row r="922" spans="1:9" ht="47.25" hidden="1" customHeight="1">
      <c r="A922" s="74" t="s">
        <v>284</v>
      </c>
      <c r="B922" s="98" t="s">
        <v>928</v>
      </c>
      <c r="C922" s="75" t="s">
        <v>257</v>
      </c>
      <c r="D922" s="75" t="s">
        <v>353</v>
      </c>
      <c r="E922" s="75" t="s">
        <v>635</v>
      </c>
      <c r="F922" s="75" t="s">
        <v>283</v>
      </c>
      <c r="G922" s="76">
        <f t="shared" si="237"/>
        <v>0</v>
      </c>
      <c r="H922" s="76">
        <f t="shared" si="237"/>
        <v>0</v>
      </c>
      <c r="I922" s="76">
        <f t="shared" si="237"/>
        <v>0</v>
      </c>
    </row>
    <row r="923" spans="1:9" ht="15.75" hidden="1" customHeight="1">
      <c r="A923" s="74" t="s">
        <v>497</v>
      </c>
      <c r="B923" s="98" t="s">
        <v>928</v>
      </c>
      <c r="C923" s="75" t="s">
        <v>257</v>
      </c>
      <c r="D923" s="75" t="s">
        <v>353</v>
      </c>
      <c r="E923" s="75" t="s">
        <v>635</v>
      </c>
      <c r="F923" s="75" t="s">
        <v>499</v>
      </c>
      <c r="G923" s="76"/>
      <c r="H923" s="76"/>
      <c r="I923" s="76"/>
    </row>
    <row r="924" spans="1:9" ht="50.25" customHeight="1">
      <c r="A924" s="78" t="s">
        <v>315</v>
      </c>
      <c r="B924" s="128" t="s">
        <v>928</v>
      </c>
      <c r="C924" s="79" t="s">
        <v>257</v>
      </c>
      <c r="D924" s="79" t="s">
        <v>353</v>
      </c>
      <c r="E924" s="79" t="s">
        <v>493</v>
      </c>
      <c r="F924" s="79" t="s">
        <v>206</v>
      </c>
      <c r="G924" s="80">
        <f t="shared" si="237"/>
        <v>70679.872359999994</v>
      </c>
      <c r="H924" s="80">
        <f>H925</f>
        <v>64964.291729999997</v>
      </c>
      <c r="I924" s="80">
        <f>I925</f>
        <v>67949.963440000007</v>
      </c>
    </row>
    <row r="925" spans="1:9" ht="41.25" customHeight="1">
      <c r="A925" s="108" t="s">
        <v>643</v>
      </c>
      <c r="B925" s="98" t="s">
        <v>928</v>
      </c>
      <c r="C925" s="75" t="s">
        <v>257</v>
      </c>
      <c r="D925" s="75" t="s">
        <v>353</v>
      </c>
      <c r="E925" s="75" t="s">
        <v>646</v>
      </c>
      <c r="F925" s="75" t="s">
        <v>206</v>
      </c>
      <c r="G925" s="76">
        <f>'5'!D98</f>
        <v>70679.872359999994</v>
      </c>
      <c r="H925" s="76">
        <f>H926+H934</f>
        <v>64964.291729999997</v>
      </c>
      <c r="I925" s="76">
        <f>I926+I934</f>
        <v>67949.963440000007</v>
      </c>
    </row>
    <row r="926" spans="1:9" ht="75" customHeight="1">
      <c r="A926" s="74" t="s">
        <v>945</v>
      </c>
      <c r="B926" s="98" t="s">
        <v>928</v>
      </c>
      <c r="C926" s="75" t="s">
        <v>257</v>
      </c>
      <c r="D926" s="75" t="s">
        <v>353</v>
      </c>
      <c r="E926" s="75" t="s">
        <v>646</v>
      </c>
      <c r="F926" s="75" t="s">
        <v>206</v>
      </c>
      <c r="G926" s="76">
        <f>G927+G929+G931</f>
        <v>70679.872359999994</v>
      </c>
      <c r="H926" s="76">
        <f>H927+H929+H931</f>
        <v>64964.291729999997</v>
      </c>
      <c r="I926" s="76">
        <f>I927+I929+I931</f>
        <v>67949.963440000007</v>
      </c>
    </row>
    <row r="927" spans="1:9" ht="105.75" customHeight="1">
      <c r="A927" s="74" t="s">
        <v>215</v>
      </c>
      <c r="B927" s="98" t="s">
        <v>928</v>
      </c>
      <c r="C927" s="75" t="s">
        <v>257</v>
      </c>
      <c r="D927" s="75" t="s">
        <v>353</v>
      </c>
      <c r="E927" s="75" t="s">
        <v>646</v>
      </c>
      <c r="F927" s="75" t="s">
        <v>216</v>
      </c>
      <c r="G927" s="76">
        <f>G928</f>
        <v>59656.902359999993</v>
      </c>
      <c r="H927" s="76">
        <f>H928</f>
        <v>55078.822029999996</v>
      </c>
      <c r="I927" s="76">
        <f>I928</f>
        <v>56053.329040000004</v>
      </c>
    </row>
    <row r="928" spans="1:9" ht="33" customHeight="1">
      <c r="A928" s="74" t="s">
        <v>647</v>
      </c>
      <c r="B928" s="98" t="s">
        <v>928</v>
      </c>
      <c r="C928" s="75" t="s">
        <v>257</v>
      </c>
      <c r="D928" s="75" t="s">
        <v>353</v>
      </c>
      <c r="E928" s="75" t="s">
        <v>646</v>
      </c>
      <c r="F928" s="75" t="s">
        <v>648</v>
      </c>
      <c r="G928" s="76">
        <f>'5'!D98-G929-G933</f>
        <v>59656.902359999993</v>
      </c>
      <c r="H928" s="76">
        <f>'5'!E98-H929-H933</f>
        <v>55078.822029999996</v>
      </c>
      <c r="I928" s="76">
        <f>'5'!F98-I929-I933</f>
        <v>56053.329040000004</v>
      </c>
    </row>
    <row r="929" spans="1:9" ht="33" customHeight="1">
      <c r="A929" s="74" t="s">
        <v>223</v>
      </c>
      <c r="B929" s="98" t="s">
        <v>928</v>
      </c>
      <c r="C929" s="75" t="s">
        <v>257</v>
      </c>
      <c r="D929" s="75" t="s">
        <v>353</v>
      </c>
      <c r="E929" s="75" t="s">
        <v>646</v>
      </c>
      <c r="F929" s="75" t="s">
        <v>224</v>
      </c>
      <c r="G929" s="76">
        <f>G930</f>
        <v>10992.97</v>
      </c>
      <c r="H929" s="76">
        <f>H930</f>
        <v>9855.4696999999996</v>
      </c>
      <c r="I929" s="76">
        <f>I930</f>
        <v>11866.634400000001</v>
      </c>
    </row>
    <row r="930" spans="1:9" ht="51" customHeight="1">
      <c r="A930" s="74" t="s">
        <v>225</v>
      </c>
      <c r="B930" s="98" t="s">
        <v>928</v>
      </c>
      <c r="C930" s="75" t="s">
        <v>257</v>
      </c>
      <c r="D930" s="75" t="s">
        <v>353</v>
      </c>
      <c r="E930" s="75" t="s">
        <v>646</v>
      </c>
      <c r="F930" s="75" t="s">
        <v>226</v>
      </c>
      <c r="G930" s="76">
        <f>'3'!F641</f>
        <v>10992.97</v>
      </c>
      <c r="H930" s="76">
        <f>'3'!G641</f>
        <v>9855.4696999999996</v>
      </c>
      <c r="I930" s="76">
        <f>'3'!H641</f>
        <v>11866.634400000001</v>
      </c>
    </row>
    <row r="931" spans="1:9" ht="20.25" customHeight="1">
      <c r="A931" s="74" t="s">
        <v>229</v>
      </c>
      <c r="B931" s="98" t="s">
        <v>928</v>
      </c>
      <c r="C931" s="75" t="s">
        <v>257</v>
      </c>
      <c r="D931" s="75" t="s">
        <v>353</v>
      </c>
      <c r="E931" s="75" t="s">
        <v>646</v>
      </c>
      <c r="F931" s="75" t="s">
        <v>230</v>
      </c>
      <c r="G931" s="76">
        <f>G932+G933</f>
        <v>30</v>
      </c>
      <c r="H931" s="76">
        <f>H932+H933</f>
        <v>30</v>
      </c>
      <c r="I931" s="76">
        <f>I932+I933</f>
        <v>30</v>
      </c>
    </row>
    <row r="932" spans="1:9" ht="15.75" hidden="1" customHeight="1">
      <c r="A932" s="74" t="s">
        <v>292</v>
      </c>
      <c r="B932" s="98" t="s">
        <v>928</v>
      </c>
      <c r="C932" s="75" t="s">
        <v>257</v>
      </c>
      <c r="D932" s="75" t="s">
        <v>353</v>
      </c>
      <c r="E932" s="75" t="s">
        <v>646</v>
      </c>
      <c r="F932" s="75" t="s">
        <v>294</v>
      </c>
      <c r="G932" s="76">
        <v>0</v>
      </c>
      <c r="H932" s="76">
        <v>0</v>
      </c>
      <c r="I932" s="76">
        <v>0</v>
      </c>
    </row>
    <row r="933" spans="1:9" ht="20.25" customHeight="1">
      <c r="A933" s="74" t="s">
        <v>231</v>
      </c>
      <c r="B933" s="98" t="s">
        <v>928</v>
      </c>
      <c r="C933" s="75" t="s">
        <v>257</v>
      </c>
      <c r="D933" s="75" t="s">
        <v>353</v>
      </c>
      <c r="E933" s="75" t="s">
        <v>646</v>
      </c>
      <c r="F933" s="75" t="s">
        <v>232</v>
      </c>
      <c r="G933" s="76">
        <f>'3'!F644</f>
        <v>30</v>
      </c>
      <c r="H933" s="76">
        <f>'3'!G644</f>
        <v>30</v>
      </c>
      <c r="I933" s="76">
        <f>'3'!H644</f>
        <v>30</v>
      </c>
    </row>
    <row r="934" spans="1:9" ht="63" hidden="1" customHeight="1">
      <c r="A934" s="108" t="s">
        <v>649</v>
      </c>
      <c r="B934" s="98" t="s">
        <v>928</v>
      </c>
      <c r="C934" s="75" t="s">
        <v>257</v>
      </c>
      <c r="D934" s="75" t="s">
        <v>353</v>
      </c>
      <c r="E934" s="75" t="s">
        <v>646</v>
      </c>
      <c r="F934" s="75" t="s">
        <v>206</v>
      </c>
      <c r="G934" s="76">
        <f>G935+G937</f>
        <v>0</v>
      </c>
      <c r="H934" s="76">
        <f>H935+H937</f>
        <v>0</v>
      </c>
      <c r="I934" s="76">
        <f>I935+I937</f>
        <v>0</v>
      </c>
    </row>
    <row r="935" spans="1:9" ht="94.5" hidden="1" customHeight="1">
      <c r="A935" s="74" t="s">
        <v>215</v>
      </c>
      <c r="B935" s="98" t="s">
        <v>928</v>
      </c>
      <c r="C935" s="75" t="s">
        <v>257</v>
      </c>
      <c r="D935" s="75" t="s">
        <v>353</v>
      </c>
      <c r="E935" s="75" t="s">
        <v>646</v>
      </c>
      <c r="F935" s="75" t="s">
        <v>216</v>
      </c>
      <c r="G935" s="76">
        <f>G936</f>
        <v>0</v>
      </c>
      <c r="H935" s="76">
        <f>H936</f>
        <v>0</v>
      </c>
      <c r="I935" s="76">
        <f>I936</f>
        <v>0</v>
      </c>
    </row>
    <row r="936" spans="1:9" ht="31.5" hidden="1" customHeight="1">
      <c r="A936" s="74" t="s">
        <v>647</v>
      </c>
      <c r="B936" s="98" t="s">
        <v>928</v>
      </c>
      <c r="C936" s="75" t="s">
        <v>257</v>
      </c>
      <c r="D936" s="75" t="s">
        <v>353</v>
      </c>
      <c r="E936" s="75" t="s">
        <v>646</v>
      </c>
      <c r="F936" s="75" t="s">
        <v>648</v>
      </c>
      <c r="G936" s="76">
        <f>'5'!D99</f>
        <v>0</v>
      </c>
      <c r="H936" s="76">
        <f>'5'!E99</f>
        <v>0</v>
      </c>
      <c r="I936" s="76">
        <f>'5'!F99</f>
        <v>0</v>
      </c>
    </row>
    <row r="937" spans="1:9" ht="31.5" hidden="1">
      <c r="A937" s="70" t="s">
        <v>223</v>
      </c>
      <c r="B937" s="98" t="s">
        <v>928</v>
      </c>
      <c r="C937" s="75" t="s">
        <v>257</v>
      </c>
      <c r="D937" s="75" t="s">
        <v>353</v>
      </c>
      <c r="E937" s="71" t="s">
        <v>646</v>
      </c>
      <c r="F937" s="71" t="s">
        <v>224</v>
      </c>
      <c r="G937" s="76">
        <f>G938</f>
        <v>0</v>
      </c>
      <c r="H937" s="76">
        <f>H938</f>
        <v>0</v>
      </c>
      <c r="I937" s="76">
        <f>I938</f>
        <v>0</v>
      </c>
    </row>
    <row r="938" spans="1:9" ht="47.25" hidden="1">
      <c r="A938" s="70" t="s">
        <v>225</v>
      </c>
      <c r="B938" s="98" t="s">
        <v>928</v>
      </c>
      <c r="C938" s="75" t="s">
        <v>257</v>
      </c>
      <c r="D938" s="75" t="s">
        <v>353</v>
      </c>
      <c r="E938" s="71" t="s">
        <v>646</v>
      </c>
      <c r="F938" s="71" t="s">
        <v>226</v>
      </c>
      <c r="G938" s="76">
        <v>0</v>
      </c>
      <c r="H938" s="76">
        <v>0</v>
      </c>
      <c r="I938" s="76">
        <v>0</v>
      </c>
    </row>
    <row r="939" spans="1:9" ht="63" hidden="1">
      <c r="A939" s="132" t="s">
        <v>946</v>
      </c>
      <c r="B939" s="98" t="s">
        <v>928</v>
      </c>
      <c r="C939" s="75" t="s">
        <v>257</v>
      </c>
      <c r="D939" s="75" t="s">
        <v>353</v>
      </c>
      <c r="E939" s="127" t="s">
        <v>570</v>
      </c>
      <c r="F939" s="127" t="s">
        <v>206</v>
      </c>
      <c r="G939" s="80">
        <f>G940+G948</f>
        <v>2295</v>
      </c>
      <c r="H939" s="80">
        <f>H940+H948</f>
        <v>1378</v>
      </c>
      <c r="I939" s="80">
        <f>I940+I948</f>
        <v>1418</v>
      </c>
    </row>
    <row r="940" spans="1:9" hidden="1">
      <c r="A940" s="70" t="s">
        <v>655</v>
      </c>
      <c r="B940" s="98" t="s">
        <v>928</v>
      </c>
      <c r="C940" s="75" t="s">
        <v>257</v>
      </c>
      <c r="D940" s="75" t="s">
        <v>353</v>
      </c>
      <c r="E940" s="71" t="s">
        <v>656</v>
      </c>
      <c r="F940" s="71" t="s">
        <v>206</v>
      </c>
      <c r="G940" s="76">
        <f>G943+G947</f>
        <v>1450</v>
      </c>
      <c r="H940" s="76">
        <f>H943+H947</f>
        <v>1078</v>
      </c>
      <c r="I940" s="76">
        <f>I943+I947</f>
        <v>1108</v>
      </c>
    </row>
    <row r="941" spans="1:9" ht="66.75" customHeight="1">
      <c r="A941" s="78" t="s">
        <v>652</v>
      </c>
      <c r="B941" s="98" t="s">
        <v>928</v>
      </c>
      <c r="C941" s="75" t="s">
        <v>257</v>
      </c>
      <c r="D941" s="75" t="s">
        <v>353</v>
      </c>
      <c r="E941" s="79" t="s">
        <v>570</v>
      </c>
      <c r="F941" s="79" t="s">
        <v>206</v>
      </c>
      <c r="G941" s="80">
        <f>G942+G943+G947</f>
        <v>2050</v>
      </c>
      <c r="H941" s="80">
        <f>H942+H943+H947</f>
        <v>1078</v>
      </c>
      <c r="I941" s="80">
        <f>I942+I943+I947</f>
        <v>1108</v>
      </c>
    </row>
    <row r="942" spans="1:9" ht="132.75" customHeight="1">
      <c r="A942" s="74" t="s">
        <v>653</v>
      </c>
      <c r="B942" s="98" t="s">
        <v>928</v>
      </c>
      <c r="C942" s="79" t="s">
        <v>257</v>
      </c>
      <c r="D942" s="79" t="s">
        <v>353</v>
      </c>
      <c r="E942" s="98" t="s">
        <v>654</v>
      </c>
      <c r="F942" s="75" t="s">
        <v>216</v>
      </c>
      <c r="G942" s="76">
        <v>600</v>
      </c>
      <c r="H942" s="76">
        <v>0</v>
      </c>
      <c r="I942" s="76">
        <v>0</v>
      </c>
    </row>
    <row r="943" spans="1:9" ht="31.5">
      <c r="A943" s="74" t="s">
        <v>546</v>
      </c>
      <c r="B943" s="98" t="s">
        <v>928</v>
      </c>
      <c r="C943" s="75" t="s">
        <v>257</v>
      </c>
      <c r="D943" s="75" t="s">
        <v>353</v>
      </c>
      <c r="E943" s="75" t="s">
        <v>656</v>
      </c>
      <c r="F943" s="75" t="s">
        <v>206</v>
      </c>
      <c r="G943" s="76">
        <f>G944+G945</f>
        <v>605</v>
      </c>
      <c r="H943" s="76">
        <f t="shared" ref="H943:I943" si="238">H944+H945</f>
        <v>778</v>
      </c>
      <c r="I943" s="76">
        <f t="shared" si="238"/>
        <v>798</v>
      </c>
    </row>
    <row r="944" spans="1:9">
      <c r="A944" s="74" t="s">
        <v>658</v>
      </c>
      <c r="B944" s="98" t="s">
        <v>928</v>
      </c>
      <c r="C944" s="75" t="s">
        <v>257</v>
      </c>
      <c r="D944" s="75" t="s">
        <v>353</v>
      </c>
      <c r="E944" s="75" t="s">
        <v>657</v>
      </c>
      <c r="F944" s="75" t="s">
        <v>648</v>
      </c>
      <c r="G944" s="76">
        <v>602</v>
      </c>
      <c r="H944" s="76">
        <f>'3'!G661</f>
        <v>778</v>
      </c>
      <c r="I944" s="76">
        <f>'3'!H661</f>
        <v>798</v>
      </c>
    </row>
    <row r="945" spans="1:9" ht="31.5">
      <c r="A945" s="74" t="s">
        <v>223</v>
      </c>
      <c r="B945" s="98" t="s">
        <v>928</v>
      </c>
      <c r="C945" s="75" t="s">
        <v>257</v>
      </c>
      <c r="D945" s="75" t="s">
        <v>353</v>
      </c>
      <c r="E945" s="75" t="s">
        <v>657</v>
      </c>
      <c r="F945" s="75" t="s">
        <v>224</v>
      </c>
      <c r="G945" s="76">
        <f>G946</f>
        <v>3</v>
      </c>
      <c r="H945" s="76">
        <f t="shared" ref="H945:I948" si="239">H946</f>
        <v>0</v>
      </c>
      <c r="I945" s="76">
        <f t="shared" si="239"/>
        <v>0</v>
      </c>
    </row>
    <row r="946" spans="1:9" ht="50.25" customHeight="1">
      <c r="A946" s="74" t="s">
        <v>225</v>
      </c>
      <c r="B946" s="98" t="s">
        <v>928</v>
      </c>
      <c r="C946" s="75" t="s">
        <v>257</v>
      </c>
      <c r="D946" s="75" t="s">
        <v>353</v>
      </c>
      <c r="E946" s="75" t="s">
        <v>657</v>
      </c>
      <c r="F946" s="75" t="s">
        <v>226</v>
      </c>
      <c r="G946" s="76">
        <v>3</v>
      </c>
      <c r="H946" s="76">
        <v>0</v>
      </c>
      <c r="I946" s="76">
        <v>0</v>
      </c>
    </row>
    <row r="947" spans="1:9">
      <c r="A947" s="74" t="s">
        <v>658</v>
      </c>
      <c r="B947" s="98" t="s">
        <v>928</v>
      </c>
      <c r="C947" s="75" t="s">
        <v>257</v>
      </c>
      <c r="D947" s="75" t="s">
        <v>353</v>
      </c>
      <c r="E947" s="75" t="s">
        <v>659</v>
      </c>
      <c r="F947" s="75" t="s">
        <v>206</v>
      </c>
      <c r="G947" s="76">
        <f t="shared" ref="G947:G950" si="240">G948</f>
        <v>845</v>
      </c>
      <c r="H947" s="76">
        <f t="shared" si="239"/>
        <v>300</v>
      </c>
      <c r="I947" s="76">
        <f t="shared" si="239"/>
        <v>310</v>
      </c>
    </row>
    <row r="948" spans="1:9" ht="50.25" customHeight="1">
      <c r="A948" s="74" t="s">
        <v>284</v>
      </c>
      <c r="B948" s="98" t="s">
        <v>928</v>
      </c>
      <c r="C948" s="75" t="s">
        <v>257</v>
      </c>
      <c r="D948" s="75" t="s">
        <v>353</v>
      </c>
      <c r="E948" s="75" t="s">
        <v>659</v>
      </c>
      <c r="F948" s="75" t="s">
        <v>283</v>
      </c>
      <c r="G948" s="76">
        <f t="shared" si="240"/>
        <v>845</v>
      </c>
      <c r="H948" s="76">
        <f t="shared" si="239"/>
        <v>300</v>
      </c>
      <c r="I948" s="76">
        <f>I949</f>
        <v>310</v>
      </c>
    </row>
    <row r="949" spans="1:9" ht="36.75" customHeight="1">
      <c r="A949" s="74" t="s">
        <v>546</v>
      </c>
      <c r="B949" s="98" t="s">
        <v>928</v>
      </c>
      <c r="C949" s="75" t="s">
        <v>257</v>
      </c>
      <c r="D949" s="75" t="s">
        <v>353</v>
      </c>
      <c r="E949" s="75" t="s">
        <v>659</v>
      </c>
      <c r="F949" s="75" t="s">
        <v>499</v>
      </c>
      <c r="G949" s="76">
        <v>845</v>
      </c>
      <c r="H949" s="76">
        <f>'3'!G664</f>
        <v>300</v>
      </c>
      <c r="I949" s="76">
        <f>'3'!H664</f>
        <v>310</v>
      </c>
    </row>
    <row r="950" spans="1:9" ht="80.25" customHeight="1">
      <c r="A950" s="78" t="s">
        <v>329</v>
      </c>
      <c r="B950" s="128" t="s">
        <v>928</v>
      </c>
      <c r="C950" s="79" t="s">
        <v>257</v>
      </c>
      <c r="D950" s="79" t="s">
        <v>353</v>
      </c>
      <c r="E950" s="79" t="s">
        <v>330</v>
      </c>
      <c r="F950" s="79" t="s">
        <v>206</v>
      </c>
      <c r="G950" s="80">
        <f t="shared" si="240"/>
        <v>2435</v>
      </c>
      <c r="H950" s="80">
        <f t="shared" ref="H950:I952" si="241">H951</f>
        <v>1032</v>
      </c>
      <c r="I950" s="80">
        <f t="shared" si="241"/>
        <v>318</v>
      </c>
    </row>
    <row r="951" spans="1:9" ht="17.25" customHeight="1">
      <c r="A951" s="74" t="s">
        <v>655</v>
      </c>
      <c r="B951" s="98" t="s">
        <v>928</v>
      </c>
      <c r="C951" s="75" t="s">
        <v>257</v>
      </c>
      <c r="D951" s="75" t="s">
        <v>353</v>
      </c>
      <c r="E951" s="75" t="s">
        <v>331</v>
      </c>
      <c r="F951" s="75" t="s">
        <v>206</v>
      </c>
      <c r="G951" s="76">
        <f>G952+G957</f>
        <v>2435</v>
      </c>
      <c r="H951" s="76">
        <f>H952+H957</f>
        <v>1032</v>
      </c>
      <c r="I951" s="76">
        <f>I952+I957</f>
        <v>318</v>
      </c>
    </row>
    <row r="952" spans="1:9" ht="31.5">
      <c r="A952" s="74" t="s">
        <v>223</v>
      </c>
      <c r="B952" s="98" t="s">
        <v>928</v>
      </c>
      <c r="C952" s="75" t="s">
        <v>257</v>
      </c>
      <c r="D952" s="75" t="s">
        <v>353</v>
      </c>
      <c r="E952" s="75" t="s">
        <v>660</v>
      </c>
      <c r="F952" s="75" t="s">
        <v>224</v>
      </c>
      <c r="G952" s="76">
        <f>G953</f>
        <v>4</v>
      </c>
      <c r="H952" s="76">
        <f t="shared" si="241"/>
        <v>4</v>
      </c>
      <c r="I952" s="76">
        <f t="shared" si="241"/>
        <v>10</v>
      </c>
    </row>
    <row r="953" spans="1:9" ht="47.25">
      <c r="A953" s="74" t="s">
        <v>225</v>
      </c>
      <c r="B953" s="98" t="s">
        <v>928</v>
      </c>
      <c r="C953" s="75" t="s">
        <v>257</v>
      </c>
      <c r="D953" s="75" t="s">
        <v>353</v>
      </c>
      <c r="E953" s="75" t="s">
        <v>660</v>
      </c>
      <c r="F953" s="75" t="s">
        <v>226</v>
      </c>
      <c r="G953" s="76">
        <f>'5'!D123</f>
        <v>4</v>
      </c>
      <c r="H953" s="76">
        <f>'5'!E123</f>
        <v>4</v>
      </c>
      <c r="I953" s="76">
        <f>'5'!F123</f>
        <v>10</v>
      </c>
    </row>
    <row r="954" spans="1:9" ht="15.75" hidden="1" customHeight="1">
      <c r="A954" s="78"/>
      <c r="B954" s="98"/>
      <c r="C954" s="75"/>
      <c r="D954" s="75"/>
      <c r="E954" s="75"/>
      <c r="F954" s="79"/>
      <c r="G954" s="80"/>
      <c r="H954" s="80"/>
      <c r="I954" s="80"/>
    </row>
    <row r="955" spans="1:9" hidden="1">
      <c r="A955" s="74"/>
      <c r="B955" s="98"/>
      <c r="C955" s="75"/>
      <c r="D955" s="75"/>
      <c r="E955" s="75"/>
      <c r="F955" s="75"/>
      <c r="G955" s="76"/>
      <c r="H955" s="76"/>
      <c r="I955" s="76"/>
    </row>
    <row r="956" spans="1:9" hidden="1">
      <c r="A956" s="74"/>
      <c r="B956" s="98"/>
      <c r="C956" s="75"/>
      <c r="D956" s="75"/>
      <c r="E956" s="75"/>
      <c r="F956" s="75"/>
      <c r="G956" s="76"/>
      <c r="H956" s="76"/>
      <c r="I956" s="76"/>
    </row>
    <row r="957" spans="1:9" ht="47.25">
      <c r="A957" s="74" t="s">
        <v>284</v>
      </c>
      <c r="B957" s="98" t="s">
        <v>928</v>
      </c>
      <c r="C957" s="75" t="s">
        <v>257</v>
      </c>
      <c r="D957" s="75" t="s">
        <v>353</v>
      </c>
      <c r="E957" s="75" t="s">
        <v>660</v>
      </c>
      <c r="F957" s="75" t="s">
        <v>283</v>
      </c>
      <c r="G957" s="76">
        <f>G958</f>
        <v>2431</v>
      </c>
      <c r="H957" s="76">
        <f>H958</f>
        <v>1028</v>
      </c>
      <c r="I957" s="76">
        <f>I958</f>
        <v>308</v>
      </c>
    </row>
    <row r="958" spans="1:9" ht="20.25" customHeight="1">
      <c r="A958" s="74" t="s">
        <v>497</v>
      </c>
      <c r="B958" s="98" t="s">
        <v>928</v>
      </c>
      <c r="C958" s="75" t="s">
        <v>257</v>
      </c>
      <c r="D958" s="75" t="s">
        <v>353</v>
      </c>
      <c r="E958" s="75" t="s">
        <v>660</v>
      </c>
      <c r="F958" s="75" t="s">
        <v>499</v>
      </c>
      <c r="G958" s="76">
        <f>'5'!D124</f>
        <v>2431</v>
      </c>
      <c r="H958" s="76">
        <f>'5'!E124</f>
        <v>1028</v>
      </c>
      <c r="I958" s="76">
        <f>'5'!F124</f>
        <v>308</v>
      </c>
    </row>
    <row r="959" spans="1:9" ht="99.75" customHeight="1">
      <c r="A959" s="78" t="s">
        <v>467</v>
      </c>
      <c r="B959" s="128" t="s">
        <v>928</v>
      </c>
      <c r="C959" s="79" t="s">
        <v>257</v>
      </c>
      <c r="D959" s="79" t="s">
        <v>353</v>
      </c>
      <c r="E959" s="79" t="s">
        <v>205</v>
      </c>
      <c r="F959" s="79" t="s">
        <v>206</v>
      </c>
      <c r="G959" s="80">
        <f>G960+G962</f>
        <v>550</v>
      </c>
      <c r="H959" s="80">
        <f>H960+H962</f>
        <v>550</v>
      </c>
      <c r="I959" s="80">
        <f>I960+I962</f>
        <v>0</v>
      </c>
    </row>
    <row r="960" spans="1:9" ht="31.5" hidden="1" customHeight="1">
      <c r="A960" s="74" t="s">
        <v>223</v>
      </c>
      <c r="B960" s="98" t="s">
        <v>928</v>
      </c>
      <c r="C960" s="75" t="s">
        <v>257</v>
      </c>
      <c r="D960" s="75" t="s">
        <v>353</v>
      </c>
      <c r="E960" s="75" t="s">
        <v>661</v>
      </c>
      <c r="F960" s="75" t="s">
        <v>224</v>
      </c>
      <c r="G960" s="76">
        <f>G961</f>
        <v>0</v>
      </c>
      <c r="H960" s="76">
        <f>H961</f>
        <v>0</v>
      </c>
      <c r="I960" s="76">
        <f>I961</f>
        <v>0</v>
      </c>
    </row>
    <row r="961" spans="1:9" ht="47.25" hidden="1" customHeight="1">
      <c r="A961" s="74" t="s">
        <v>225</v>
      </c>
      <c r="B961" s="98" t="s">
        <v>928</v>
      </c>
      <c r="C961" s="75" t="s">
        <v>257</v>
      </c>
      <c r="D961" s="75" t="s">
        <v>353</v>
      </c>
      <c r="E961" s="75" t="s">
        <v>661</v>
      </c>
      <c r="F961" s="75" t="s">
        <v>226</v>
      </c>
      <c r="G961" s="76">
        <f>'5'!D222</f>
        <v>0</v>
      </c>
      <c r="H961" s="76">
        <f>'5'!E222</f>
        <v>0</v>
      </c>
      <c r="I961" s="76">
        <f>'5'!F222</f>
        <v>0</v>
      </c>
    </row>
    <row r="962" spans="1:9" ht="52.5" customHeight="1">
      <c r="A962" s="74" t="s">
        <v>284</v>
      </c>
      <c r="B962" s="98" t="s">
        <v>928</v>
      </c>
      <c r="C962" s="75" t="s">
        <v>257</v>
      </c>
      <c r="D962" s="75" t="s">
        <v>353</v>
      </c>
      <c r="E962" s="75" t="s">
        <v>662</v>
      </c>
      <c r="F962" s="75" t="s">
        <v>283</v>
      </c>
      <c r="G962" s="76">
        <f>G963</f>
        <v>550</v>
      </c>
      <c r="H962" s="76">
        <f>H963</f>
        <v>550</v>
      </c>
      <c r="I962" s="76">
        <f>I963</f>
        <v>0</v>
      </c>
    </row>
    <row r="963" spans="1:9" ht="33" customHeight="1">
      <c r="A963" s="74" t="s">
        <v>546</v>
      </c>
      <c r="B963" s="98" t="s">
        <v>928</v>
      </c>
      <c r="C963" s="75" t="s">
        <v>257</v>
      </c>
      <c r="D963" s="75" t="s">
        <v>353</v>
      </c>
      <c r="E963" s="75" t="s">
        <v>662</v>
      </c>
      <c r="F963" s="75" t="s">
        <v>499</v>
      </c>
      <c r="G963" s="76">
        <f>'5'!D219</f>
        <v>550</v>
      </c>
      <c r="H963" s="76">
        <f>'5'!E219</f>
        <v>550</v>
      </c>
      <c r="I963" s="76">
        <f>'5'!F219</f>
        <v>0</v>
      </c>
    </row>
    <row r="964" spans="1:9" ht="47.25" hidden="1" customHeight="1">
      <c r="A964" s="74" t="s">
        <v>209</v>
      </c>
      <c r="B964" s="98" t="s">
        <v>928</v>
      </c>
      <c r="C964" s="75" t="s">
        <v>257</v>
      </c>
      <c r="D964" s="75" t="s">
        <v>353</v>
      </c>
      <c r="E964" s="75" t="s">
        <v>210</v>
      </c>
      <c r="F964" s="75" t="s">
        <v>206</v>
      </c>
      <c r="G964" s="76">
        <f t="shared" ref="G964:G967" si="242">G965</f>
        <v>0</v>
      </c>
      <c r="H964" s="76">
        <f t="shared" ref="H964:I967" si="243">H965</f>
        <v>0</v>
      </c>
      <c r="I964" s="76">
        <f t="shared" si="243"/>
        <v>0</v>
      </c>
    </row>
    <row r="965" spans="1:9" ht="47.25" hidden="1" customHeight="1">
      <c r="A965" s="74" t="s">
        <v>211</v>
      </c>
      <c r="B965" s="98" t="s">
        <v>928</v>
      </c>
      <c r="C965" s="75" t="s">
        <v>257</v>
      </c>
      <c r="D965" s="75" t="s">
        <v>353</v>
      </c>
      <c r="E965" s="75" t="s">
        <v>212</v>
      </c>
      <c r="F965" s="75" t="s">
        <v>206</v>
      </c>
      <c r="G965" s="76">
        <f t="shared" si="242"/>
        <v>0</v>
      </c>
      <c r="H965" s="76">
        <f t="shared" si="243"/>
        <v>0</v>
      </c>
      <c r="I965" s="76">
        <f t="shared" si="243"/>
        <v>0</v>
      </c>
    </row>
    <row r="966" spans="1:9" ht="15.75" hidden="1" customHeight="1">
      <c r="A966" s="74" t="s">
        <v>670</v>
      </c>
      <c r="B966" s="98" t="s">
        <v>928</v>
      </c>
      <c r="C966" s="75" t="s">
        <v>257</v>
      </c>
      <c r="D966" s="75" t="s">
        <v>353</v>
      </c>
      <c r="E966" s="75" t="s">
        <v>671</v>
      </c>
      <c r="F966" s="75" t="s">
        <v>206</v>
      </c>
      <c r="G966" s="76">
        <f t="shared" si="242"/>
        <v>0</v>
      </c>
      <c r="H966" s="76">
        <f t="shared" si="243"/>
        <v>0</v>
      </c>
      <c r="I966" s="76">
        <f t="shared" si="243"/>
        <v>0</v>
      </c>
    </row>
    <row r="967" spans="1:9" ht="31.5" hidden="1" customHeight="1">
      <c r="A967" s="74" t="s">
        <v>223</v>
      </c>
      <c r="B967" s="98" t="s">
        <v>928</v>
      </c>
      <c r="C967" s="75" t="s">
        <v>257</v>
      </c>
      <c r="D967" s="75" t="s">
        <v>353</v>
      </c>
      <c r="E967" s="75" t="s">
        <v>671</v>
      </c>
      <c r="F967" s="75" t="s">
        <v>224</v>
      </c>
      <c r="G967" s="76">
        <f t="shared" si="242"/>
        <v>0</v>
      </c>
      <c r="H967" s="76">
        <f t="shared" si="243"/>
        <v>0</v>
      </c>
      <c r="I967" s="76">
        <f t="shared" si="243"/>
        <v>0</v>
      </c>
    </row>
    <row r="968" spans="1:9" ht="47.25" hidden="1" customHeight="1">
      <c r="A968" s="74" t="s">
        <v>225</v>
      </c>
      <c r="B968" s="98" t="s">
        <v>928</v>
      </c>
      <c r="C968" s="75" t="s">
        <v>257</v>
      </c>
      <c r="D968" s="75" t="s">
        <v>353</v>
      </c>
      <c r="E968" s="75" t="s">
        <v>671</v>
      </c>
      <c r="F968" s="75" t="s">
        <v>226</v>
      </c>
      <c r="G968" s="76">
        <v>0</v>
      </c>
      <c r="H968" s="76">
        <v>0</v>
      </c>
      <c r="I968" s="76">
        <v>0</v>
      </c>
    </row>
    <row r="969" spans="1:9" ht="15.75" hidden="1" customHeight="1">
      <c r="A969" s="70"/>
      <c r="B969" s="130" t="s">
        <v>928</v>
      </c>
      <c r="C969" s="71"/>
      <c r="D969" s="71"/>
      <c r="E969" s="71"/>
      <c r="F969" s="71"/>
      <c r="G969" s="72"/>
      <c r="H969" s="72"/>
      <c r="I969" s="72"/>
    </row>
    <row r="970" spans="1:9" ht="15.75" hidden="1" customHeight="1">
      <c r="A970" s="70"/>
      <c r="B970" s="130"/>
      <c r="C970" s="71"/>
      <c r="D970" s="71"/>
      <c r="E970" s="71"/>
      <c r="F970" s="71"/>
      <c r="G970" s="72"/>
      <c r="H970" s="72"/>
      <c r="I970" s="72"/>
    </row>
    <row r="971" spans="1:9" ht="15.75" hidden="1" customHeight="1">
      <c r="A971" s="70"/>
      <c r="B971" s="130"/>
      <c r="C971" s="71"/>
      <c r="D971" s="71"/>
      <c r="E971" s="71"/>
      <c r="F971" s="71"/>
      <c r="G971" s="72"/>
      <c r="H971" s="72"/>
      <c r="I971" s="72"/>
    </row>
    <row r="972" spans="1:9" ht="2.25" customHeight="1">
      <c r="A972" s="70"/>
      <c r="B972" s="130"/>
      <c r="C972" s="71"/>
      <c r="D972" s="71"/>
      <c r="E972" s="71"/>
      <c r="F972" s="71"/>
      <c r="G972" s="72"/>
      <c r="H972" s="72"/>
      <c r="I972" s="72"/>
    </row>
    <row r="973" spans="1:9">
      <c r="A973" s="66" t="s">
        <v>743</v>
      </c>
      <c r="B973" s="199" t="s">
        <v>928</v>
      </c>
      <c r="C973" s="67" t="s">
        <v>367</v>
      </c>
      <c r="D973" s="67" t="s">
        <v>204</v>
      </c>
      <c r="E973" s="67" t="s">
        <v>205</v>
      </c>
      <c r="F973" s="67" t="s">
        <v>206</v>
      </c>
      <c r="G973" s="68">
        <f>G974+G978</f>
        <v>6991.0889999999999</v>
      </c>
      <c r="H973" s="68">
        <f t="shared" ref="H973:I973" si="244">H974+H978</f>
        <v>6694.683</v>
      </c>
      <c r="I973" s="68">
        <f t="shared" si="244"/>
        <v>6938.8950000000004</v>
      </c>
    </row>
    <row r="974" spans="1:9">
      <c r="A974" s="206" t="s">
        <v>748</v>
      </c>
      <c r="B974" s="207" t="s">
        <v>928</v>
      </c>
      <c r="C974" s="208" t="s">
        <v>367</v>
      </c>
      <c r="D974" s="208" t="s">
        <v>220</v>
      </c>
      <c r="E974" s="208" t="s">
        <v>205</v>
      </c>
      <c r="F974" s="208" t="s">
        <v>206</v>
      </c>
      <c r="G974" s="209">
        <f t="shared" ref="G974:I976" si="245">G975</f>
        <v>530</v>
      </c>
      <c r="H974" s="209">
        <f t="shared" ref="H974:I974" si="246">H975</f>
        <v>0</v>
      </c>
      <c r="I974" s="209">
        <f t="shared" si="246"/>
        <v>0</v>
      </c>
    </row>
    <row r="975" spans="1:9" ht="99.75" customHeight="1">
      <c r="A975" s="78" t="s">
        <v>749</v>
      </c>
      <c r="B975" s="98" t="s">
        <v>928</v>
      </c>
      <c r="C975" s="75" t="s">
        <v>367</v>
      </c>
      <c r="D975" s="75" t="s">
        <v>220</v>
      </c>
      <c r="E975" s="79" t="s">
        <v>516</v>
      </c>
      <c r="F975" s="79" t="s">
        <v>206</v>
      </c>
      <c r="G975" s="80">
        <f t="shared" si="245"/>
        <v>530</v>
      </c>
      <c r="H975" s="80">
        <f t="shared" si="245"/>
        <v>0</v>
      </c>
      <c r="I975" s="80">
        <f t="shared" si="245"/>
        <v>0</v>
      </c>
    </row>
    <row r="976" spans="1:9" ht="37.5" customHeight="1">
      <c r="A976" s="70" t="s">
        <v>242</v>
      </c>
      <c r="B976" s="130" t="s">
        <v>928</v>
      </c>
      <c r="C976" s="71" t="s">
        <v>367</v>
      </c>
      <c r="D976" s="71" t="s">
        <v>220</v>
      </c>
      <c r="E976" s="71" t="s">
        <v>750</v>
      </c>
      <c r="F976" s="71" t="s">
        <v>243</v>
      </c>
      <c r="G976" s="72">
        <f t="shared" si="245"/>
        <v>530</v>
      </c>
      <c r="H976" s="72">
        <f t="shared" si="245"/>
        <v>0</v>
      </c>
      <c r="I976" s="72">
        <f t="shared" si="245"/>
        <v>0</v>
      </c>
    </row>
    <row r="977" spans="1:11" ht="31.5">
      <c r="A977" s="70" t="s">
        <v>630</v>
      </c>
      <c r="B977" s="98" t="s">
        <v>928</v>
      </c>
      <c r="C977" s="75" t="s">
        <v>367</v>
      </c>
      <c r="D977" s="75" t="s">
        <v>220</v>
      </c>
      <c r="E977" s="75" t="s">
        <v>750</v>
      </c>
      <c r="F977" s="75" t="s">
        <v>631</v>
      </c>
      <c r="G977" s="76">
        <f>'5'!D51</f>
        <v>530</v>
      </c>
      <c r="H977" s="76">
        <f>'5'!E51</f>
        <v>0</v>
      </c>
      <c r="I977" s="76">
        <f>'5'!F51</f>
        <v>0</v>
      </c>
    </row>
    <row r="978" spans="1:11" ht="18" customHeight="1">
      <c r="A978" s="206" t="s">
        <v>759</v>
      </c>
      <c r="B978" s="207" t="s">
        <v>928</v>
      </c>
      <c r="C978" s="208" t="s">
        <v>367</v>
      </c>
      <c r="D978" s="208" t="s">
        <v>234</v>
      </c>
      <c r="E978" s="208" t="s">
        <v>205</v>
      </c>
      <c r="F978" s="208" t="s">
        <v>206</v>
      </c>
      <c r="G978" s="209">
        <f>G980+G983+G991</f>
        <v>6461.0889999999999</v>
      </c>
      <c r="H978" s="209">
        <f t="shared" ref="H978:I978" si="247">H980+H983+H991</f>
        <v>6694.683</v>
      </c>
      <c r="I978" s="209">
        <f t="shared" si="247"/>
        <v>6938.8950000000004</v>
      </c>
    </row>
    <row r="979" spans="1:11" ht="51" customHeight="1">
      <c r="A979" s="132" t="s">
        <v>315</v>
      </c>
      <c r="B979" s="213" t="s">
        <v>928</v>
      </c>
      <c r="C979" s="127" t="s">
        <v>367</v>
      </c>
      <c r="D979" s="127" t="s">
        <v>204</v>
      </c>
      <c r="E979" s="127" t="s">
        <v>493</v>
      </c>
      <c r="F979" s="127" t="s">
        <v>206</v>
      </c>
      <c r="G979" s="72">
        <f>G983+G980</f>
        <v>6161.0889999999999</v>
      </c>
      <c r="H979" s="72">
        <f>H983+H980</f>
        <v>6394.683</v>
      </c>
      <c r="I979" s="72">
        <f>I983+I980</f>
        <v>6638.8950000000004</v>
      </c>
    </row>
    <row r="980" spans="1:11" ht="63" customHeight="1">
      <c r="A980" s="231" t="s">
        <v>760</v>
      </c>
      <c r="B980" s="232" t="s">
        <v>928</v>
      </c>
      <c r="C980" s="167" t="s">
        <v>367</v>
      </c>
      <c r="D980" s="167" t="s">
        <v>234</v>
      </c>
      <c r="E980" s="233" t="s">
        <v>558</v>
      </c>
      <c r="F980" s="233" t="s">
        <v>206</v>
      </c>
      <c r="G980" s="168">
        <f t="shared" ref="G980:I981" si="248">G981</f>
        <v>300</v>
      </c>
      <c r="H980" s="168">
        <f t="shared" si="248"/>
        <v>300</v>
      </c>
      <c r="I980" s="168">
        <f t="shared" si="248"/>
        <v>300</v>
      </c>
    </row>
    <row r="981" spans="1:11" ht="134.25" customHeight="1">
      <c r="A981" s="78" t="s">
        <v>947</v>
      </c>
      <c r="B981" s="98" t="s">
        <v>928</v>
      </c>
      <c r="C981" s="75" t="s">
        <v>367</v>
      </c>
      <c r="D981" s="75" t="s">
        <v>234</v>
      </c>
      <c r="E981" s="79" t="s">
        <v>558</v>
      </c>
      <c r="F981" s="79" t="s">
        <v>243</v>
      </c>
      <c r="G981" s="76">
        <f t="shared" si="248"/>
        <v>300</v>
      </c>
      <c r="H981" s="76">
        <f t="shared" si="248"/>
        <v>300</v>
      </c>
      <c r="I981" s="76">
        <f t="shared" si="248"/>
        <v>300</v>
      </c>
    </row>
    <row r="982" spans="1:11" ht="51.75" customHeight="1">
      <c r="A982" s="74" t="s">
        <v>244</v>
      </c>
      <c r="B982" s="98" t="s">
        <v>928</v>
      </c>
      <c r="C982" s="75" t="s">
        <v>367</v>
      </c>
      <c r="D982" s="75" t="s">
        <v>234</v>
      </c>
      <c r="E982" s="79" t="s">
        <v>558</v>
      </c>
      <c r="F982" s="79" t="s">
        <v>245</v>
      </c>
      <c r="G982" s="76">
        <f>'3'!F827</f>
        <v>300</v>
      </c>
      <c r="H982" s="76">
        <f>'3'!G827</f>
        <v>300</v>
      </c>
      <c r="I982" s="76">
        <f>'3'!H827</f>
        <v>300</v>
      </c>
    </row>
    <row r="983" spans="1:11" ht="51.75" customHeight="1">
      <c r="A983" s="231" t="s">
        <v>494</v>
      </c>
      <c r="B983" s="232" t="s">
        <v>928</v>
      </c>
      <c r="C983" s="167" t="s">
        <v>367</v>
      </c>
      <c r="D983" s="167" t="s">
        <v>234</v>
      </c>
      <c r="E983" s="167" t="s">
        <v>495</v>
      </c>
      <c r="F983" s="167" t="s">
        <v>206</v>
      </c>
      <c r="G983" s="168">
        <f>G984</f>
        <v>5861.0889999999999</v>
      </c>
      <c r="H983" s="168">
        <f>H984</f>
        <v>6094.683</v>
      </c>
      <c r="I983" s="168">
        <f>I984</f>
        <v>6338.8950000000004</v>
      </c>
    </row>
    <row r="984" spans="1:11" ht="84" customHeight="1">
      <c r="A984" s="74" t="s">
        <v>762</v>
      </c>
      <c r="B984" s="98" t="s">
        <v>928</v>
      </c>
      <c r="C984" s="75" t="s">
        <v>367</v>
      </c>
      <c r="D984" s="75" t="s">
        <v>234</v>
      </c>
      <c r="E984" s="75" t="s">
        <v>763</v>
      </c>
      <c r="F984" s="75" t="s">
        <v>206</v>
      </c>
      <c r="G984" s="76">
        <f>G986+G985</f>
        <v>5861.0889999999999</v>
      </c>
      <c r="H984" s="76">
        <f t="shared" ref="H984:I984" si="249">H986+H985</f>
        <v>6094.683</v>
      </c>
      <c r="I984" s="76">
        <f t="shared" si="249"/>
        <v>6338.8950000000004</v>
      </c>
    </row>
    <row r="985" spans="1:11" ht="51" customHeight="1">
      <c r="A985" s="74" t="s">
        <v>225</v>
      </c>
      <c r="B985" s="98" t="s">
        <v>928</v>
      </c>
      <c r="C985" s="75" t="s">
        <v>367</v>
      </c>
      <c r="D985" s="75" t="s">
        <v>234</v>
      </c>
      <c r="E985" s="75" t="s">
        <v>763</v>
      </c>
      <c r="F985" s="75" t="s">
        <v>226</v>
      </c>
      <c r="G985" s="76">
        <f>'3'!F830</f>
        <v>87.916335000000004</v>
      </c>
      <c r="H985" s="76">
        <f>'3'!G830</f>
        <v>91.420244999999994</v>
      </c>
      <c r="I985" s="76">
        <f>'3'!H830</f>
        <v>95.083425000000005</v>
      </c>
    </row>
    <row r="986" spans="1:11" ht="36" customHeight="1">
      <c r="A986" s="74" t="s">
        <v>630</v>
      </c>
      <c r="B986" s="98" t="s">
        <v>928</v>
      </c>
      <c r="C986" s="75" t="s">
        <v>367</v>
      </c>
      <c r="D986" s="75" t="s">
        <v>234</v>
      </c>
      <c r="E986" s="75" t="s">
        <v>763</v>
      </c>
      <c r="F986" s="33">
        <v>310</v>
      </c>
      <c r="G986" s="76">
        <f>'3'!F831</f>
        <v>5773.1726650000001</v>
      </c>
      <c r="H986" s="76">
        <f>'3'!G831</f>
        <v>6003.2627549999997</v>
      </c>
      <c r="I986" s="76">
        <f>'3'!H831</f>
        <v>6243.8115750000006</v>
      </c>
    </row>
    <row r="987" spans="1:11" ht="53.25" customHeight="1">
      <c r="A987" s="78" t="s">
        <v>556</v>
      </c>
      <c r="B987" s="98" t="s">
        <v>928</v>
      </c>
      <c r="C987" s="75" t="s">
        <v>367</v>
      </c>
      <c r="D987" s="75" t="s">
        <v>234</v>
      </c>
      <c r="E987" s="79" t="s">
        <v>493</v>
      </c>
      <c r="F987" s="79" t="s">
        <v>206</v>
      </c>
      <c r="G987" s="76">
        <f t="shared" ref="G987:G990" si="250">G988</f>
        <v>300</v>
      </c>
      <c r="H987" s="76">
        <f>H988</f>
        <v>300</v>
      </c>
      <c r="I987" s="76">
        <f t="shared" ref="H987:I990" si="251">I988</f>
        <v>300</v>
      </c>
    </row>
    <row r="988" spans="1:11" ht="33" customHeight="1">
      <c r="A988" s="108" t="s">
        <v>626</v>
      </c>
      <c r="B988" s="98" t="s">
        <v>928</v>
      </c>
      <c r="C988" s="75" t="s">
        <v>367</v>
      </c>
      <c r="D988" s="75" t="s">
        <v>234</v>
      </c>
      <c r="E988" s="75" t="s">
        <v>627</v>
      </c>
      <c r="F988" s="75" t="s">
        <v>206</v>
      </c>
      <c r="G988" s="76">
        <f t="shared" si="250"/>
        <v>300</v>
      </c>
      <c r="H988" s="76">
        <f t="shared" si="251"/>
        <v>300</v>
      </c>
      <c r="I988" s="76">
        <f t="shared" si="251"/>
        <v>300</v>
      </c>
    </row>
    <row r="989" spans="1:11" ht="85.5" customHeight="1">
      <c r="A989" s="100" t="s">
        <v>628</v>
      </c>
      <c r="B989" s="133" t="s">
        <v>928</v>
      </c>
      <c r="C989" s="101" t="s">
        <v>367</v>
      </c>
      <c r="D989" s="101" t="s">
        <v>234</v>
      </c>
      <c r="E989" s="101" t="s">
        <v>627</v>
      </c>
      <c r="F989" s="101" t="s">
        <v>206</v>
      </c>
      <c r="G989" s="102">
        <f t="shared" si="250"/>
        <v>300</v>
      </c>
      <c r="H989" s="102">
        <f t="shared" si="251"/>
        <v>300</v>
      </c>
      <c r="I989" s="102">
        <f t="shared" si="251"/>
        <v>300</v>
      </c>
    </row>
    <row r="990" spans="1:11" ht="33" customHeight="1">
      <c r="A990" s="74" t="s">
        <v>242</v>
      </c>
      <c r="B990" s="98" t="s">
        <v>928</v>
      </c>
      <c r="C990" s="75" t="s">
        <v>367</v>
      </c>
      <c r="D990" s="75" t="s">
        <v>234</v>
      </c>
      <c r="E990" s="75" t="s">
        <v>629</v>
      </c>
      <c r="F990" s="75" t="s">
        <v>243</v>
      </c>
      <c r="G990" s="76">
        <f t="shared" si="250"/>
        <v>300</v>
      </c>
      <c r="H990" s="76">
        <f>H991</f>
        <v>300</v>
      </c>
      <c r="I990" s="76">
        <f t="shared" si="251"/>
        <v>300</v>
      </c>
    </row>
    <row r="991" spans="1:11" ht="36" customHeight="1">
      <c r="A991" s="74" t="s">
        <v>630</v>
      </c>
      <c r="B991" s="98" t="s">
        <v>928</v>
      </c>
      <c r="C991" s="75" t="s">
        <v>367</v>
      </c>
      <c r="D991" s="75" t="s">
        <v>234</v>
      </c>
      <c r="E991" s="75" t="s">
        <v>629</v>
      </c>
      <c r="F991" s="75" t="s">
        <v>631</v>
      </c>
      <c r="G991" s="76">
        <f>'3'!F836</f>
        <v>300</v>
      </c>
      <c r="H991" s="76">
        <f>'3'!G836</f>
        <v>300</v>
      </c>
      <c r="I991" s="76">
        <f>'3'!H836</f>
        <v>300</v>
      </c>
    </row>
    <row r="992" spans="1:11" ht="17.25" customHeight="1">
      <c r="A992" s="234" t="s">
        <v>784</v>
      </c>
      <c r="B992" s="235" t="s">
        <v>928</v>
      </c>
      <c r="C992" s="236" t="s">
        <v>250</v>
      </c>
      <c r="D992" s="236" t="s">
        <v>204</v>
      </c>
      <c r="E992" s="236" t="s">
        <v>205</v>
      </c>
      <c r="F992" s="236" t="s">
        <v>206</v>
      </c>
      <c r="G992" s="237">
        <f t="shared" ref="G992:I993" si="252">G993</f>
        <v>116.25203</v>
      </c>
      <c r="H992" s="237">
        <f t="shared" si="252"/>
        <v>0</v>
      </c>
      <c r="I992" s="237">
        <f t="shared" si="252"/>
        <v>0</v>
      </c>
      <c r="K992" s="184"/>
    </row>
    <row r="993" spans="1:9" ht="15.75" hidden="1" customHeight="1">
      <c r="A993" s="70" t="s">
        <v>785</v>
      </c>
      <c r="B993" s="130" t="s">
        <v>928</v>
      </c>
      <c r="C993" s="71" t="s">
        <v>250</v>
      </c>
      <c r="D993" s="71" t="s">
        <v>208</v>
      </c>
      <c r="E993" s="71" t="s">
        <v>205</v>
      </c>
      <c r="F993" s="71" t="s">
        <v>206</v>
      </c>
      <c r="G993" s="72">
        <f t="shared" si="252"/>
        <v>116.25203</v>
      </c>
      <c r="H993" s="72">
        <f t="shared" si="252"/>
        <v>0</v>
      </c>
      <c r="I993" s="72">
        <f t="shared" si="252"/>
        <v>0</v>
      </c>
    </row>
    <row r="994" spans="1:9" ht="63" hidden="1" customHeight="1">
      <c r="A994" s="132" t="s">
        <v>948</v>
      </c>
      <c r="B994" s="130" t="s">
        <v>928</v>
      </c>
      <c r="C994" s="71" t="s">
        <v>250</v>
      </c>
      <c r="D994" s="71" t="s">
        <v>208</v>
      </c>
      <c r="E994" s="127" t="s">
        <v>787</v>
      </c>
      <c r="F994" s="71" t="s">
        <v>206</v>
      </c>
      <c r="G994" s="72">
        <f>G995+G998</f>
        <v>116.25203</v>
      </c>
      <c r="H994" s="72">
        <f>H995+H998</f>
        <v>0</v>
      </c>
      <c r="I994" s="72">
        <f>I995+I998</f>
        <v>0</v>
      </c>
    </row>
    <row r="995" spans="1:9" ht="31.5" hidden="1" customHeight="1">
      <c r="A995" s="70" t="s">
        <v>788</v>
      </c>
      <c r="B995" s="130" t="s">
        <v>928</v>
      </c>
      <c r="C995" s="71" t="s">
        <v>250</v>
      </c>
      <c r="D995" s="71" t="s">
        <v>208</v>
      </c>
      <c r="E995" s="71" t="s">
        <v>789</v>
      </c>
      <c r="F995" s="71" t="s">
        <v>206</v>
      </c>
      <c r="G995" s="72">
        <f t="shared" ref="G995:I996" si="253">G996</f>
        <v>0</v>
      </c>
      <c r="H995" s="72">
        <f t="shared" si="253"/>
        <v>0</v>
      </c>
      <c r="I995" s="72">
        <f t="shared" si="253"/>
        <v>0</v>
      </c>
    </row>
    <row r="996" spans="1:9" ht="47.25" hidden="1" customHeight="1">
      <c r="A996" s="70" t="s">
        <v>793</v>
      </c>
      <c r="B996" s="130" t="s">
        <v>928</v>
      </c>
      <c r="C996" s="71" t="s">
        <v>250</v>
      </c>
      <c r="D996" s="71" t="s">
        <v>208</v>
      </c>
      <c r="E996" s="71" t="s">
        <v>789</v>
      </c>
      <c r="F996" s="71" t="s">
        <v>283</v>
      </c>
      <c r="G996" s="72">
        <f t="shared" si="253"/>
        <v>0</v>
      </c>
      <c r="H996" s="72">
        <f t="shared" si="253"/>
        <v>0</v>
      </c>
      <c r="I996" s="72">
        <f t="shared" si="253"/>
        <v>0</v>
      </c>
    </row>
    <row r="997" spans="1:9" ht="15.75" hidden="1" customHeight="1">
      <c r="A997" s="70" t="s">
        <v>504</v>
      </c>
      <c r="B997" s="130" t="s">
        <v>928</v>
      </c>
      <c r="C997" s="71" t="s">
        <v>250</v>
      </c>
      <c r="D997" s="71" t="s">
        <v>208</v>
      </c>
      <c r="E997" s="71" t="s">
        <v>789</v>
      </c>
      <c r="F997" s="71" t="s">
        <v>499</v>
      </c>
      <c r="G997" s="76">
        <v>0</v>
      </c>
      <c r="H997" s="72">
        <v>0</v>
      </c>
      <c r="I997" s="72">
        <v>0</v>
      </c>
    </row>
    <row r="998" spans="1:9" ht="47.25" hidden="1" customHeight="1">
      <c r="A998" s="152" t="s">
        <v>814</v>
      </c>
      <c r="B998" s="130" t="s">
        <v>928</v>
      </c>
      <c r="C998" s="153" t="s">
        <v>250</v>
      </c>
      <c r="D998" s="153" t="s">
        <v>208</v>
      </c>
      <c r="E998" s="153" t="s">
        <v>787</v>
      </c>
      <c r="F998" s="153" t="s">
        <v>206</v>
      </c>
      <c r="G998" s="154">
        <f>G1002+G999</f>
        <v>116.25203</v>
      </c>
      <c r="H998" s="154">
        <f>H1002+H999</f>
        <v>0</v>
      </c>
      <c r="I998" s="154">
        <f>I1002+I999</f>
        <v>0</v>
      </c>
    </row>
    <row r="999" spans="1:9" ht="88.5" customHeight="1">
      <c r="A999" s="78" t="s">
        <v>815</v>
      </c>
      <c r="B999" s="128" t="s">
        <v>928</v>
      </c>
      <c r="C999" s="79" t="s">
        <v>250</v>
      </c>
      <c r="D999" s="79" t="s">
        <v>208</v>
      </c>
      <c r="E999" s="75" t="s">
        <v>816</v>
      </c>
      <c r="F999" s="79" t="s">
        <v>206</v>
      </c>
      <c r="G999" s="80">
        <f t="shared" ref="G999:I1000" si="254">G1000</f>
        <v>115.08951</v>
      </c>
      <c r="H999" s="80">
        <f t="shared" si="254"/>
        <v>0</v>
      </c>
      <c r="I999" s="80">
        <f t="shared" si="254"/>
        <v>0</v>
      </c>
    </row>
    <row r="1000" spans="1:9" ht="55.5" customHeight="1">
      <c r="A1000" s="74" t="s">
        <v>793</v>
      </c>
      <c r="B1000" s="98" t="s">
        <v>928</v>
      </c>
      <c r="C1000" s="75" t="s">
        <v>250</v>
      </c>
      <c r="D1000" s="75" t="s">
        <v>208</v>
      </c>
      <c r="E1000" s="75" t="s">
        <v>816</v>
      </c>
      <c r="F1000" s="75" t="s">
        <v>283</v>
      </c>
      <c r="G1000" s="76">
        <f t="shared" si="254"/>
        <v>115.08951</v>
      </c>
      <c r="H1000" s="76">
        <f t="shared" si="254"/>
        <v>0</v>
      </c>
      <c r="I1000" s="76">
        <f t="shared" si="254"/>
        <v>0</v>
      </c>
    </row>
    <row r="1001" spans="1:9" ht="21" customHeight="1">
      <c r="A1001" s="74" t="s">
        <v>504</v>
      </c>
      <c r="B1001" s="98" t="s">
        <v>928</v>
      </c>
      <c r="C1001" s="75" t="s">
        <v>250</v>
      </c>
      <c r="D1001" s="75" t="s">
        <v>208</v>
      </c>
      <c r="E1001" s="75" t="s">
        <v>816</v>
      </c>
      <c r="F1001" s="75" t="s">
        <v>499</v>
      </c>
      <c r="G1001" s="76">
        <f>'3'!F953</f>
        <v>115.08951</v>
      </c>
      <c r="H1001" s="76">
        <f>'3'!G953</f>
        <v>0</v>
      </c>
      <c r="I1001" s="76">
        <f>'3'!H953</f>
        <v>0</v>
      </c>
    </row>
    <row r="1002" spans="1:9" ht="104.25" customHeight="1">
      <c r="A1002" s="78" t="s">
        <v>817</v>
      </c>
      <c r="B1002" s="128" t="s">
        <v>928</v>
      </c>
      <c r="C1002" s="79" t="s">
        <v>250</v>
      </c>
      <c r="D1002" s="79" t="s">
        <v>208</v>
      </c>
      <c r="E1002" s="75" t="s">
        <v>818</v>
      </c>
      <c r="F1002" s="79" t="s">
        <v>206</v>
      </c>
      <c r="G1002" s="80">
        <f t="shared" ref="G1002:I1003" si="255">G1003</f>
        <v>1.16252</v>
      </c>
      <c r="H1002" s="80">
        <f t="shared" si="255"/>
        <v>0</v>
      </c>
      <c r="I1002" s="80">
        <f t="shared" si="255"/>
        <v>0</v>
      </c>
    </row>
    <row r="1003" spans="1:9" ht="54.75" customHeight="1">
      <c r="A1003" s="74" t="s">
        <v>793</v>
      </c>
      <c r="B1003" s="98" t="s">
        <v>928</v>
      </c>
      <c r="C1003" s="75" t="s">
        <v>250</v>
      </c>
      <c r="D1003" s="75" t="s">
        <v>208</v>
      </c>
      <c r="E1003" s="75" t="s">
        <v>818</v>
      </c>
      <c r="F1003" s="75" t="s">
        <v>283</v>
      </c>
      <c r="G1003" s="76">
        <f t="shared" si="255"/>
        <v>1.16252</v>
      </c>
      <c r="H1003" s="76">
        <f t="shared" si="255"/>
        <v>0</v>
      </c>
      <c r="I1003" s="76">
        <f t="shared" si="255"/>
        <v>0</v>
      </c>
    </row>
    <row r="1004" spans="1:9" ht="16.899999999999999" customHeight="1">
      <c r="A1004" s="74" t="s">
        <v>504</v>
      </c>
      <c r="B1004" s="98" t="s">
        <v>928</v>
      </c>
      <c r="C1004" s="75" t="s">
        <v>250</v>
      </c>
      <c r="D1004" s="75" t="s">
        <v>208</v>
      </c>
      <c r="E1004" s="75" t="s">
        <v>818</v>
      </c>
      <c r="F1004" s="75" t="s">
        <v>499</v>
      </c>
      <c r="G1004" s="76">
        <f>'3'!F956</f>
        <v>1.16252</v>
      </c>
      <c r="H1004" s="76">
        <f>'3'!G956</f>
        <v>0</v>
      </c>
      <c r="I1004" s="76">
        <f>'3'!H956</f>
        <v>0</v>
      </c>
    </row>
    <row r="1005" spans="1:9" ht="47.25" hidden="1" customHeight="1">
      <c r="A1005" s="152" t="s">
        <v>790</v>
      </c>
      <c r="B1005" s="220" t="s">
        <v>928</v>
      </c>
      <c r="C1005" s="153" t="s">
        <v>250</v>
      </c>
      <c r="D1005" s="153" t="s">
        <v>208</v>
      </c>
      <c r="E1005" s="153" t="s">
        <v>787</v>
      </c>
      <c r="F1005" s="153" t="s">
        <v>206</v>
      </c>
      <c r="G1005" s="154">
        <f t="shared" ref="G1005:I1013" si="256">G1006</f>
        <v>0</v>
      </c>
      <c r="H1005" s="154">
        <f t="shared" ref="H1005:I1007" si="257">H1006</f>
        <v>0</v>
      </c>
      <c r="I1005" s="154">
        <f t="shared" si="257"/>
        <v>0</v>
      </c>
    </row>
    <row r="1006" spans="1:9" ht="78.75" hidden="1" customHeight="1">
      <c r="A1006" s="132" t="s">
        <v>949</v>
      </c>
      <c r="B1006" s="213" t="s">
        <v>928</v>
      </c>
      <c r="C1006" s="127" t="s">
        <v>250</v>
      </c>
      <c r="D1006" s="127" t="s">
        <v>208</v>
      </c>
      <c r="E1006" s="127" t="s">
        <v>806</v>
      </c>
      <c r="F1006" s="127" t="s">
        <v>206</v>
      </c>
      <c r="G1006" s="129">
        <f t="shared" si="256"/>
        <v>0</v>
      </c>
      <c r="H1006" s="129">
        <f t="shared" si="257"/>
        <v>0</v>
      </c>
      <c r="I1006" s="129">
        <f t="shared" si="257"/>
        <v>0</v>
      </c>
    </row>
    <row r="1007" spans="1:9" ht="47.25" hidden="1" customHeight="1">
      <c r="A1007" s="70" t="s">
        <v>793</v>
      </c>
      <c r="B1007" s="130" t="s">
        <v>928</v>
      </c>
      <c r="C1007" s="71" t="s">
        <v>250</v>
      </c>
      <c r="D1007" s="71" t="s">
        <v>208</v>
      </c>
      <c r="E1007" s="71" t="s">
        <v>806</v>
      </c>
      <c r="F1007" s="71" t="s">
        <v>283</v>
      </c>
      <c r="G1007" s="72">
        <f t="shared" si="256"/>
        <v>0</v>
      </c>
      <c r="H1007" s="72">
        <f t="shared" si="257"/>
        <v>0</v>
      </c>
      <c r="I1007" s="72">
        <f t="shared" si="257"/>
        <v>0</v>
      </c>
    </row>
    <row r="1008" spans="1:9" ht="15.75" hidden="1" customHeight="1">
      <c r="A1008" s="70" t="s">
        <v>504</v>
      </c>
      <c r="B1008" s="130" t="s">
        <v>928</v>
      </c>
      <c r="C1008" s="71" t="s">
        <v>250</v>
      </c>
      <c r="D1008" s="71" t="s">
        <v>208</v>
      </c>
      <c r="E1008" s="71" t="s">
        <v>806</v>
      </c>
      <c r="F1008" s="71" t="s">
        <v>499</v>
      </c>
      <c r="G1008" s="72"/>
      <c r="H1008" s="72"/>
      <c r="I1008" s="72"/>
    </row>
    <row r="1009" spans="1:10" ht="110.25" hidden="1" customHeight="1">
      <c r="A1009" s="132" t="s">
        <v>794</v>
      </c>
      <c r="B1009" s="213" t="s">
        <v>928</v>
      </c>
      <c r="C1009" s="127" t="s">
        <v>250</v>
      </c>
      <c r="D1009" s="127" t="s">
        <v>208</v>
      </c>
      <c r="E1009" s="127" t="s">
        <v>950</v>
      </c>
      <c r="F1009" s="127" t="s">
        <v>206</v>
      </c>
      <c r="G1009" s="129">
        <f t="shared" si="256"/>
        <v>0</v>
      </c>
      <c r="H1009" s="129">
        <f t="shared" si="256"/>
        <v>0</v>
      </c>
      <c r="I1009" s="129">
        <f t="shared" si="256"/>
        <v>0</v>
      </c>
    </row>
    <row r="1010" spans="1:10" ht="47.25" hidden="1" customHeight="1">
      <c r="A1010" s="70" t="s">
        <v>793</v>
      </c>
      <c r="B1010" s="130" t="s">
        <v>928</v>
      </c>
      <c r="C1010" s="71" t="s">
        <v>250</v>
      </c>
      <c r="D1010" s="71" t="s">
        <v>208</v>
      </c>
      <c r="E1010" s="71" t="s">
        <v>950</v>
      </c>
      <c r="F1010" s="71" t="s">
        <v>283</v>
      </c>
      <c r="G1010" s="72">
        <f t="shared" si="256"/>
        <v>0</v>
      </c>
      <c r="H1010" s="72">
        <f t="shared" si="256"/>
        <v>0</v>
      </c>
      <c r="I1010" s="72">
        <f t="shared" si="256"/>
        <v>0</v>
      </c>
    </row>
    <row r="1011" spans="1:10" ht="15.75" hidden="1" customHeight="1">
      <c r="A1011" s="70" t="s">
        <v>504</v>
      </c>
      <c r="B1011" s="130" t="s">
        <v>928</v>
      </c>
      <c r="C1011" s="71" t="s">
        <v>250</v>
      </c>
      <c r="D1011" s="71" t="s">
        <v>208</v>
      </c>
      <c r="E1011" s="71" t="s">
        <v>950</v>
      </c>
      <c r="F1011" s="71" t="s">
        <v>499</v>
      </c>
      <c r="G1011" s="72"/>
      <c r="H1011" s="72"/>
      <c r="I1011" s="72"/>
    </row>
    <row r="1012" spans="1:10" ht="51.75" customHeight="1">
      <c r="A1012" s="117" t="s">
        <v>951</v>
      </c>
      <c r="B1012" s="198" t="s">
        <v>952</v>
      </c>
      <c r="C1012" s="198" t="s">
        <v>204</v>
      </c>
      <c r="D1012" s="198" t="s">
        <v>204</v>
      </c>
      <c r="E1012" s="198" t="s">
        <v>205</v>
      </c>
      <c r="F1012" s="198" t="s">
        <v>206</v>
      </c>
      <c r="G1012" s="63">
        <f t="shared" si="256"/>
        <v>3262.7</v>
      </c>
      <c r="H1012" s="63">
        <f t="shared" ref="H1012:I1013" si="258">H1013</f>
        <v>3202.2080000000001</v>
      </c>
      <c r="I1012" s="63">
        <f t="shared" si="258"/>
        <v>3316.096</v>
      </c>
    </row>
    <row r="1013" spans="1:10" ht="69" customHeight="1">
      <c r="A1013" s="74" t="s">
        <v>238</v>
      </c>
      <c r="B1013" s="98" t="s">
        <v>952</v>
      </c>
      <c r="C1013" s="75" t="s">
        <v>203</v>
      </c>
      <c r="D1013" s="75" t="s">
        <v>239</v>
      </c>
      <c r="E1013" s="75" t="s">
        <v>205</v>
      </c>
      <c r="F1013" s="75" t="s">
        <v>206</v>
      </c>
      <c r="G1013" s="76">
        <f t="shared" si="256"/>
        <v>3262.7</v>
      </c>
      <c r="H1013" s="76">
        <f t="shared" si="258"/>
        <v>3202.2080000000001</v>
      </c>
      <c r="I1013" s="76">
        <f t="shared" ref="G1013:I1014" si="259">I1014</f>
        <v>3316.096</v>
      </c>
    </row>
    <row r="1014" spans="1:10" ht="38.25" customHeight="1">
      <c r="A1014" s="74" t="s">
        <v>240</v>
      </c>
      <c r="B1014" s="98" t="s">
        <v>952</v>
      </c>
      <c r="C1014" s="75" t="s">
        <v>203</v>
      </c>
      <c r="D1014" s="75" t="s">
        <v>239</v>
      </c>
      <c r="E1014" s="75" t="s">
        <v>210</v>
      </c>
      <c r="F1014" s="75" t="s">
        <v>206</v>
      </c>
      <c r="G1014" s="76">
        <f t="shared" si="259"/>
        <v>3262.7</v>
      </c>
      <c r="H1014" s="76">
        <f t="shared" si="259"/>
        <v>3202.2080000000001</v>
      </c>
      <c r="I1014" s="76">
        <f t="shared" si="259"/>
        <v>3316.096</v>
      </c>
    </row>
    <row r="1015" spans="1:10" ht="52.5" customHeight="1">
      <c r="A1015" s="74" t="s">
        <v>953</v>
      </c>
      <c r="B1015" s="98" t="s">
        <v>952</v>
      </c>
      <c r="C1015" s="75" t="s">
        <v>203</v>
      </c>
      <c r="D1015" s="75" t="s">
        <v>239</v>
      </c>
      <c r="E1015" s="75" t="s">
        <v>212</v>
      </c>
      <c r="F1015" s="75" t="s">
        <v>206</v>
      </c>
      <c r="G1015" s="76">
        <f>G1018+G1020+G1022+G1017</f>
        <v>3262.7</v>
      </c>
      <c r="H1015" s="76">
        <f>H1018+H1020+H1022+H1017</f>
        <v>3202.2080000000001</v>
      </c>
      <c r="I1015" s="76">
        <f>I1018+I1020+I1022+I1017</f>
        <v>3316.096</v>
      </c>
    </row>
    <row r="1016" spans="1:10" ht="94.5" hidden="1" customHeight="1">
      <c r="A1016" s="150" t="s">
        <v>215</v>
      </c>
      <c r="B1016" s="217" t="s">
        <v>952</v>
      </c>
      <c r="C1016" s="149" t="s">
        <v>203</v>
      </c>
      <c r="D1016" s="149" t="s">
        <v>239</v>
      </c>
      <c r="E1016" s="149" t="s">
        <v>228</v>
      </c>
      <c r="F1016" s="149" t="s">
        <v>216</v>
      </c>
      <c r="G1016" s="147">
        <f>G1017</f>
        <v>0</v>
      </c>
      <c r="H1016" s="147">
        <f>H1017</f>
        <v>0</v>
      </c>
      <c r="I1016" s="147">
        <f>I1017</f>
        <v>0</v>
      </c>
    </row>
    <row r="1017" spans="1:10" ht="1.5" hidden="1" customHeight="1">
      <c r="A1017" s="150" t="s">
        <v>217</v>
      </c>
      <c r="B1017" s="217" t="s">
        <v>952</v>
      </c>
      <c r="C1017" s="149" t="s">
        <v>203</v>
      </c>
      <c r="D1017" s="149" t="s">
        <v>239</v>
      </c>
      <c r="E1017" s="149" t="s">
        <v>228</v>
      </c>
      <c r="F1017" s="149" t="s">
        <v>218</v>
      </c>
      <c r="G1017" s="147">
        <f>'3'!F62</f>
        <v>0</v>
      </c>
      <c r="H1017" s="147">
        <f>'3'!G62</f>
        <v>0</v>
      </c>
      <c r="I1017" s="147">
        <f>'3'!H62</f>
        <v>0</v>
      </c>
    </row>
    <row r="1018" spans="1:10" ht="33.75" customHeight="1">
      <c r="A1018" s="74" t="s">
        <v>223</v>
      </c>
      <c r="B1018" s="98" t="s">
        <v>952</v>
      </c>
      <c r="C1018" s="75" t="s">
        <v>203</v>
      </c>
      <c r="D1018" s="75" t="s">
        <v>239</v>
      </c>
      <c r="E1018" s="75" t="s">
        <v>228</v>
      </c>
      <c r="F1018" s="75" t="s">
        <v>224</v>
      </c>
      <c r="G1018" s="76">
        <f>G1019</f>
        <v>473</v>
      </c>
      <c r="H1018" s="76">
        <f>H1019</f>
        <v>353</v>
      </c>
      <c r="I1018" s="76">
        <f>I1019</f>
        <v>353</v>
      </c>
    </row>
    <row r="1019" spans="1:10" ht="50.25" customHeight="1">
      <c r="A1019" s="74" t="s">
        <v>225</v>
      </c>
      <c r="B1019" s="98" t="s">
        <v>952</v>
      </c>
      <c r="C1019" s="75" t="s">
        <v>203</v>
      </c>
      <c r="D1019" s="75" t="s">
        <v>239</v>
      </c>
      <c r="E1019" s="75" t="s">
        <v>228</v>
      </c>
      <c r="F1019" s="75" t="s">
        <v>226</v>
      </c>
      <c r="G1019" s="76">
        <f>'3'!F64</f>
        <v>473</v>
      </c>
      <c r="H1019" s="76">
        <f>'3'!G64</f>
        <v>353</v>
      </c>
      <c r="I1019" s="76">
        <f>'3'!H64</f>
        <v>353</v>
      </c>
      <c r="J1019" s="184"/>
    </row>
    <row r="1020" spans="1:10" ht="20.25" customHeight="1">
      <c r="A1020" s="74" t="s">
        <v>229</v>
      </c>
      <c r="B1020" s="98" t="s">
        <v>952</v>
      </c>
      <c r="C1020" s="75" t="s">
        <v>203</v>
      </c>
      <c r="D1020" s="75" t="s">
        <v>239</v>
      </c>
      <c r="E1020" s="75" t="s">
        <v>228</v>
      </c>
      <c r="F1020" s="75" t="s">
        <v>230</v>
      </c>
      <c r="G1020" s="76">
        <f>G1021</f>
        <v>2</v>
      </c>
      <c r="H1020" s="76">
        <f>H1021</f>
        <v>2</v>
      </c>
      <c r="I1020" s="76">
        <f>I1021</f>
        <v>2</v>
      </c>
    </row>
    <row r="1021" spans="1:10" ht="20.25" customHeight="1">
      <c r="A1021" s="74" t="s">
        <v>231</v>
      </c>
      <c r="B1021" s="98" t="s">
        <v>952</v>
      </c>
      <c r="C1021" s="75" t="s">
        <v>203</v>
      </c>
      <c r="D1021" s="75" t="s">
        <v>239</v>
      </c>
      <c r="E1021" s="75" t="s">
        <v>228</v>
      </c>
      <c r="F1021" s="75" t="s">
        <v>232</v>
      </c>
      <c r="G1021" s="76">
        <f>'3'!F66</f>
        <v>2</v>
      </c>
      <c r="H1021" s="76">
        <f>'3'!G66</f>
        <v>2</v>
      </c>
      <c r="I1021" s="76">
        <f>'3'!H66</f>
        <v>2</v>
      </c>
    </row>
    <row r="1022" spans="1:10" ht="37.5" customHeight="1">
      <c r="A1022" s="225" t="s">
        <v>247</v>
      </c>
      <c r="B1022" s="238" t="s">
        <v>952</v>
      </c>
      <c r="C1022" s="226" t="s">
        <v>203</v>
      </c>
      <c r="D1022" s="226" t="s">
        <v>239</v>
      </c>
      <c r="E1022" s="226" t="s">
        <v>248</v>
      </c>
      <c r="F1022" s="226" t="s">
        <v>206</v>
      </c>
      <c r="G1022" s="227">
        <f>G1023</f>
        <v>2787.7</v>
      </c>
      <c r="H1022" s="227">
        <f t="shared" ref="G1022:I1023" si="260">H1023</f>
        <v>2847.2080000000001</v>
      </c>
      <c r="I1022" s="227">
        <f t="shared" si="260"/>
        <v>2961.096</v>
      </c>
    </row>
    <row r="1023" spans="1:10" ht="98.25" customHeight="1">
      <c r="A1023" s="74" t="s">
        <v>215</v>
      </c>
      <c r="B1023" s="98" t="s">
        <v>952</v>
      </c>
      <c r="C1023" s="75" t="s">
        <v>203</v>
      </c>
      <c r="D1023" s="75" t="s">
        <v>239</v>
      </c>
      <c r="E1023" s="75" t="s">
        <v>248</v>
      </c>
      <c r="F1023" s="75" t="s">
        <v>216</v>
      </c>
      <c r="G1023" s="76">
        <f t="shared" si="260"/>
        <v>2787.7</v>
      </c>
      <c r="H1023" s="76">
        <f t="shared" si="260"/>
        <v>2847.2080000000001</v>
      </c>
      <c r="I1023" s="76">
        <f t="shared" si="260"/>
        <v>2961.096</v>
      </c>
    </row>
    <row r="1024" spans="1:10" ht="51" customHeight="1">
      <c r="A1024" s="74" t="s">
        <v>217</v>
      </c>
      <c r="B1024" s="98" t="s">
        <v>952</v>
      </c>
      <c r="C1024" s="75" t="s">
        <v>203</v>
      </c>
      <c r="D1024" s="75" t="s">
        <v>239</v>
      </c>
      <c r="E1024" s="75" t="s">
        <v>248</v>
      </c>
      <c r="F1024" s="75" t="s">
        <v>218</v>
      </c>
      <c r="G1024" s="76">
        <f>'5'!D273</f>
        <v>2787.7</v>
      </c>
      <c r="H1024" s="76">
        <f>'5'!E273</f>
        <v>2847.2080000000001</v>
      </c>
      <c r="I1024" s="76">
        <f>'5'!F273</f>
        <v>2961.096</v>
      </c>
    </row>
    <row r="1025" spans="1:9" ht="15.75" customHeight="1">
      <c r="A1025" s="66" t="s">
        <v>852</v>
      </c>
      <c r="B1025" s="199"/>
      <c r="C1025" s="67"/>
      <c r="D1025" s="67"/>
      <c r="E1025" s="67"/>
      <c r="F1025" s="67"/>
      <c r="G1025" s="68">
        <v>0</v>
      </c>
      <c r="H1025" s="239">
        <f>'5'!E341</f>
        <v>10733.266275000002</v>
      </c>
      <c r="I1025" s="239">
        <f>'5'!F341</f>
        <v>22757.532550000004</v>
      </c>
    </row>
    <row r="1026" spans="1:9">
      <c r="A1026" s="240" t="s">
        <v>954</v>
      </c>
      <c r="B1026" s="241"/>
      <c r="C1026" s="241"/>
      <c r="D1026" s="241"/>
      <c r="E1026" s="241"/>
      <c r="F1026" s="241"/>
      <c r="G1026" s="154">
        <f>G1012+G742+G685+G666+G12</f>
        <v>1081220.1864551515</v>
      </c>
      <c r="H1026" s="154">
        <f>H12+H666+H685+H742+H1012+H1025</f>
        <v>938077.19989881059</v>
      </c>
      <c r="I1026" s="154">
        <f>I12+I666+I685+I742+I1012+I1025</f>
        <v>1000450.9043810467</v>
      </c>
    </row>
    <row r="1027" spans="1:9">
      <c r="E1027" s="184"/>
      <c r="G1027" s="22"/>
      <c r="H1027" s="184"/>
      <c r="I1027" s="184"/>
    </row>
    <row r="1028" spans="1:9">
      <c r="A1028" s="52"/>
      <c r="E1028" s="242"/>
      <c r="F1028" s="242"/>
      <c r="G1028" s="21"/>
      <c r="H1028" s="21"/>
      <c r="I1028" s="21"/>
    </row>
    <row r="1029" spans="1:9">
      <c r="A1029" s="52"/>
      <c r="E1029" s="19"/>
      <c r="F1029" s="243"/>
      <c r="G1029" s="184"/>
      <c r="H1029" s="184"/>
      <c r="I1029" s="184"/>
    </row>
    <row r="1030" spans="1:9">
      <c r="A1030" s="52"/>
      <c r="E1030" s="244"/>
      <c r="F1030" s="244"/>
      <c r="G1030" s="184"/>
      <c r="H1030" s="184"/>
      <c r="I1030" s="184"/>
    </row>
    <row r="1031" spans="1:9">
      <c r="A1031" s="52"/>
      <c r="E1031" s="245"/>
      <c r="F1031" s="245"/>
      <c r="G1031" s="22"/>
      <c r="H1031" s="22"/>
      <c r="I1031" s="22"/>
    </row>
    <row r="1032" spans="1:9">
      <c r="A1032" s="52"/>
      <c r="G1032" s="21"/>
      <c r="H1032" s="21"/>
      <c r="I1032" s="21"/>
    </row>
    <row r="1033" spans="1:9">
      <c r="A1033" s="52"/>
      <c r="G1033" s="184"/>
      <c r="H1033" s="184"/>
      <c r="I1033" s="184"/>
    </row>
    <row r="1034" spans="1:9">
      <c r="A1034" s="52"/>
      <c r="G1034" s="246"/>
      <c r="H1034" s="184"/>
      <c r="I1034" s="184"/>
    </row>
    <row r="1035" spans="1:9">
      <c r="A1035" s="52"/>
      <c r="G1035" s="184"/>
      <c r="H1035" s="184"/>
      <c r="I1035" s="184"/>
    </row>
    <row r="1036" spans="1:9">
      <c r="A1036" s="52"/>
      <c r="H1036" s="184"/>
      <c r="I1036" s="184"/>
    </row>
  </sheetData>
  <autoFilter ref="A10:I232"/>
  <mergeCells count="15">
    <mergeCell ref="A7:I7"/>
    <mergeCell ref="A10:A11"/>
    <mergeCell ref="B10:B11"/>
    <mergeCell ref="C10:C11"/>
    <mergeCell ref="D10:D11"/>
    <mergeCell ref="E10:E11"/>
    <mergeCell ref="F10:F11"/>
    <mergeCell ref="G10:G11"/>
    <mergeCell ref="H10:H11"/>
    <mergeCell ref="I10:I11"/>
    <mergeCell ref="H1:I1"/>
    <mergeCell ref="A2:I2"/>
    <mergeCell ref="A3:I3"/>
    <mergeCell ref="A4:I4"/>
    <mergeCell ref="A6:I6"/>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pageSetUpPr fitToPage="1"/>
  </sheetPr>
  <dimension ref="A1:I351"/>
  <sheetViews>
    <sheetView view="pageBreakPreview" topLeftCell="A311" zoomScale="70" workbookViewId="0">
      <selection activeCell="A236" sqref="A236"/>
    </sheetView>
  </sheetViews>
  <sheetFormatPr defaultColWidth="8.7109375" defaultRowHeight="15.75"/>
  <cols>
    <col min="1" max="1" width="73.7109375" style="197" customWidth="1"/>
    <col min="2" max="2" width="14.42578125" style="50" customWidth="1"/>
    <col min="3" max="3" width="18.5703125" style="247" customWidth="1"/>
    <col min="4" max="4" width="19.28515625" style="248" customWidth="1"/>
    <col min="5" max="5" width="17.42578125" style="73" customWidth="1"/>
    <col min="6" max="6" width="18.85546875" style="73" customWidth="1"/>
    <col min="7" max="7" width="20.85546875" style="73" customWidth="1"/>
    <col min="8" max="8" width="17.85546875" style="50" customWidth="1"/>
    <col min="9" max="10" width="9.140625" style="50" customWidth="1"/>
    <col min="11" max="16384" width="8.7109375" style="50"/>
  </cols>
  <sheetData>
    <row r="1" spans="1:7">
      <c r="A1" s="377" t="s">
        <v>955</v>
      </c>
      <c r="B1" s="377"/>
      <c r="C1" s="377"/>
      <c r="D1" s="377"/>
      <c r="E1" s="377"/>
      <c r="F1" s="377"/>
      <c r="G1" s="249"/>
    </row>
    <row r="2" spans="1:7">
      <c r="A2" s="377" t="s">
        <v>1</v>
      </c>
      <c r="B2" s="377"/>
      <c r="C2" s="377"/>
      <c r="D2" s="377"/>
      <c r="E2" s="377"/>
      <c r="F2" s="377"/>
      <c r="G2" s="249"/>
    </row>
    <row r="3" spans="1:7">
      <c r="A3" s="377" t="s">
        <v>855</v>
      </c>
      <c r="B3" s="377"/>
      <c r="C3" s="377"/>
      <c r="D3" s="377"/>
      <c r="E3" s="377"/>
      <c r="F3" s="377"/>
      <c r="G3" s="249"/>
    </row>
    <row r="4" spans="1:7">
      <c r="A4" s="370" t="s">
        <v>3</v>
      </c>
      <c r="B4" s="370"/>
      <c r="C4" s="370"/>
      <c r="D4" s="370"/>
      <c r="E4" s="370"/>
      <c r="F4" s="370"/>
      <c r="G4" s="53"/>
    </row>
    <row r="5" spans="1:7" ht="5.65" customHeight="1">
      <c r="B5" s="190"/>
    </row>
    <row r="6" spans="1:7" ht="60.75" customHeight="1">
      <c r="A6" s="372" t="s">
        <v>956</v>
      </c>
      <c r="B6" s="372"/>
      <c r="C6" s="372"/>
      <c r="D6" s="372"/>
      <c r="E6" s="372"/>
      <c r="F6" s="372"/>
      <c r="G6" s="54"/>
    </row>
    <row r="7" spans="1:7" ht="4.1500000000000004" customHeight="1">
      <c r="A7" s="250"/>
      <c r="B7" s="54"/>
      <c r="C7" s="251"/>
      <c r="D7" s="252"/>
      <c r="E7" s="253"/>
      <c r="F7" s="253"/>
      <c r="G7" s="253"/>
    </row>
    <row r="8" spans="1:7">
      <c r="B8" s="254"/>
      <c r="C8" s="255"/>
      <c r="D8" s="256"/>
      <c r="E8" s="257"/>
      <c r="F8" s="257" t="s">
        <v>5</v>
      </c>
      <c r="G8" s="257"/>
    </row>
    <row r="9" spans="1:7" ht="39.75" customHeight="1">
      <c r="A9" s="152" t="s">
        <v>35</v>
      </c>
      <c r="B9" s="58" t="s">
        <v>957</v>
      </c>
      <c r="C9" s="30" t="s">
        <v>197</v>
      </c>
      <c r="D9" s="102" t="s">
        <v>958</v>
      </c>
      <c r="E9" s="154" t="s">
        <v>959</v>
      </c>
      <c r="F9" s="154" t="s">
        <v>960</v>
      </c>
      <c r="G9" s="253"/>
    </row>
    <row r="10" spans="1:7" ht="16.149999999999999" customHeight="1">
      <c r="A10" s="152">
        <v>1</v>
      </c>
      <c r="B10" s="58">
        <v>2</v>
      </c>
      <c r="C10" s="30">
        <v>3</v>
      </c>
      <c r="D10" s="258">
        <v>4</v>
      </c>
      <c r="E10" s="259">
        <v>5</v>
      </c>
      <c r="F10" s="259">
        <v>6</v>
      </c>
      <c r="G10" s="260"/>
    </row>
    <row r="11" spans="1:7" s="99" customFormat="1" ht="19.149999999999999" customHeight="1">
      <c r="A11" s="378" t="s">
        <v>961</v>
      </c>
      <c r="B11" s="378"/>
      <c r="C11" s="378"/>
      <c r="D11" s="378"/>
    </row>
    <row r="12" spans="1:7" ht="35.25" customHeight="1">
      <c r="A12" s="261" t="s">
        <v>962</v>
      </c>
      <c r="B12" s="262" t="s">
        <v>206</v>
      </c>
      <c r="C12" s="262" t="s">
        <v>493</v>
      </c>
      <c r="D12" s="263">
        <f>D13+D56+D70+D73+D92+D97+D100+D103+D94+D110+D105</f>
        <v>773707.39339515159</v>
      </c>
      <c r="E12" s="263">
        <f t="shared" ref="E12:F12" si="0">E13+E56+E70+E73+E92+E97+E100+E103+E94+E110+E105</f>
        <v>684615.1329000002</v>
      </c>
      <c r="F12" s="263">
        <f t="shared" si="0"/>
        <v>719554.69090500008</v>
      </c>
      <c r="G12" s="264"/>
    </row>
    <row r="13" spans="1:7" s="77" customFormat="1" ht="30" customHeight="1">
      <c r="A13" s="265" t="s">
        <v>317</v>
      </c>
      <c r="B13" s="266" t="s">
        <v>928</v>
      </c>
      <c r="C13" s="266" t="s">
        <v>516</v>
      </c>
      <c r="D13" s="267">
        <f>D14+D17+D21+D24+D25+D28+D46+D49+D50+D51+D52+D53+D20+D26+D54+D40+D55</f>
        <v>467127.62082515145</v>
      </c>
      <c r="E13" s="267">
        <f t="shared" ref="E13:F13" si="1">E14+E17+E21+E24+E25+E28+E46+E49+E50+E51+E52+E53+E20+E26+E54+E37+E55</f>
        <v>437056.85900000005</v>
      </c>
      <c r="F13" s="267">
        <f t="shared" si="1"/>
        <v>464038.82853000006</v>
      </c>
      <c r="G13" s="268"/>
    </row>
    <row r="14" spans="1:7" s="77" customFormat="1" ht="32.25" customHeight="1">
      <c r="A14" s="100" t="s">
        <v>517</v>
      </c>
      <c r="B14" s="133" t="s">
        <v>928</v>
      </c>
      <c r="C14" s="133" t="s">
        <v>519</v>
      </c>
      <c r="D14" s="106">
        <f>D15+D16</f>
        <v>10045.74</v>
      </c>
      <c r="E14" s="106">
        <f t="shared" ref="E14:F31" si="2">E15+E16</f>
        <v>500</v>
      </c>
      <c r="F14" s="106">
        <f t="shared" si="2"/>
        <v>500</v>
      </c>
      <c r="G14" s="269"/>
    </row>
    <row r="15" spans="1:7" s="99" customFormat="1" ht="33" customHeight="1">
      <c r="A15" s="70" t="s">
        <v>963</v>
      </c>
      <c r="B15" s="130" t="s">
        <v>928</v>
      </c>
      <c r="C15" s="98" t="s">
        <v>519</v>
      </c>
      <c r="D15" s="76">
        <f>500+6675+160.8+2110+289.94+310</f>
        <v>10045.74</v>
      </c>
      <c r="E15" s="72">
        <v>500</v>
      </c>
      <c r="F15" s="72">
        <v>500</v>
      </c>
      <c r="G15" s="270"/>
    </row>
    <row r="16" spans="1:7" s="99" customFormat="1" ht="34.15" hidden="1" customHeight="1">
      <c r="A16" s="271" t="s">
        <v>964</v>
      </c>
      <c r="B16" s="272" t="s">
        <v>928</v>
      </c>
      <c r="C16" s="272" t="s">
        <v>519</v>
      </c>
      <c r="D16" s="273"/>
      <c r="E16" s="273">
        <v>0</v>
      </c>
      <c r="F16" s="273">
        <v>0</v>
      </c>
      <c r="G16" s="274"/>
    </row>
    <row r="17" spans="1:7" s="99" customFormat="1" ht="49.5" hidden="1" customHeight="1">
      <c r="A17" s="275" t="s">
        <v>965</v>
      </c>
      <c r="B17" s="276" t="s">
        <v>928</v>
      </c>
      <c r="C17" s="276" t="s">
        <v>966</v>
      </c>
      <c r="D17" s="277">
        <f>D18+D19</f>
        <v>0</v>
      </c>
      <c r="E17" s="277"/>
      <c r="F17" s="277"/>
      <c r="G17" s="278"/>
    </row>
    <row r="18" spans="1:7" s="99" customFormat="1" ht="62.25" hidden="1" customHeight="1">
      <c r="A18" s="271" t="s">
        <v>967</v>
      </c>
      <c r="B18" s="272" t="s">
        <v>928</v>
      </c>
      <c r="C18" s="272" t="s">
        <v>968</v>
      </c>
      <c r="D18" s="273"/>
      <c r="E18" s="273"/>
      <c r="F18" s="273"/>
      <c r="G18" s="274"/>
    </row>
    <row r="19" spans="1:7" s="99" customFormat="1" ht="51" hidden="1" customHeight="1">
      <c r="A19" s="271" t="s">
        <v>325</v>
      </c>
      <c r="B19" s="272" t="s">
        <v>928</v>
      </c>
      <c r="C19" s="272" t="s">
        <v>522</v>
      </c>
      <c r="D19" s="273"/>
      <c r="E19" s="273"/>
      <c r="F19" s="273"/>
      <c r="G19" s="274"/>
    </row>
    <row r="20" spans="1:7" s="99" customFormat="1" ht="32.25" customHeight="1">
      <c r="A20" s="74" t="s">
        <v>969</v>
      </c>
      <c r="B20" s="98" t="s">
        <v>928</v>
      </c>
      <c r="C20" s="98" t="s">
        <v>524</v>
      </c>
      <c r="D20" s="76">
        <v>1122</v>
      </c>
      <c r="E20" s="76">
        <v>0</v>
      </c>
      <c r="F20" s="76">
        <v>0</v>
      </c>
      <c r="G20" s="151"/>
    </row>
    <row r="21" spans="1:7" s="99" customFormat="1" ht="43.5" hidden="1" customHeight="1">
      <c r="A21" s="279" t="s">
        <v>970</v>
      </c>
      <c r="B21" s="272"/>
      <c r="C21" s="280"/>
      <c r="D21" s="281">
        <f>D22+D23</f>
        <v>0</v>
      </c>
      <c r="E21" s="281">
        <f t="shared" si="2"/>
        <v>0</v>
      </c>
      <c r="F21" s="281">
        <f>F22+F23</f>
        <v>0</v>
      </c>
      <c r="G21" s="282"/>
    </row>
    <row r="22" spans="1:7" s="99" customFormat="1" ht="46.9" hidden="1" customHeight="1">
      <c r="A22" s="271" t="s">
        <v>971</v>
      </c>
      <c r="B22" s="272" t="s">
        <v>972</v>
      </c>
      <c r="C22" s="272" t="s">
        <v>867</v>
      </c>
      <c r="D22" s="273"/>
      <c r="E22" s="273"/>
      <c r="F22" s="273"/>
      <c r="G22" s="274"/>
    </row>
    <row r="23" spans="1:7" s="99" customFormat="1" ht="55.9" hidden="1" customHeight="1">
      <c r="A23" s="271" t="s">
        <v>973</v>
      </c>
      <c r="B23" s="272" t="s">
        <v>864</v>
      </c>
      <c r="C23" s="272" t="s">
        <v>868</v>
      </c>
      <c r="D23" s="273"/>
      <c r="E23" s="273">
        <v>0</v>
      </c>
      <c r="F23" s="273">
        <v>0</v>
      </c>
      <c r="G23" s="274"/>
    </row>
    <row r="24" spans="1:7" s="283" customFormat="1" ht="71.25" hidden="1" customHeight="1">
      <c r="A24" s="271" t="s">
        <v>973</v>
      </c>
      <c r="B24" s="272" t="s">
        <v>864</v>
      </c>
      <c r="C24" s="272" t="s">
        <v>522</v>
      </c>
      <c r="D24" s="273"/>
      <c r="E24" s="273"/>
      <c r="F24" s="273"/>
      <c r="G24" s="274"/>
    </row>
    <row r="25" spans="1:7" s="99" customFormat="1" ht="33" hidden="1" customHeight="1">
      <c r="A25" s="279" t="s">
        <v>930</v>
      </c>
      <c r="B25" s="280" t="s">
        <v>928</v>
      </c>
      <c r="C25" s="280"/>
      <c r="D25" s="281">
        <f>D26+D27</f>
        <v>0</v>
      </c>
      <c r="E25" s="281">
        <f t="shared" si="2"/>
        <v>0</v>
      </c>
      <c r="F25" s="281">
        <f>F26+F27</f>
        <v>0</v>
      </c>
      <c r="G25" s="282"/>
    </row>
    <row r="26" spans="1:7" s="99" customFormat="1" ht="30" hidden="1" customHeight="1">
      <c r="A26" s="271" t="s">
        <v>525</v>
      </c>
      <c r="B26" s="272" t="s">
        <v>928</v>
      </c>
      <c r="C26" s="272" t="s">
        <v>526</v>
      </c>
      <c r="D26" s="273"/>
      <c r="E26" s="273"/>
      <c r="F26" s="273"/>
      <c r="G26" s="274"/>
    </row>
    <row r="27" spans="1:7" s="99" customFormat="1" ht="45.75" hidden="1" customHeight="1">
      <c r="A27" s="271" t="s">
        <v>527</v>
      </c>
      <c r="B27" s="272" t="s">
        <v>928</v>
      </c>
      <c r="C27" s="272" t="s">
        <v>528</v>
      </c>
      <c r="D27" s="273"/>
      <c r="E27" s="273">
        <v>0</v>
      </c>
      <c r="F27" s="273">
        <v>0</v>
      </c>
      <c r="G27" s="274"/>
    </row>
    <row r="28" spans="1:7" s="284" customFormat="1" ht="32.450000000000003" hidden="1" customHeight="1">
      <c r="A28" s="100" t="s">
        <v>510</v>
      </c>
      <c r="B28" s="133" t="s">
        <v>928</v>
      </c>
      <c r="C28" s="133"/>
      <c r="D28" s="102">
        <f>D29+D31+D34</f>
        <v>0</v>
      </c>
      <c r="E28" s="102">
        <f t="shared" si="2"/>
        <v>0</v>
      </c>
      <c r="F28" s="102">
        <f>F29+F30</f>
        <v>0</v>
      </c>
      <c r="G28" s="282"/>
    </row>
    <row r="29" spans="1:7" s="284" customFormat="1" ht="45.6" hidden="1" customHeight="1">
      <c r="A29" s="74" t="s">
        <v>133</v>
      </c>
      <c r="B29" s="98" t="s">
        <v>928</v>
      </c>
      <c r="C29" s="98" t="s">
        <v>974</v>
      </c>
      <c r="D29" s="76">
        <f>5940-5940</f>
        <v>0</v>
      </c>
      <c r="E29" s="76">
        <v>0</v>
      </c>
      <c r="F29" s="76">
        <v>0</v>
      </c>
      <c r="G29" s="274"/>
    </row>
    <row r="30" spans="1:7" s="284" customFormat="1" ht="54" hidden="1" customHeight="1">
      <c r="A30" s="74" t="s">
        <v>708</v>
      </c>
      <c r="B30" s="98" t="s">
        <v>928</v>
      </c>
      <c r="C30" s="98" t="s">
        <v>975</v>
      </c>
      <c r="D30" s="76"/>
      <c r="E30" s="76">
        <v>0</v>
      </c>
      <c r="F30" s="76">
        <v>0</v>
      </c>
      <c r="G30" s="274"/>
    </row>
    <row r="31" spans="1:7" s="285" customFormat="1" ht="52.5" hidden="1" customHeight="1">
      <c r="A31" s="104" t="s">
        <v>976</v>
      </c>
      <c r="B31" s="139" t="s">
        <v>928</v>
      </c>
      <c r="C31" s="139"/>
      <c r="D31" s="106">
        <f>D32+D33</f>
        <v>0</v>
      </c>
      <c r="E31" s="106">
        <f t="shared" si="2"/>
        <v>0</v>
      </c>
      <c r="F31" s="106">
        <f t="shared" si="2"/>
        <v>0</v>
      </c>
      <c r="G31" s="286"/>
    </row>
    <row r="32" spans="1:7" s="284" customFormat="1" ht="68.25" hidden="1" customHeight="1">
      <c r="A32" s="74" t="s">
        <v>977</v>
      </c>
      <c r="B32" s="98" t="s">
        <v>928</v>
      </c>
      <c r="C32" s="98" t="s">
        <v>529</v>
      </c>
      <c r="D32" s="76">
        <v>0</v>
      </c>
      <c r="E32" s="76">
        <f>'2  '!E60</f>
        <v>0</v>
      </c>
      <c r="F32" s="76">
        <f>'2  '!F60</f>
        <v>0</v>
      </c>
      <c r="G32" s="274"/>
    </row>
    <row r="33" spans="1:7" s="284" customFormat="1" ht="70.5" hidden="1" customHeight="1">
      <c r="A33" s="74" t="s">
        <v>978</v>
      </c>
      <c r="B33" s="98" t="s">
        <v>928</v>
      </c>
      <c r="C33" s="98" t="s">
        <v>529</v>
      </c>
      <c r="D33" s="76">
        <v>0</v>
      </c>
      <c r="E33" s="76">
        <f t="shared" ref="E33:F33" si="3">E32/99</f>
        <v>0</v>
      </c>
      <c r="F33" s="76">
        <f t="shared" si="3"/>
        <v>0</v>
      </c>
      <c r="G33" s="274"/>
    </row>
    <row r="34" spans="1:7" s="285" customFormat="1" ht="38.25" hidden="1" customHeight="1">
      <c r="A34" s="104" t="s">
        <v>979</v>
      </c>
      <c r="B34" s="139" t="s">
        <v>928</v>
      </c>
      <c r="C34" s="287"/>
      <c r="D34" s="106">
        <f>D35+D36</f>
        <v>0</v>
      </c>
      <c r="E34" s="106">
        <f t="shared" ref="E34:F34" si="4">E35+E36</f>
        <v>0</v>
      </c>
      <c r="F34" s="106">
        <f t="shared" si="4"/>
        <v>0</v>
      </c>
      <c r="G34" s="286"/>
    </row>
    <row r="35" spans="1:7" s="284" customFormat="1" ht="47.25" hidden="1" customHeight="1">
      <c r="A35" s="74" t="s">
        <v>980</v>
      </c>
      <c r="B35" s="98" t="s">
        <v>928</v>
      </c>
      <c r="C35" s="98" t="s">
        <v>531</v>
      </c>
      <c r="D35" s="76"/>
      <c r="E35" s="76">
        <v>0</v>
      </c>
      <c r="F35" s="76">
        <v>0</v>
      </c>
      <c r="G35" s="274"/>
    </row>
    <row r="36" spans="1:7" s="284" customFormat="1" ht="47.25" hidden="1" customHeight="1">
      <c r="A36" s="74" t="s">
        <v>981</v>
      </c>
      <c r="B36" s="98" t="s">
        <v>928</v>
      </c>
      <c r="C36" s="98" t="s">
        <v>531</v>
      </c>
      <c r="D36" s="76">
        <f>D35/99</f>
        <v>0</v>
      </c>
      <c r="E36" s="76">
        <f t="shared" ref="E36:F39" si="5">E35/99</f>
        <v>0</v>
      </c>
      <c r="F36" s="76">
        <f t="shared" si="5"/>
        <v>0</v>
      </c>
      <c r="G36" s="274"/>
    </row>
    <row r="37" spans="1:7" s="284" customFormat="1" ht="39" hidden="1" customHeight="1">
      <c r="A37" s="100" t="s">
        <v>532</v>
      </c>
      <c r="B37" s="133" t="s">
        <v>928</v>
      </c>
      <c r="C37" s="33" t="s">
        <v>534</v>
      </c>
      <c r="D37" s="102"/>
      <c r="E37" s="102"/>
      <c r="F37" s="102"/>
      <c r="G37" s="282"/>
    </row>
    <row r="38" spans="1:7" s="284" customFormat="1" ht="53.25" hidden="1" customHeight="1">
      <c r="A38" s="288" t="s">
        <v>134</v>
      </c>
      <c r="B38" s="98" t="s">
        <v>928</v>
      </c>
      <c r="C38" s="98" t="s">
        <v>982</v>
      </c>
      <c r="D38" s="289"/>
      <c r="E38" s="76">
        <v>0</v>
      </c>
      <c r="F38" s="76">
        <v>0</v>
      </c>
      <c r="G38" s="274"/>
    </row>
    <row r="39" spans="1:7" s="284" customFormat="1" ht="58.5" hidden="1" customHeight="1">
      <c r="A39" s="74" t="s">
        <v>983</v>
      </c>
      <c r="B39" s="98" t="s">
        <v>928</v>
      </c>
      <c r="C39" s="33" t="s">
        <v>984</v>
      </c>
      <c r="D39" s="289"/>
      <c r="E39" s="289">
        <f t="shared" si="5"/>
        <v>0</v>
      </c>
      <c r="F39" s="289">
        <f t="shared" si="5"/>
        <v>0</v>
      </c>
      <c r="G39" s="274"/>
    </row>
    <row r="40" spans="1:7" s="285" customFormat="1" ht="48.75" customHeight="1">
      <c r="A40" s="100" t="s">
        <v>985</v>
      </c>
      <c r="B40" s="98" t="s">
        <v>928</v>
      </c>
      <c r="C40" s="33" t="s">
        <v>534</v>
      </c>
      <c r="D40" s="290">
        <f>D41+D42</f>
        <v>1515.1515151515152</v>
      </c>
      <c r="E40" s="290">
        <f t="shared" ref="E40:F40" si="6">E41+E42</f>
        <v>0</v>
      </c>
      <c r="F40" s="290">
        <f t="shared" si="6"/>
        <v>0</v>
      </c>
      <c r="G40" s="286"/>
    </row>
    <row r="41" spans="1:7" s="284" customFormat="1" ht="51.75" customHeight="1">
      <c r="A41" s="74" t="s">
        <v>986</v>
      </c>
      <c r="B41" s="98" t="s">
        <v>928</v>
      </c>
      <c r="C41" s="33" t="s">
        <v>534</v>
      </c>
      <c r="D41" s="289">
        <f>'2  '!D61</f>
        <v>1500</v>
      </c>
      <c r="E41" s="289">
        <f>'2  '!E61</f>
        <v>0</v>
      </c>
      <c r="F41" s="289">
        <f>'2  '!F61</f>
        <v>0</v>
      </c>
      <c r="G41" s="274"/>
    </row>
    <row r="42" spans="1:7" s="284" customFormat="1" ht="51" customHeight="1">
      <c r="A42" s="74" t="s">
        <v>987</v>
      </c>
      <c r="B42" s="98" t="s">
        <v>928</v>
      </c>
      <c r="C42" s="33" t="s">
        <v>534</v>
      </c>
      <c r="D42" s="289">
        <f>D41/99</f>
        <v>15.151515151515152</v>
      </c>
      <c r="E42" s="289">
        <f t="shared" ref="E42:F42" si="7">E41/99</f>
        <v>0</v>
      </c>
      <c r="F42" s="289">
        <f t="shared" si="7"/>
        <v>0</v>
      </c>
      <c r="G42" s="274"/>
    </row>
    <row r="43" spans="1:7" s="285" customFormat="1" ht="51.6" hidden="1" customHeight="1">
      <c r="A43" s="291" t="s">
        <v>988</v>
      </c>
      <c r="B43" s="292" t="s">
        <v>928</v>
      </c>
      <c r="C43" s="293"/>
      <c r="D43" s="294">
        <f>D44+D45</f>
        <v>0</v>
      </c>
      <c r="E43" s="294">
        <f t="shared" ref="E43:F43" si="8">E44+E45</f>
        <v>0</v>
      </c>
      <c r="F43" s="294">
        <f t="shared" si="8"/>
        <v>0</v>
      </c>
      <c r="G43" s="286"/>
    </row>
    <row r="44" spans="1:7" s="284" customFormat="1" ht="48" hidden="1" customHeight="1">
      <c r="A44" s="271" t="s">
        <v>989</v>
      </c>
      <c r="B44" s="272" t="s">
        <v>928</v>
      </c>
      <c r="C44" s="33" t="s">
        <v>536</v>
      </c>
      <c r="D44" s="295"/>
      <c r="E44" s="273">
        <v>0</v>
      </c>
      <c r="F44" s="273">
        <v>0</v>
      </c>
      <c r="G44" s="274"/>
    </row>
    <row r="45" spans="1:7" s="284" customFormat="1" ht="51.75" hidden="1" customHeight="1">
      <c r="A45" s="271" t="s">
        <v>990</v>
      </c>
      <c r="B45" s="272" t="s">
        <v>928</v>
      </c>
      <c r="C45" s="33" t="s">
        <v>536</v>
      </c>
      <c r="D45" s="295">
        <f>D44/99</f>
        <v>0</v>
      </c>
      <c r="E45" s="295">
        <f t="shared" ref="E45:F45" si="9">E44/99</f>
        <v>0</v>
      </c>
      <c r="F45" s="295">
        <f t="shared" si="9"/>
        <v>0</v>
      </c>
      <c r="G45" s="274"/>
    </row>
    <row r="46" spans="1:7" ht="52.5" customHeight="1">
      <c r="A46" s="152" t="s">
        <v>991</v>
      </c>
      <c r="B46" s="220" t="s">
        <v>928</v>
      </c>
      <c r="C46" s="296" t="s">
        <v>521</v>
      </c>
      <c r="D46" s="102">
        <f>D47+D48</f>
        <v>143018.5</v>
      </c>
      <c r="E46" s="102">
        <f t="shared" ref="E46:F46" si="10">E47+E48</f>
        <v>96395</v>
      </c>
      <c r="F46" s="102">
        <f t="shared" si="10"/>
        <v>100445</v>
      </c>
      <c r="G46" s="252"/>
    </row>
    <row r="47" spans="1:7" ht="69.75" customHeight="1">
      <c r="A47" s="74" t="s">
        <v>992</v>
      </c>
      <c r="B47" s="98" t="s">
        <v>928</v>
      </c>
      <c r="C47" s="98" t="s">
        <v>521</v>
      </c>
      <c r="D47" s="76">
        <f>143490.5-472</f>
        <v>143018.5</v>
      </c>
      <c r="E47" s="76">
        <f>81629+15000-234</f>
        <v>96395</v>
      </c>
      <c r="F47" s="76">
        <f>82445+18000</f>
        <v>100445</v>
      </c>
      <c r="G47" s="151"/>
    </row>
    <row r="48" spans="1:7" ht="48.75" hidden="1" customHeight="1">
      <c r="A48" s="175" t="s">
        <v>993</v>
      </c>
      <c r="B48" s="297" t="s">
        <v>928</v>
      </c>
      <c r="C48" s="297" t="s">
        <v>521</v>
      </c>
      <c r="D48" s="177"/>
      <c r="E48" s="177">
        <v>0</v>
      </c>
      <c r="F48" s="177">
        <v>0</v>
      </c>
      <c r="G48" s="298"/>
    </row>
    <row r="49" spans="1:7" ht="68.25" customHeight="1">
      <c r="A49" s="74" t="s">
        <v>994</v>
      </c>
      <c r="B49" s="98" t="s">
        <v>928</v>
      </c>
      <c r="C49" s="98" t="s">
        <v>562</v>
      </c>
      <c r="D49" s="76">
        <f>'2  '!D76</f>
        <v>273458.663</v>
      </c>
      <c r="E49" s="76">
        <f>'2  '!E76</f>
        <v>302704.51300000004</v>
      </c>
      <c r="F49" s="76">
        <f>'2  '!F76</f>
        <v>325378.54400000005</v>
      </c>
      <c r="G49" s="151"/>
    </row>
    <row r="50" spans="1:7" ht="35.25" customHeight="1">
      <c r="A50" s="74" t="s">
        <v>995</v>
      </c>
      <c r="B50" s="98" t="s">
        <v>928</v>
      </c>
      <c r="C50" s="98" t="s">
        <v>558</v>
      </c>
      <c r="D50" s="76">
        <v>300</v>
      </c>
      <c r="E50" s="76">
        <v>300</v>
      </c>
      <c r="F50" s="76">
        <v>300</v>
      </c>
      <c r="G50" s="151"/>
    </row>
    <row r="51" spans="1:7" ht="68.25" customHeight="1">
      <c r="A51" s="74" t="s">
        <v>749</v>
      </c>
      <c r="B51" s="98" t="s">
        <v>928</v>
      </c>
      <c r="C51" s="98" t="s">
        <v>750</v>
      </c>
      <c r="D51" s="76">
        <f>'2  '!D74</f>
        <v>530</v>
      </c>
      <c r="E51" s="76">
        <f>'2  '!E74</f>
        <v>0</v>
      </c>
      <c r="F51" s="76">
        <f>'2  '!F74</f>
        <v>0</v>
      </c>
      <c r="G51" s="151"/>
    </row>
    <row r="52" spans="1:7" ht="49.5" hidden="1" customHeight="1">
      <c r="A52" s="175"/>
      <c r="B52" s="297"/>
      <c r="C52" s="297"/>
      <c r="D52" s="177"/>
      <c r="E52" s="177"/>
      <c r="F52" s="177"/>
      <c r="G52" s="298"/>
    </row>
    <row r="53" spans="1:7" ht="67.5" customHeight="1">
      <c r="A53" s="74" t="s">
        <v>185</v>
      </c>
      <c r="B53" s="98" t="s">
        <v>928</v>
      </c>
      <c r="C53" s="98" t="s">
        <v>563</v>
      </c>
      <c r="D53" s="76">
        <f>'2  '!D100</f>
        <v>35334</v>
      </c>
      <c r="E53" s="76">
        <f>'2  '!E100</f>
        <v>35334</v>
      </c>
      <c r="F53" s="76">
        <f>'2  '!F100</f>
        <v>35568</v>
      </c>
      <c r="G53" s="151"/>
    </row>
    <row r="54" spans="1:7" ht="69.75" customHeight="1">
      <c r="A54" s="74" t="s">
        <v>183</v>
      </c>
      <c r="B54" s="98" t="s">
        <v>928</v>
      </c>
      <c r="C54" s="98" t="s">
        <v>564</v>
      </c>
      <c r="D54" s="36">
        <f>'2  '!D99</f>
        <v>1303.5983099999999</v>
      </c>
      <c r="E54" s="36">
        <f>'2  '!E99</f>
        <v>1323.3780000000006</v>
      </c>
      <c r="F54" s="36">
        <f>'2  '!F99</f>
        <v>1347.3165300000005</v>
      </c>
      <c r="G54" s="21"/>
    </row>
    <row r="55" spans="1:7" ht="114" customHeight="1">
      <c r="A55" s="74" t="s">
        <v>565</v>
      </c>
      <c r="B55" s="98" t="s">
        <v>928</v>
      </c>
      <c r="C55" s="98" t="s">
        <v>566</v>
      </c>
      <c r="D55" s="36">
        <f>'2  '!D102</f>
        <v>499.96800000000002</v>
      </c>
      <c r="E55" s="36">
        <f>'2  '!E102</f>
        <v>499.96800000000002</v>
      </c>
      <c r="F55" s="36">
        <f>'2  '!F102</f>
        <v>499.96800000000002</v>
      </c>
      <c r="G55" s="21"/>
    </row>
    <row r="56" spans="1:7" s="77" customFormat="1" ht="33" customHeight="1">
      <c r="A56" s="265" t="s">
        <v>996</v>
      </c>
      <c r="B56" s="266" t="s">
        <v>928</v>
      </c>
      <c r="C56" s="266" t="s">
        <v>495</v>
      </c>
      <c r="D56" s="267">
        <f>D57+D60+D65+D68+D69+D62</f>
        <v>117138.10820000002</v>
      </c>
      <c r="E56" s="267">
        <f t="shared" ref="E56:F56" si="11">E57+E60+E65+E68+E69+E61</f>
        <v>106470.697</v>
      </c>
      <c r="F56" s="267">
        <f t="shared" si="11"/>
        <v>113496.94900000001</v>
      </c>
      <c r="G56" s="268"/>
    </row>
    <row r="57" spans="1:7" s="77" customFormat="1" ht="33" customHeight="1">
      <c r="A57" s="152" t="s">
        <v>997</v>
      </c>
      <c r="B57" s="139" t="s">
        <v>928</v>
      </c>
      <c r="C57" s="98" t="s">
        <v>498</v>
      </c>
      <c r="D57" s="106">
        <f>D58+D59</f>
        <v>420</v>
      </c>
      <c r="E57" s="106">
        <f>E58+E59</f>
        <v>200</v>
      </c>
      <c r="F57" s="106">
        <f>F58+F59</f>
        <v>200</v>
      </c>
      <c r="G57" s="269"/>
    </row>
    <row r="58" spans="1:7" s="77" customFormat="1" ht="33" customHeight="1">
      <c r="A58" s="74" t="s">
        <v>998</v>
      </c>
      <c r="B58" s="128" t="s">
        <v>928</v>
      </c>
      <c r="C58" s="98" t="s">
        <v>498</v>
      </c>
      <c r="D58" s="76">
        <f>250+170</f>
        <v>420</v>
      </c>
      <c r="E58" s="76">
        <v>200</v>
      </c>
      <c r="F58" s="76">
        <v>200</v>
      </c>
      <c r="G58" s="151"/>
    </row>
    <row r="59" spans="1:7" ht="30.6" hidden="1" customHeight="1">
      <c r="A59" s="175" t="s">
        <v>999</v>
      </c>
      <c r="B59" s="297" t="s">
        <v>928</v>
      </c>
      <c r="C59" s="297" t="s">
        <v>498</v>
      </c>
      <c r="D59" s="177"/>
      <c r="E59" s="177"/>
      <c r="F59" s="177"/>
      <c r="G59" s="298"/>
    </row>
    <row r="60" spans="1:7" ht="33.6" customHeight="1">
      <c r="A60" s="74" t="s">
        <v>1000</v>
      </c>
      <c r="B60" s="98" t="s">
        <v>928</v>
      </c>
      <c r="C60" s="98" t="s">
        <v>503</v>
      </c>
      <c r="D60" s="76">
        <v>238</v>
      </c>
      <c r="E60" s="76">
        <v>0</v>
      </c>
      <c r="F60" s="76">
        <v>0</v>
      </c>
      <c r="G60" s="151"/>
    </row>
    <row r="61" spans="1:7" ht="33.6" hidden="1" customHeight="1">
      <c r="A61" s="100" t="s">
        <v>510</v>
      </c>
      <c r="B61" s="133" t="s">
        <v>928</v>
      </c>
      <c r="C61" s="98" t="s">
        <v>512</v>
      </c>
      <c r="D61" s="102"/>
      <c r="E61" s="102"/>
      <c r="F61" s="102"/>
      <c r="G61" s="151"/>
    </row>
    <row r="62" spans="1:7" ht="53.25" customHeight="1">
      <c r="A62" s="100" t="s">
        <v>1001</v>
      </c>
      <c r="B62" s="133" t="s">
        <v>928</v>
      </c>
      <c r="C62" s="98" t="s">
        <v>512</v>
      </c>
      <c r="D62" s="102">
        <f>D63+D64</f>
        <v>3000</v>
      </c>
      <c r="E62" s="102">
        <f t="shared" ref="E62:F62" si="12">E63+E64</f>
        <v>0</v>
      </c>
      <c r="F62" s="102">
        <f t="shared" si="12"/>
        <v>0</v>
      </c>
      <c r="G62" s="151"/>
    </row>
    <row r="63" spans="1:7" ht="66.75" customHeight="1">
      <c r="A63" s="74" t="s">
        <v>977</v>
      </c>
      <c r="B63" s="98" t="s">
        <v>928</v>
      </c>
      <c r="C63" s="98" t="s">
        <v>512</v>
      </c>
      <c r="D63" s="76">
        <v>2970</v>
      </c>
      <c r="E63" s="76">
        <v>0</v>
      </c>
      <c r="F63" s="76">
        <v>0</v>
      </c>
      <c r="G63" s="151"/>
    </row>
    <row r="64" spans="1:7" ht="70.5" customHeight="1">
      <c r="A64" s="74" t="s">
        <v>978</v>
      </c>
      <c r="B64" s="98" t="s">
        <v>928</v>
      </c>
      <c r="C64" s="98" t="s">
        <v>512</v>
      </c>
      <c r="D64" s="76">
        <f>D63/99</f>
        <v>30</v>
      </c>
      <c r="E64" s="76">
        <f t="shared" ref="E64:F64" si="13">E63/99</f>
        <v>0</v>
      </c>
      <c r="F64" s="76">
        <f t="shared" si="13"/>
        <v>0</v>
      </c>
      <c r="G64" s="151"/>
    </row>
    <row r="65" spans="1:7" ht="66" customHeight="1">
      <c r="A65" s="152" t="s">
        <v>1002</v>
      </c>
      <c r="B65" s="220" t="s">
        <v>928</v>
      </c>
      <c r="C65" s="133" t="s">
        <v>501</v>
      </c>
      <c r="D65" s="102">
        <f>D66+D67</f>
        <v>54877.353199999998</v>
      </c>
      <c r="E65" s="102">
        <f t="shared" ref="E65:F65" si="14">E66+E67</f>
        <v>41929</v>
      </c>
      <c r="F65" s="102">
        <f t="shared" si="14"/>
        <v>44429</v>
      </c>
      <c r="G65" s="252"/>
    </row>
    <row r="66" spans="1:7" ht="68.25" customHeight="1">
      <c r="A66" s="74" t="s">
        <v>1003</v>
      </c>
      <c r="B66" s="98" t="s">
        <v>928</v>
      </c>
      <c r="C66" s="98" t="s">
        <v>501</v>
      </c>
      <c r="D66" s="76">
        <f>58091.3532-3214</f>
        <v>54877.353199999998</v>
      </c>
      <c r="E66" s="76">
        <f>27167+15000-238</f>
        <v>41929</v>
      </c>
      <c r="F66" s="76">
        <f>27439+17000-10</f>
        <v>44429</v>
      </c>
      <c r="G66" s="151"/>
    </row>
    <row r="67" spans="1:7" ht="68.25" hidden="1" customHeight="1">
      <c r="A67" s="175" t="s">
        <v>1004</v>
      </c>
      <c r="B67" s="297" t="s">
        <v>928</v>
      </c>
      <c r="C67" s="297" t="s">
        <v>501</v>
      </c>
      <c r="D67" s="177"/>
      <c r="E67" s="177">
        <v>0</v>
      </c>
      <c r="F67" s="177">
        <v>0</v>
      </c>
      <c r="G67" s="298"/>
    </row>
    <row r="68" spans="1:7" ht="53.25" customHeight="1">
      <c r="A68" s="74" t="s">
        <v>1005</v>
      </c>
      <c r="B68" s="98" t="s">
        <v>928</v>
      </c>
      <c r="C68" s="98" t="s">
        <v>509</v>
      </c>
      <c r="D68" s="76">
        <f>'2  '!D75</f>
        <v>52741.666000000005</v>
      </c>
      <c r="E68" s="76">
        <f>'2  '!E75</f>
        <v>58247.013999999996</v>
      </c>
      <c r="F68" s="76">
        <f>'2  '!F75</f>
        <v>62529.054000000004</v>
      </c>
      <c r="G68" s="151"/>
    </row>
    <row r="69" spans="1:7" ht="68.25" customHeight="1">
      <c r="A69" s="74" t="s">
        <v>1006</v>
      </c>
      <c r="B69" s="98" t="s">
        <v>928</v>
      </c>
      <c r="C69" s="98" t="s">
        <v>763</v>
      </c>
      <c r="D69" s="76">
        <f>'2  '!D87</f>
        <v>5861.0889999999999</v>
      </c>
      <c r="E69" s="76">
        <f>'2  '!E87</f>
        <v>6094.683</v>
      </c>
      <c r="F69" s="76">
        <f>'2  '!F87</f>
        <v>6338.8950000000004</v>
      </c>
      <c r="G69" s="151"/>
    </row>
    <row r="70" spans="1:7" s="77" customFormat="1" ht="16.5" customHeight="1">
      <c r="A70" s="265" t="s">
        <v>1007</v>
      </c>
      <c r="B70" s="266" t="s">
        <v>928</v>
      </c>
      <c r="C70" s="266" t="s">
        <v>538</v>
      </c>
      <c r="D70" s="267">
        <f>D71+D72</f>
        <v>5781.06</v>
      </c>
      <c r="E70" s="267">
        <f t="shared" ref="E70:F70" si="15">E71+E72</f>
        <v>1800</v>
      </c>
      <c r="F70" s="267">
        <f t="shared" si="15"/>
        <v>1800</v>
      </c>
      <c r="G70" s="268"/>
    </row>
    <row r="71" spans="1:7" ht="30" customHeight="1">
      <c r="A71" s="70" t="s">
        <v>539</v>
      </c>
      <c r="B71" s="130" t="s">
        <v>928</v>
      </c>
      <c r="C71" s="98" t="s">
        <v>541</v>
      </c>
      <c r="D71" s="76">
        <v>250</v>
      </c>
      <c r="E71" s="76">
        <v>300</v>
      </c>
      <c r="F71" s="76">
        <v>300</v>
      </c>
      <c r="G71" s="151"/>
    </row>
    <row r="72" spans="1:7" ht="19.149999999999999" customHeight="1">
      <c r="A72" s="70" t="s">
        <v>542</v>
      </c>
      <c r="B72" s="130" t="s">
        <v>928</v>
      </c>
      <c r="C72" s="98" t="s">
        <v>543</v>
      </c>
      <c r="D72" s="76">
        <f>1500+4321-289.94</f>
        <v>5531.06</v>
      </c>
      <c r="E72" s="76">
        <v>1500</v>
      </c>
      <c r="F72" s="76">
        <v>1500</v>
      </c>
      <c r="G72" s="151"/>
    </row>
    <row r="73" spans="1:7" s="77" customFormat="1" ht="17.25" customHeight="1">
      <c r="A73" s="265" t="s">
        <v>1008</v>
      </c>
      <c r="B73" s="266" t="s">
        <v>928</v>
      </c>
      <c r="C73" s="266" t="s">
        <v>545</v>
      </c>
      <c r="D73" s="267">
        <f>D74+D78+D79+D80+D86+D88+D87+D83+D89</f>
        <v>80202.429510000002</v>
      </c>
      <c r="E73" s="267">
        <f t="shared" ref="E73:F73" si="16">E74+E78+E79+E80+E86+E88+E87+E83+E89</f>
        <v>41187.385170000009</v>
      </c>
      <c r="F73" s="267">
        <f t="shared" si="16"/>
        <v>39531.399935000009</v>
      </c>
      <c r="G73" s="268"/>
    </row>
    <row r="74" spans="1:7" s="77" customFormat="1" ht="33" customHeight="1">
      <c r="A74" s="141" t="s">
        <v>1009</v>
      </c>
      <c r="B74" s="139" t="s">
        <v>928</v>
      </c>
      <c r="C74" s="139" t="s">
        <v>575</v>
      </c>
      <c r="D74" s="80">
        <f>D75+D76+D77</f>
        <v>85</v>
      </c>
      <c r="E74" s="80">
        <f t="shared" ref="E74:F74" si="17">E75+E76+E77</f>
        <v>0</v>
      </c>
      <c r="F74" s="80">
        <f t="shared" si="17"/>
        <v>0</v>
      </c>
      <c r="G74" s="299"/>
    </row>
    <row r="75" spans="1:7" ht="31.5" hidden="1" customHeight="1">
      <c r="A75" s="175" t="s">
        <v>1010</v>
      </c>
      <c r="B75" s="297" t="s">
        <v>864</v>
      </c>
      <c r="C75" s="297" t="s">
        <v>575</v>
      </c>
      <c r="D75" s="177"/>
      <c r="E75" s="177">
        <v>0</v>
      </c>
      <c r="F75" s="177">
        <v>0</v>
      </c>
      <c r="G75" s="298"/>
    </row>
    <row r="76" spans="1:7" ht="38.25" customHeight="1">
      <c r="A76" s="70" t="s">
        <v>1011</v>
      </c>
      <c r="B76" s="130" t="s">
        <v>928</v>
      </c>
      <c r="C76" s="98" t="s">
        <v>575</v>
      </c>
      <c r="D76" s="76">
        <f>35+30+20</f>
        <v>85</v>
      </c>
      <c r="E76" s="72">
        <v>0</v>
      </c>
      <c r="F76" s="72">
        <v>0</v>
      </c>
      <c r="G76" s="270"/>
    </row>
    <row r="77" spans="1:7" ht="30.75" hidden="1" customHeight="1">
      <c r="A77" s="175" t="s">
        <v>1010</v>
      </c>
      <c r="B77" s="297" t="s">
        <v>928</v>
      </c>
      <c r="C77" s="297" t="s">
        <v>575</v>
      </c>
      <c r="D77" s="177"/>
      <c r="E77" s="177">
        <v>0</v>
      </c>
      <c r="F77" s="177">
        <v>0</v>
      </c>
      <c r="G77" s="298"/>
    </row>
    <row r="78" spans="1:7" s="97" customFormat="1" ht="40.5" customHeight="1">
      <c r="A78" s="104" t="s">
        <v>580</v>
      </c>
      <c r="B78" s="139" t="s">
        <v>928</v>
      </c>
      <c r="C78" s="105" t="s">
        <v>581</v>
      </c>
      <c r="D78" s="106">
        <f>80+80</f>
        <v>160</v>
      </c>
      <c r="E78" s="106">
        <v>0</v>
      </c>
      <c r="F78" s="106">
        <v>0</v>
      </c>
      <c r="G78" s="269"/>
    </row>
    <row r="79" spans="1:7" ht="20.25" customHeight="1">
      <c r="A79" s="70" t="s">
        <v>576</v>
      </c>
      <c r="B79" s="130" t="s">
        <v>928</v>
      </c>
      <c r="C79" s="75" t="s">
        <v>549</v>
      </c>
      <c r="D79" s="76">
        <f>15080+841</f>
        <v>15921</v>
      </c>
      <c r="E79" s="76">
        <f>8835.1-860.767+6468.88113</f>
        <v>14443.21413</v>
      </c>
      <c r="F79" s="76">
        <f>8835.1-860.767+8025.61021-1108.766275</f>
        <v>14891.176935000001</v>
      </c>
      <c r="G79" s="300"/>
    </row>
    <row r="80" spans="1:7" ht="36.75" customHeight="1">
      <c r="A80" s="70" t="s">
        <v>582</v>
      </c>
      <c r="B80" s="130" t="s">
        <v>928</v>
      </c>
      <c r="C80" s="75" t="s">
        <v>551</v>
      </c>
      <c r="D80" s="76">
        <f>22244+279.645+168.736+600</f>
        <v>23292.381000000001</v>
      </c>
      <c r="E80" s="76">
        <f>19947.74+3464.76304</f>
        <v>23412.503040000003</v>
      </c>
      <c r="F80" s="76">
        <v>21108.555</v>
      </c>
      <c r="G80" s="151"/>
    </row>
    <row r="81" spans="1:7" ht="21" hidden="1" customHeight="1">
      <c r="A81" s="175" t="s">
        <v>1012</v>
      </c>
      <c r="B81" s="297" t="s">
        <v>864</v>
      </c>
      <c r="C81" s="297" t="s">
        <v>553</v>
      </c>
      <c r="D81" s="177"/>
      <c r="E81" s="177"/>
      <c r="F81" s="177"/>
      <c r="G81" s="298"/>
    </row>
    <row r="82" spans="1:7" ht="21" hidden="1" customHeight="1">
      <c r="A82" s="175" t="s">
        <v>1013</v>
      </c>
      <c r="B82" s="297" t="s">
        <v>864</v>
      </c>
      <c r="C82" s="297" t="s">
        <v>555</v>
      </c>
      <c r="D82" s="177"/>
      <c r="E82" s="177"/>
      <c r="F82" s="177"/>
      <c r="G82" s="298"/>
    </row>
    <row r="83" spans="1:7" ht="34.5" customHeight="1">
      <c r="A83" s="141" t="s">
        <v>586</v>
      </c>
      <c r="B83" s="221" t="s">
        <v>928</v>
      </c>
      <c r="C83" s="98"/>
      <c r="D83" s="106">
        <f>D84+D85</f>
        <v>33505.599999999999</v>
      </c>
      <c r="E83" s="106">
        <f t="shared" ref="E83:F83" si="18">E84+E85</f>
        <v>0</v>
      </c>
      <c r="F83" s="106">
        <f t="shared" si="18"/>
        <v>0</v>
      </c>
      <c r="G83" s="269"/>
    </row>
    <row r="84" spans="1:7" ht="48" customHeight="1">
      <c r="A84" s="74" t="s">
        <v>1014</v>
      </c>
      <c r="B84" s="98" t="s">
        <v>928</v>
      </c>
      <c r="C84" s="75" t="s">
        <v>588</v>
      </c>
      <c r="D84" s="76">
        <f>'2  '!D62</f>
        <v>33170.544000000002</v>
      </c>
      <c r="E84" s="76">
        <f>'2  '!E62</f>
        <v>0</v>
      </c>
      <c r="F84" s="76">
        <f>'2  '!F62</f>
        <v>0</v>
      </c>
      <c r="G84" s="151"/>
    </row>
    <row r="85" spans="1:7" ht="66.75" customHeight="1">
      <c r="A85" s="70" t="s">
        <v>1015</v>
      </c>
      <c r="B85" s="130" t="s">
        <v>928</v>
      </c>
      <c r="C85" s="75" t="s">
        <v>590</v>
      </c>
      <c r="D85" s="76">
        <v>335.05599999999998</v>
      </c>
      <c r="E85" s="76">
        <v>0</v>
      </c>
      <c r="F85" s="76">
        <v>0</v>
      </c>
      <c r="G85" s="151"/>
    </row>
    <row r="86" spans="1:7" ht="38.450000000000003" hidden="1" customHeight="1">
      <c r="A86" s="175" t="s">
        <v>1016</v>
      </c>
      <c r="B86" s="297" t="s">
        <v>928</v>
      </c>
      <c r="C86" s="297" t="s">
        <v>578</v>
      </c>
      <c r="D86" s="177"/>
      <c r="E86" s="177"/>
      <c r="F86" s="177"/>
      <c r="G86" s="298"/>
    </row>
    <row r="87" spans="1:7" ht="68.25" customHeight="1">
      <c r="A87" s="74" t="s">
        <v>579</v>
      </c>
      <c r="B87" s="98" t="s">
        <v>928</v>
      </c>
      <c r="C87" s="98" t="s">
        <v>578</v>
      </c>
      <c r="D87" s="76">
        <f t="shared" ref="D87:F87" si="19">860.767+1177.101</f>
        <v>2037.8680000000002</v>
      </c>
      <c r="E87" s="76">
        <f t="shared" si="19"/>
        <v>2037.8680000000002</v>
      </c>
      <c r="F87" s="76">
        <f t="shared" si="19"/>
        <v>2037.8680000000002</v>
      </c>
      <c r="G87" s="151"/>
    </row>
    <row r="88" spans="1:7" ht="50.25" customHeight="1">
      <c r="A88" s="70" t="s">
        <v>584</v>
      </c>
      <c r="B88" s="130" t="s">
        <v>928</v>
      </c>
      <c r="C88" s="98" t="s">
        <v>585</v>
      </c>
      <c r="D88" s="76">
        <v>1010</v>
      </c>
      <c r="E88" s="76">
        <f>793.8+500</f>
        <v>1293.8</v>
      </c>
      <c r="F88" s="76">
        <f>793.8+700</f>
        <v>1493.8</v>
      </c>
      <c r="G88" s="151"/>
    </row>
    <row r="89" spans="1:7" s="97" customFormat="1" ht="97.5" customHeight="1">
      <c r="A89" s="141" t="s">
        <v>639</v>
      </c>
      <c r="B89" s="221" t="s">
        <v>928</v>
      </c>
      <c r="C89" s="139"/>
      <c r="D89" s="106">
        <f>D90+D91</f>
        <v>4190.5805100000007</v>
      </c>
      <c r="E89" s="106">
        <f t="shared" ref="E89:F89" si="20">E90+E91</f>
        <v>0</v>
      </c>
      <c r="F89" s="106">
        <f t="shared" si="20"/>
        <v>0</v>
      </c>
      <c r="G89" s="269"/>
    </row>
    <row r="90" spans="1:7" ht="87" customHeight="1">
      <c r="A90" s="74" t="s">
        <v>640</v>
      </c>
      <c r="B90" s="98" t="s">
        <v>928</v>
      </c>
      <c r="C90" s="98" t="s">
        <v>641</v>
      </c>
      <c r="D90" s="76">
        <f>'2  '!D55</f>
        <v>4148.6747000000005</v>
      </c>
      <c r="E90" s="76">
        <f>'2  '!E55</f>
        <v>0</v>
      </c>
      <c r="F90" s="76">
        <f>'2  '!F55</f>
        <v>0</v>
      </c>
      <c r="G90" s="151"/>
    </row>
    <row r="91" spans="1:7" ht="84.75" customHeight="1">
      <c r="A91" s="74" t="s">
        <v>642</v>
      </c>
      <c r="B91" s="98" t="s">
        <v>928</v>
      </c>
      <c r="C91" s="98" t="s">
        <v>641</v>
      </c>
      <c r="D91" s="76">
        <v>41.905810000000002</v>
      </c>
      <c r="E91" s="76">
        <f t="shared" ref="E91:F91" si="21">E90/99</f>
        <v>0</v>
      </c>
      <c r="F91" s="76">
        <f t="shared" si="21"/>
        <v>0</v>
      </c>
      <c r="G91" s="151"/>
    </row>
    <row r="92" spans="1:7" s="77" customFormat="1" ht="17.25" customHeight="1">
      <c r="A92" s="265" t="s">
        <v>1017</v>
      </c>
      <c r="B92" s="266" t="s">
        <v>928</v>
      </c>
      <c r="C92" s="266" t="s">
        <v>619</v>
      </c>
      <c r="D92" s="267">
        <f>D93</f>
        <v>100</v>
      </c>
      <c r="E92" s="267">
        <f>E93</f>
        <v>50</v>
      </c>
      <c r="F92" s="267">
        <f>F93</f>
        <v>50</v>
      </c>
      <c r="G92" s="268"/>
    </row>
    <row r="93" spans="1:7" s="52" customFormat="1" ht="17.25" customHeight="1">
      <c r="A93" s="70" t="s">
        <v>1018</v>
      </c>
      <c r="B93" s="130" t="s">
        <v>928</v>
      </c>
      <c r="C93" s="98" t="s">
        <v>621</v>
      </c>
      <c r="D93" s="76">
        <v>100</v>
      </c>
      <c r="E93" s="72">
        <v>50</v>
      </c>
      <c r="F93" s="72">
        <v>50</v>
      </c>
      <c r="G93" s="270"/>
    </row>
    <row r="94" spans="1:7" s="77" customFormat="1" ht="17.25" customHeight="1">
      <c r="A94" s="265" t="s">
        <v>626</v>
      </c>
      <c r="B94" s="266" t="s">
        <v>928</v>
      </c>
      <c r="C94" s="266" t="s">
        <v>627</v>
      </c>
      <c r="D94" s="267">
        <f>D95+D96</f>
        <v>4447.0524999999998</v>
      </c>
      <c r="E94" s="267">
        <f t="shared" ref="E94:F94" si="22">E95+E96</f>
        <v>6112.8</v>
      </c>
      <c r="F94" s="267">
        <f t="shared" si="22"/>
        <v>6112.8</v>
      </c>
      <c r="G94" s="268"/>
    </row>
    <row r="95" spans="1:7" s="52" customFormat="1" ht="56.25" customHeight="1">
      <c r="A95" s="74" t="s">
        <v>628</v>
      </c>
      <c r="B95" s="98" t="s">
        <v>928</v>
      </c>
      <c r="C95" s="98" t="s">
        <v>629</v>
      </c>
      <c r="D95" s="36">
        <f>'2  '!D77</f>
        <v>4447.0524999999998</v>
      </c>
      <c r="E95" s="36">
        <f>'2  '!E77</f>
        <v>6112.8</v>
      </c>
      <c r="F95" s="36">
        <f>'2  '!F77</f>
        <v>6112.8</v>
      </c>
      <c r="G95" s="21"/>
    </row>
    <row r="96" spans="1:7" s="52" customFormat="1" ht="32.450000000000003" hidden="1" customHeight="1">
      <c r="A96" s="175" t="s">
        <v>634</v>
      </c>
      <c r="B96" s="297" t="s">
        <v>928</v>
      </c>
      <c r="C96" s="297" t="s">
        <v>635</v>
      </c>
      <c r="D96" s="177"/>
      <c r="E96" s="177"/>
      <c r="F96" s="177"/>
      <c r="G96" s="298"/>
    </row>
    <row r="97" spans="1:7" s="77" customFormat="1" ht="18.75" customHeight="1">
      <c r="A97" s="265" t="s">
        <v>1019</v>
      </c>
      <c r="B97" s="266" t="s">
        <v>928</v>
      </c>
      <c r="C97" s="266" t="s">
        <v>644</v>
      </c>
      <c r="D97" s="267">
        <f>D98+D99</f>
        <v>70679.872359999994</v>
      </c>
      <c r="E97" s="267">
        <f t="shared" ref="E97:F97" si="23">E98+E99</f>
        <v>64964.291729999997</v>
      </c>
      <c r="F97" s="267">
        <f t="shared" si="23"/>
        <v>67949.963440000007</v>
      </c>
      <c r="G97" s="268"/>
    </row>
    <row r="98" spans="1:7" ht="31.5" customHeight="1">
      <c r="A98" s="74" t="s">
        <v>1020</v>
      </c>
      <c r="B98" s="98" t="s">
        <v>928</v>
      </c>
      <c r="C98" s="98" t="s">
        <v>646</v>
      </c>
      <c r="D98" s="76">
        <f>65373+3485+1821.87236</f>
        <v>70679.872359999994</v>
      </c>
      <c r="E98" s="76">
        <f>63769+1195.29173</f>
        <v>64964.291729999997</v>
      </c>
      <c r="F98" s="76">
        <f>66319+1630.96344</f>
        <v>67949.963440000007</v>
      </c>
      <c r="G98" s="151"/>
    </row>
    <row r="99" spans="1:7" ht="27.75" hidden="1" customHeight="1">
      <c r="A99" s="175" t="s">
        <v>649</v>
      </c>
      <c r="B99" s="297" t="s">
        <v>928</v>
      </c>
      <c r="C99" s="297" t="s">
        <v>646</v>
      </c>
      <c r="D99" s="177"/>
      <c r="E99" s="177"/>
      <c r="F99" s="177"/>
      <c r="G99" s="298"/>
    </row>
    <row r="100" spans="1:7" s="77" customFormat="1" ht="17.25" customHeight="1">
      <c r="A100" s="265" t="s">
        <v>1021</v>
      </c>
      <c r="B100" s="266" t="s">
        <v>864</v>
      </c>
      <c r="C100" s="266" t="s">
        <v>650</v>
      </c>
      <c r="D100" s="267">
        <f>D101+D102</f>
        <v>200</v>
      </c>
      <c r="E100" s="267">
        <f t="shared" ref="E100:F100" si="24">E101+E102</f>
        <v>250</v>
      </c>
      <c r="F100" s="267">
        <f t="shared" si="24"/>
        <v>300</v>
      </c>
      <c r="G100" s="268"/>
    </row>
    <row r="101" spans="1:7" s="99" customFormat="1" ht="21" customHeight="1">
      <c r="A101" s="74" t="s">
        <v>655</v>
      </c>
      <c r="B101" s="33">
        <v>951</v>
      </c>
      <c r="C101" s="98" t="s">
        <v>651</v>
      </c>
      <c r="D101" s="76">
        <v>161</v>
      </c>
      <c r="E101" s="76">
        <v>211</v>
      </c>
      <c r="F101" s="301">
        <f>261</f>
        <v>261</v>
      </c>
      <c r="G101" s="270"/>
    </row>
    <row r="102" spans="1:7" s="52" customFormat="1" ht="20.25" customHeight="1">
      <c r="A102" s="74" t="s">
        <v>732</v>
      </c>
      <c r="B102" s="33">
        <v>951</v>
      </c>
      <c r="C102" s="98" t="s">
        <v>731</v>
      </c>
      <c r="D102" s="76">
        <v>39</v>
      </c>
      <c r="E102" s="76">
        <v>39</v>
      </c>
      <c r="F102" s="72">
        <v>39</v>
      </c>
      <c r="G102" s="270"/>
    </row>
    <row r="103" spans="1:7" s="77" customFormat="1" ht="36.75" customHeight="1">
      <c r="A103" s="265" t="s">
        <v>1022</v>
      </c>
      <c r="B103" s="266" t="s">
        <v>864</v>
      </c>
      <c r="C103" s="266" t="s">
        <v>327</v>
      </c>
      <c r="D103" s="267">
        <f>D104</f>
        <v>120</v>
      </c>
      <c r="E103" s="267">
        <f t="shared" ref="E103:F103" si="25">E104</f>
        <v>120</v>
      </c>
      <c r="F103" s="267">
        <f t="shared" si="25"/>
        <v>140</v>
      </c>
      <c r="G103" s="268"/>
    </row>
    <row r="104" spans="1:7" s="77" customFormat="1" ht="21" customHeight="1">
      <c r="A104" s="74" t="s">
        <v>1023</v>
      </c>
      <c r="B104" s="98" t="s">
        <v>864</v>
      </c>
      <c r="C104" s="98" t="s">
        <v>328</v>
      </c>
      <c r="D104" s="76">
        <v>120</v>
      </c>
      <c r="E104" s="76">
        <v>120</v>
      </c>
      <c r="F104" s="76">
        <v>140</v>
      </c>
      <c r="G104" s="151"/>
    </row>
    <row r="105" spans="1:7" s="77" customFormat="1" ht="35.25" customHeight="1">
      <c r="A105" s="265" t="s">
        <v>569</v>
      </c>
      <c r="B105" s="266" t="s">
        <v>928</v>
      </c>
      <c r="C105" s="266" t="s">
        <v>1024</v>
      </c>
      <c r="D105" s="267">
        <f>D106+D107+D108</f>
        <v>27911.25</v>
      </c>
      <c r="E105" s="267">
        <f t="shared" ref="E105:F105" si="26">E106+E107+E108</f>
        <v>26603.1</v>
      </c>
      <c r="F105" s="267">
        <f t="shared" si="26"/>
        <v>26134.75</v>
      </c>
      <c r="G105" s="268"/>
    </row>
    <row r="106" spans="1:7" s="77" customFormat="1" ht="34.9" customHeight="1">
      <c r="A106" s="74" t="s">
        <v>1025</v>
      </c>
      <c r="B106" s="128" t="s">
        <v>928</v>
      </c>
      <c r="C106" s="128" t="s">
        <v>571</v>
      </c>
      <c r="D106" s="80">
        <f>'2  '!D80-D50</f>
        <v>12256.2</v>
      </c>
      <c r="E106" s="80">
        <f>'2  '!E80-E50</f>
        <v>12256.2</v>
      </c>
      <c r="F106" s="80">
        <f>'2  '!F80-F50</f>
        <v>12256.2</v>
      </c>
      <c r="G106" s="299"/>
    </row>
    <row r="107" spans="1:7" s="77" customFormat="1" ht="54.75" customHeight="1">
      <c r="A107" s="74" t="s">
        <v>559</v>
      </c>
      <c r="B107" s="128" t="s">
        <v>928</v>
      </c>
      <c r="C107" s="95" t="s">
        <v>572</v>
      </c>
      <c r="D107" s="80">
        <f>'2  '!D90</f>
        <v>15617.050000000001</v>
      </c>
      <c r="E107" s="80">
        <f>'2  '!E90</f>
        <v>14308.9</v>
      </c>
      <c r="F107" s="80">
        <f>'2  '!F90</f>
        <v>13840.550000000001</v>
      </c>
      <c r="G107" s="299"/>
    </row>
    <row r="108" spans="1:7" s="77" customFormat="1" ht="36" customHeight="1">
      <c r="A108" s="74" t="s">
        <v>637</v>
      </c>
      <c r="B108" s="98" t="s">
        <v>864</v>
      </c>
      <c r="C108" s="98" t="s">
        <v>638</v>
      </c>
      <c r="D108" s="76">
        <v>38</v>
      </c>
      <c r="E108" s="76">
        <v>38</v>
      </c>
      <c r="F108" s="76">
        <v>38</v>
      </c>
      <c r="G108" s="299"/>
    </row>
    <row r="109" spans="1:7" ht="18" hidden="1" customHeight="1">
      <c r="A109" s="302"/>
      <c r="C109" s="50"/>
      <c r="D109" s="50"/>
      <c r="E109" s="50"/>
      <c r="F109" s="50"/>
      <c r="G109" s="50"/>
    </row>
    <row r="110" spans="1:7" ht="47.25" hidden="1" customHeight="1">
      <c r="A110" s="132" t="s">
        <v>1026</v>
      </c>
      <c r="B110" s="213" t="s">
        <v>928</v>
      </c>
      <c r="C110" s="128" t="s">
        <v>516</v>
      </c>
      <c r="D110" s="80">
        <f>D111</f>
        <v>0</v>
      </c>
      <c r="E110" s="129">
        <f>E111</f>
        <v>0</v>
      </c>
      <c r="F110" s="129">
        <f>F111</f>
        <v>0</v>
      </c>
      <c r="G110" s="303"/>
    </row>
    <row r="111" spans="1:7" ht="29.25" hidden="1" customHeight="1">
      <c r="A111" s="70" t="s">
        <v>1027</v>
      </c>
      <c r="B111" s="130" t="s">
        <v>928</v>
      </c>
      <c r="C111" s="98" t="s">
        <v>518</v>
      </c>
      <c r="D111" s="76">
        <v>0</v>
      </c>
      <c r="E111" s="72">
        <v>0</v>
      </c>
      <c r="F111" s="72">
        <v>0</v>
      </c>
      <c r="G111" s="270"/>
    </row>
    <row r="112" spans="1:7" ht="48.75" customHeight="1">
      <c r="A112" s="261" t="s">
        <v>652</v>
      </c>
      <c r="B112" s="262" t="s">
        <v>206</v>
      </c>
      <c r="C112" s="262" t="s">
        <v>570</v>
      </c>
      <c r="D112" s="263">
        <f>D113+D114+D118+D115+D116+D117</f>
        <v>2055</v>
      </c>
      <c r="E112" s="263">
        <f t="shared" ref="E112:F112" si="27">E113+E114+E118+E115+E116+E117</f>
        <v>1083</v>
      </c>
      <c r="F112" s="263">
        <f t="shared" si="27"/>
        <v>1113</v>
      </c>
      <c r="G112" s="264"/>
    </row>
    <row r="113" spans="1:7" ht="14.65" hidden="1" customHeight="1">
      <c r="A113" s="70" t="s">
        <v>1028</v>
      </c>
      <c r="B113" s="130" t="s">
        <v>928</v>
      </c>
      <c r="C113" s="98" t="s">
        <v>657</v>
      </c>
      <c r="D113" s="76"/>
      <c r="E113" s="72"/>
      <c r="F113" s="72"/>
      <c r="G113" s="270"/>
    </row>
    <row r="114" spans="1:7" ht="15" hidden="1" customHeight="1">
      <c r="A114" s="70" t="s">
        <v>504</v>
      </c>
      <c r="B114" s="130" t="s">
        <v>928</v>
      </c>
      <c r="C114" s="98" t="s">
        <v>659</v>
      </c>
      <c r="D114" s="76"/>
      <c r="E114" s="72"/>
      <c r="F114" s="72"/>
      <c r="G114" s="270"/>
    </row>
    <row r="115" spans="1:7" ht="81" customHeight="1">
      <c r="A115" s="74" t="s">
        <v>653</v>
      </c>
      <c r="B115" s="98" t="s">
        <v>928</v>
      </c>
      <c r="C115" s="98" t="s">
        <v>654</v>
      </c>
      <c r="D115" s="76">
        <f>'2  '!D101</f>
        <v>600</v>
      </c>
      <c r="E115" s="76">
        <f>'2  '!E101</f>
        <v>0</v>
      </c>
      <c r="F115" s="76">
        <f>'2  '!F101</f>
        <v>0</v>
      </c>
      <c r="G115" s="151"/>
    </row>
    <row r="116" spans="1:7" ht="84.75" customHeight="1">
      <c r="A116" s="74" t="s">
        <v>1029</v>
      </c>
      <c r="B116" s="98" t="s">
        <v>928</v>
      </c>
      <c r="C116" s="98" t="s">
        <v>657</v>
      </c>
      <c r="D116" s="76">
        <v>605</v>
      </c>
      <c r="E116" s="76">
        <v>778</v>
      </c>
      <c r="F116" s="76">
        <v>798</v>
      </c>
      <c r="G116" s="151"/>
    </row>
    <row r="117" spans="1:7" ht="82.5" customHeight="1">
      <c r="A117" s="74" t="s">
        <v>1030</v>
      </c>
      <c r="B117" s="98" t="s">
        <v>928</v>
      </c>
      <c r="C117" s="98" t="s">
        <v>659</v>
      </c>
      <c r="D117" s="76">
        <v>845</v>
      </c>
      <c r="E117" s="76">
        <v>300</v>
      </c>
      <c r="F117" s="76">
        <v>310</v>
      </c>
      <c r="G117" s="151"/>
    </row>
    <row r="118" spans="1:7" ht="23.25" customHeight="1">
      <c r="A118" s="70" t="s">
        <v>1031</v>
      </c>
      <c r="B118" s="130" t="s">
        <v>864</v>
      </c>
      <c r="C118" s="98" t="s">
        <v>733</v>
      </c>
      <c r="D118" s="76">
        <v>5</v>
      </c>
      <c r="E118" s="72">
        <v>5</v>
      </c>
      <c r="F118" s="72">
        <v>5</v>
      </c>
      <c r="G118" s="270"/>
    </row>
    <row r="119" spans="1:7" s="218" customFormat="1" ht="48" hidden="1" customHeight="1">
      <c r="A119" s="152" t="s">
        <v>865</v>
      </c>
      <c r="B119" s="220" t="s">
        <v>864</v>
      </c>
      <c r="C119" s="101" t="s">
        <v>280</v>
      </c>
      <c r="D119" s="102">
        <f>D120+D121</f>
        <v>0</v>
      </c>
      <c r="E119" s="154">
        <f>E120+E121</f>
        <v>0</v>
      </c>
      <c r="F119" s="154">
        <f>F120+F121</f>
        <v>0</v>
      </c>
      <c r="G119" s="253"/>
    </row>
    <row r="120" spans="1:7" s="99" customFormat="1" ht="69" hidden="1" customHeight="1">
      <c r="A120" s="304" t="s">
        <v>1032</v>
      </c>
      <c r="B120" s="130" t="s">
        <v>864</v>
      </c>
      <c r="C120" s="75" t="s">
        <v>288</v>
      </c>
      <c r="D120" s="76"/>
      <c r="E120" s="72"/>
      <c r="F120" s="72"/>
      <c r="G120" s="270"/>
    </row>
    <row r="121" spans="1:7" ht="62.25" hidden="1" customHeight="1">
      <c r="A121" s="70" t="s">
        <v>1033</v>
      </c>
      <c r="B121" s="130" t="s">
        <v>864</v>
      </c>
      <c r="C121" s="75" t="s">
        <v>282</v>
      </c>
      <c r="D121" s="76"/>
      <c r="E121" s="72"/>
      <c r="F121" s="72"/>
      <c r="G121" s="270"/>
    </row>
    <row r="122" spans="1:7" s="52" customFormat="1" ht="51.75" customHeight="1">
      <c r="A122" s="261" t="s">
        <v>329</v>
      </c>
      <c r="B122" s="262" t="s">
        <v>206</v>
      </c>
      <c r="C122" s="262" t="s">
        <v>330</v>
      </c>
      <c r="D122" s="263">
        <f>SUM(D123:D128)</f>
        <v>2624.049</v>
      </c>
      <c r="E122" s="263">
        <f t="shared" ref="E122:F122" si="28">SUM(E123:E128)</f>
        <v>1131</v>
      </c>
      <c r="F122" s="263">
        <f t="shared" si="28"/>
        <v>379</v>
      </c>
      <c r="G122" s="264"/>
    </row>
    <row r="123" spans="1:7" s="52" customFormat="1" ht="19.5" customHeight="1">
      <c r="A123" s="70" t="s">
        <v>1034</v>
      </c>
      <c r="B123" s="130" t="s">
        <v>928</v>
      </c>
      <c r="C123" s="98" t="s">
        <v>660</v>
      </c>
      <c r="D123" s="76">
        <v>4</v>
      </c>
      <c r="E123" s="76">
        <v>4</v>
      </c>
      <c r="F123" s="76">
        <v>10</v>
      </c>
      <c r="G123" s="151"/>
    </row>
    <row r="124" spans="1:7" s="52" customFormat="1" ht="36.75" customHeight="1">
      <c r="A124" s="70" t="s">
        <v>1035</v>
      </c>
      <c r="B124" s="130" t="s">
        <v>928</v>
      </c>
      <c r="C124" s="98" t="s">
        <v>660</v>
      </c>
      <c r="D124" s="76">
        <f>1028+1403</f>
        <v>2431</v>
      </c>
      <c r="E124" s="76">
        <v>1028</v>
      </c>
      <c r="F124" s="76">
        <v>308</v>
      </c>
      <c r="G124" s="151"/>
    </row>
    <row r="125" spans="1:7" s="52" customFormat="1" ht="19.5" customHeight="1">
      <c r="A125" s="70" t="s">
        <v>1036</v>
      </c>
      <c r="B125" s="130" t="s">
        <v>864</v>
      </c>
      <c r="C125" s="98" t="s">
        <v>332</v>
      </c>
      <c r="D125" s="76">
        <v>39</v>
      </c>
      <c r="E125" s="76">
        <v>39</v>
      </c>
      <c r="F125" s="76">
        <v>41</v>
      </c>
      <c r="G125" s="151"/>
    </row>
    <row r="126" spans="1:7" s="52" customFormat="1" ht="19.5" customHeight="1">
      <c r="A126" s="70" t="s">
        <v>1031</v>
      </c>
      <c r="B126" s="130" t="s">
        <v>864</v>
      </c>
      <c r="C126" s="98" t="s">
        <v>734</v>
      </c>
      <c r="D126" s="76">
        <v>60</v>
      </c>
      <c r="E126" s="76">
        <v>60</v>
      </c>
      <c r="F126" s="76">
        <v>20</v>
      </c>
      <c r="G126" s="151"/>
    </row>
    <row r="127" spans="1:7" s="52" customFormat="1" ht="33.6" customHeight="1">
      <c r="A127" s="70" t="s">
        <v>1037</v>
      </c>
      <c r="B127" s="130" t="s">
        <v>928</v>
      </c>
      <c r="C127" s="98" t="s">
        <v>617</v>
      </c>
      <c r="D127" s="76">
        <v>90.049000000000007</v>
      </c>
      <c r="E127" s="72">
        <v>0</v>
      </c>
      <c r="F127" s="72">
        <v>0</v>
      </c>
      <c r="G127" s="270"/>
    </row>
    <row r="128" spans="1:7" s="52" customFormat="1" ht="15" hidden="1" customHeight="1">
      <c r="A128" s="70" t="s">
        <v>1038</v>
      </c>
      <c r="B128" s="130" t="s">
        <v>928</v>
      </c>
      <c r="C128" s="98"/>
      <c r="D128" s="76"/>
      <c r="E128" s="72"/>
      <c r="F128" s="72"/>
      <c r="G128" s="270"/>
    </row>
    <row r="129" spans="1:7" s="52" customFormat="1" ht="32.25" customHeight="1">
      <c r="A129" s="261" t="s">
        <v>786</v>
      </c>
      <c r="B129" s="262" t="s">
        <v>206</v>
      </c>
      <c r="C129" s="262" t="s">
        <v>787</v>
      </c>
      <c r="D129" s="263">
        <f>D130+D131+D134+D135+D142+D145+D148</f>
        <v>366.25202999999999</v>
      </c>
      <c r="E129" s="263">
        <f t="shared" ref="E129:F129" si="29">E130+E131+E134+E135+E142+E145+E148</f>
        <v>250</v>
      </c>
      <c r="F129" s="263">
        <f t="shared" si="29"/>
        <v>300</v>
      </c>
      <c r="G129" s="264"/>
    </row>
    <row r="130" spans="1:7" s="52" customFormat="1" ht="25.5" customHeight="1">
      <c r="A130" s="74" t="s">
        <v>1039</v>
      </c>
      <c r="B130" s="98" t="s">
        <v>864</v>
      </c>
      <c r="C130" s="98" t="s">
        <v>789</v>
      </c>
      <c r="D130" s="76">
        <v>250</v>
      </c>
      <c r="E130" s="76">
        <v>250</v>
      </c>
      <c r="F130" s="76">
        <v>300</v>
      </c>
      <c r="G130" s="151"/>
    </row>
    <row r="131" spans="1:7" s="52" customFormat="1" ht="31.9" hidden="1" customHeight="1">
      <c r="A131" s="74" t="s">
        <v>1040</v>
      </c>
      <c r="B131" s="98" t="s">
        <v>928</v>
      </c>
      <c r="C131" s="98" t="s">
        <v>789</v>
      </c>
      <c r="D131" s="76"/>
      <c r="E131" s="76">
        <v>0</v>
      </c>
      <c r="F131" s="76">
        <v>0</v>
      </c>
      <c r="G131" s="151"/>
    </row>
    <row r="132" spans="1:7" s="218" customFormat="1" ht="19.5" hidden="1" customHeight="1">
      <c r="A132" s="100"/>
      <c r="B132" s="98"/>
      <c r="C132" s="98"/>
      <c r="D132" s="102"/>
      <c r="E132" s="102"/>
      <c r="F132" s="102"/>
      <c r="G132" s="252"/>
    </row>
    <row r="133" spans="1:7" s="52" customFormat="1" ht="22.5" hidden="1" customHeight="1">
      <c r="A133" s="74"/>
      <c r="B133" s="98"/>
      <c r="C133" s="98"/>
      <c r="D133" s="76"/>
      <c r="E133" s="76"/>
      <c r="F133" s="76"/>
      <c r="G133" s="151"/>
    </row>
    <row r="134" spans="1:7" s="52" customFormat="1" ht="31.15" hidden="1" customHeight="1">
      <c r="A134" s="74" t="s">
        <v>795</v>
      </c>
      <c r="B134" s="98" t="s">
        <v>864</v>
      </c>
      <c r="C134" s="98" t="s">
        <v>796</v>
      </c>
      <c r="D134" s="76"/>
      <c r="E134" s="76">
        <v>0</v>
      </c>
      <c r="F134" s="76">
        <v>0</v>
      </c>
      <c r="G134" s="151"/>
    </row>
    <row r="135" spans="1:7" s="52" customFormat="1" ht="33" hidden="1" customHeight="1">
      <c r="A135" s="104" t="s">
        <v>790</v>
      </c>
      <c r="B135" s="139" t="s">
        <v>864</v>
      </c>
      <c r="C135" s="105"/>
      <c r="D135" s="106">
        <f>SUM(D136:D141)</f>
        <v>0</v>
      </c>
      <c r="E135" s="106">
        <f>SUM(E136:E141)</f>
        <v>0</v>
      </c>
      <c r="F135" s="106">
        <f>SUM(F136:F141)</f>
        <v>0</v>
      </c>
      <c r="G135" s="269"/>
    </row>
    <row r="136" spans="1:7" s="52" customFormat="1" ht="48" hidden="1" customHeight="1">
      <c r="A136" s="74" t="s">
        <v>1041</v>
      </c>
      <c r="B136" s="98" t="s">
        <v>864</v>
      </c>
      <c r="C136" s="75" t="s">
        <v>914</v>
      </c>
      <c r="D136" s="76">
        <v>0</v>
      </c>
      <c r="E136" s="76">
        <v>0</v>
      </c>
      <c r="F136" s="76">
        <v>0</v>
      </c>
      <c r="G136" s="151"/>
    </row>
    <row r="137" spans="1:7" s="52" customFormat="1" ht="28.9" hidden="1" customHeight="1">
      <c r="A137" s="74" t="s">
        <v>1042</v>
      </c>
      <c r="B137" s="98" t="s">
        <v>864</v>
      </c>
      <c r="C137" s="75" t="s">
        <v>802</v>
      </c>
      <c r="D137" s="76"/>
      <c r="E137" s="76"/>
      <c r="F137" s="76"/>
      <c r="G137" s="151"/>
    </row>
    <row r="138" spans="1:7" s="52" customFormat="1" ht="21" hidden="1" customHeight="1">
      <c r="A138" s="74" t="s">
        <v>1043</v>
      </c>
      <c r="B138" s="98" t="s">
        <v>864</v>
      </c>
      <c r="C138" s="75" t="s">
        <v>915</v>
      </c>
      <c r="D138" s="76"/>
      <c r="E138" s="76"/>
      <c r="F138" s="76"/>
      <c r="G138" s="151"/>
    </row>
    <row r="139" spans="1:7" s="52" customFormat="1" ht="18.600000000000001" hidden="1" customHeight="1">
      <c r="A139" s="74" t="s">
        <v>1043</v>
      </c>
      <c r="B139" s="98" t="s">
        <v>928</v>
      </c>
      <c r="C139" s="75" t="s">
        <v>914</v>
      </c>
      <c r="D139" s="76"/>
      <c r="E139" s="76"/>
      <c r="F139" s="76"/>
      <c r="G139" s="151"/>
    </row>
    <row r="140" spans="1:7" s="52" customFormat="1" ht="56.25" hidden="1" customHeight="1">
      <c r="A140" s="74" t="s">
        <v>1044</v>
      </c>
      <c r="B140" s="98" t="s">
        <v>864</v>
      </c>
      <c r="C140" s="75" t="s">
        <v>798</v>
      </c>
      <c r="D140" s="76"/>
      <c r="E140" s="76">
        <v>0</v>
      </c>
      <c r="F140" s="76">
        <v>0</v>
      </c>
      <c r="G140" s="151"/>
    </row>
    <row r="141" spans="1:7" s="52" customFormat="1" ht="31.9" hidden="1" customHeight="1">
      <c r="A141" s="74" t="s">
        <v>803</v>
      </c>
      <c r="B141" s="98" t="s">
        <v>864</v>
      </c>
      <c r="C141" s="75" t="s">
        <v>804</v>
      </c>
      <c r="D141" s="76"/>
      <c r="E141" s="76"/>
      <c r="F141" s="76"/>
      <c r="G141" s="151"/>
    </row>
    <row r="142" spans="1:7" s="52" customFormat="1" ht="31.9" customHeight="1">
      <c r="A142" s="104" t="s">
        <v>814</v>
      </c>
      <c r="B142" s="139" t="s">
        <v>928</v>
      </c>
      <c r="C142" s="75"/>
      <c r="D142" s="106">
        <f>D143+D144</f>
        <v>116.25203</v>
      </c>
      <c r="E142" s="106">
        <f t="shared" ref="E142:F142" si="30">E143+E144</f>
        <v>0</v>
      </c>
      <c r="F142" s="106">
        <f t="shared" si="30"/>
        <v>0</v>
      </c>
      <c r="G142" s="269"/>
    </row>
    <row r="143" spans="1:7" s="52" customFormat="1" ht="20.25" customHeight="1">
      <c r="A143" s="74" t="s">
        <v>1045</v>
      </c>
      <c r="B143" s="98" t="s">
        <v>928</v>
      </c>
      <c r="C143" s="75" t="s">
        <v>816</v>
      </c>
      <c r="D143" s="76">
        <f>'2  '!D65</f>
        <v>115.08951</v>
      </c>
      <c r="E143" s="76">
        <f>'2  '!E65</f>
        <v>0</v>
      </c>
      <c r="F143" s="76">
        <f>'2  '!F65</f>
        <v>0</v>
      </c>
      <c r="G143" s="305"/>
    </row>
    <row r="144" spans="1:7" s="52" customFormat="1" ht="21" customHeight="1">
      <c r="A144" s="74" t="s">
        <v>1046</v>
      </c>
      <c r="B144" s="98" t="s">
        <v>928</v>
      </c>
      <c r="C144" s="75" t="s">
        <v>818</v>
      </c>
      <c r="D144" s="76">
        <v>1.16252</v>
      </c>
      <c r="E144" s="76">
        <f t="shared" ref="E144:F144" si="31">E143/99</f>
        <v>0</v>
      </c>
      <c r="F144" s="76">
        <f t="shared" si="31"/>
        <v>0</v>
      </c>
      <c r="G144" s="305"/>
    </row>
    <row r="145" spans="1:9" s="52" customFormat="1" ht="44.45" hidden="1" customHeight="1">
      <c r="A145" s="104" t="s">
        <v>805</v>
      </c>
      <c r="B145" s="139" t="s">
        <v>864</v>
      </c>
      <c r="C145" s="105"/>
      <c r="D145" s="106">
        <f>D146+D147</f>
        <v>0</v>
      </c>
      <c r="E145" s="106">
        <f t="shared" ref="E145:F145" si="32">E146+E147</f>
        <v>0</v>
      </c>
      <c r="F145" s="106">
        <f t="shared" si="32"/>
        <v>0</v>
      </c>
      <c r="G145" s="269"/>
    </row>
    <row r="146" spans="1:9" s="52" customFormat="1" ht="50.45" hidden="1" customHeight="1">
      <c r="A146" s="74" t="s">
        <v>1047</v>
      </c>
      <c r="B146" s="98" t="s">
        <v>864</v>
      </c>
      <c r="C146" s="75" t="s">
        <v>806</v>
      </c>
      <c r="D146" s="76">
        <f>'2  '!D71</f>
        <v>0</v>
      </c>
      <c r="E146" s="76">
        <f>'2  '!E71</f>
        <v>0</v>
      </c>
      <c r="F146" s="76">
        <f>'2  '!F71</f>
        <v>0</v>
      </c>
      <c r="G146" s="151"/>
    </row>
    <row r="147" spans="1:9" s="52" customFormat="1" ht="58.15" hidden="1" customHeight="1">
      <c r="A147" s="74" t="s">
        <v>1048</v>
      </c>
      <c r="B147" s="98" t="s">
        <v>864</v>
      </c>
      <c r="C147" s="75" t="s">
        <v>808</v>
      </c>
      <c r="D147" s="76">
        <f>D146/99</f>
        <v>0</v>
      </c>
      <c r="E147" s="76">
        <f t="shared" ref="E147:F147" si="33">E146/99</f>
        <v>0</v>
      </c>
      <c r="F147" s="76">
        <f t="shared" si="33"/>
        <v>0</v>
      </c>
      <c r="G147" s="151"/>
    </row>
    <row r="148" spans="1:9" s="210" customFormat="1" ht="16.899999999999999" hidden="1" customHeight="1">
      <c r="A148" s="141" t="s">
        <v>809</v>
      </c>
      <c r="B148" s="221" t="s">
        <v>864</v>
      </c>
      <c r="C148" s="105"/>
      <c r="D148" s="106">
        <f>D149+D150</f>
        <v>0</v>
      </c>
      <c r="E148" s="143">
        <f>E149+E150</f>
        <v>0</v>
      </c>
      <c r="F148" s="143">
        <f>F149+F150</f>
        <v>0</v>
      </c>
      <c r="G148" s="306"/>
    </row>
    <row r="149" spans="1:9" s="52" customFormat="1" ht="35.450000000000003" hidden="1" customHeight="1">
      <c r="A149" s="70" t="s">
        <v>1049</v>
      </c>
      <c r="B149" s="130" t="s">
        <v>864</v>
      </c>
      <c r="C149" s="75" t="s">
        <v>1050</v>
      </c>
      <c r="D149" s="76">
        <v>0</v>
      </c>
      <c r="E149" s="72">
        <v>0</v>
      </c>
      <c r="F149" s="72">
        <v>0</v>
      </c>
      <c r="G149" s="270"/>
    </row>
    <row r="150" spans="1:9" s="52" customFormat="1" ht="45.6" hidden="1" customHeight="1">
      <c r="A150" s="70" t="s">
        <v>812</v>
      </c>
      <c r="B150" s="130" t="s">
        <v>864</v>
      </c>
      <c r="C150" s="75" t="s">
        <v>813</v>
      </c>
      <c r="D150" s="76"/>
      <c r="E150" s="72"/>
      <c r="F150" s="72"/>
      <c r="G150" s="270"/>
    </row>
    <row r="151" spans="1:9" s="52" customFormat="1" ht="45.75" customHeight="1">
      <c r="A151" s="261" t="s">
        <v>1051</v>
      </c>
      <c r="B151" s="262" t="s">
        <v>206</v>
      </c>
      <c r="C151" s="262" t="s">
        <v>752</v>
      </c>
      <c r="D151" s="263">
        <f>D152</f>
        <v>300</v>
      </c>
      <c r="E151" s="263">
        <f>E152</f>
        <v>300</v>
      </c>
      <c r="F151" s="263">
        <f>F152</f>
        <v>300</v>
      </c>
      <c r="G151" s="264"/>
    </row>
    <row r="152" spans="1:9" s="218" customFormat="1" ht="37.5" customHeight="1">
      <c r="A152" s="70" t="s">
        <v>244</v>
      </c>
      <c r="B152" s="130" t="s">
        <v>864</v>
      </c>
      <c r="C152" s="98" t="s">
        <v>753</v>
      </c>
      <c r="D152" s="76">
        <v>300</v>
      </c>
      <c r="E152" s="76">
        <v>300</v>
      </c>
      <c r="F152" s="76">
        <v>300</v>
      </c>
      <c r="G152" s="151"/>
    </row>
    <row r="153" spans="1:9" s="218" customFormat="1" ht="42.75" customHeight="1">
      <c r="A153" s="261" t="s">
        <v>591</v>
      </c>
      <c r="B153" s="262" t="s">
        <v>206</v>
      </c>
      <c r="C153" s="307" t="s">
        <v>592</v>
      </c>
      <c r="D153" s="263">
        <f>D154+D174+D176+D179+D162+D182+D184+D187+D190+D201+D198+D158+D195</f>
        <v>55627.833310000002</v>
      </c>
      <c r="E153" s="263">
        <f t="shared" ref="E153:F153" si="34">E154+E174+E176+E179+E162+E182+E184+E187+E190+E201+E198+E158+E195</f>
        <v>54875.376030303029</v>
      </c>
      <c r="F153" s="263">
        <f t="shared" si="34"/>
        <v>64212.667686868685</v>
      </c>
      <c r="G153" s="264"/>
    </row>
    <row r="154" spans="1:9" s="52" customFormat="1" ht="48.75" customHeight="1">
      <c r="A154" s="104" t="s">
        <v>677</v>
      </c>
      <c r="B154" s="139" t="s">
        <v>864</v>
      </c>
      <c r="C154" s="105" t="s">
        <v>679</v>
      </c>
      <c r="D154" s="106">
        <f>D156+D157+D168+D171</f>
        <v>13980.956</v>
      </c>
      <c r="E154" s="106">
        <f t="shared" ref="E154:F154" si="35">E156+E157+E168+E171</f>
        <v>14568</v>
      </c>
      <c r="F154" s="106">
        <f t="shared" si="35"/>
        <v>15518</v>
      </c>
      <c r="G154" s="269"/>
    </row>
    <row r="155" spans="1:9" s="52" customFormat="1" ht="15" hidden="1" customHeight="1">
      <c r="A155" s="74" t="s">
        <v>1052</v>
      </c>
      <c r="B155" s="98" t="s">
        <v>1053</v>
      </c>
      <c r="C155" s="75" t="s">
        <v>1054</v>
      </c>
      <c r="D155" s="76"/>
      <c r="E155" s="76"/>
      <c r="F155" s="76"/>
      <c r="G155" s="151"/>
    </row>
    <row r="156" spans="1:9" s="52" customFormat="1" ht="23.25" customHeight="1">
      <c r="A156" s="74" t="s">
        <v>1055</v>
      </c>
      <c r="B156" s="98" t="s">
        <v>864</v>
      </c>
      <c r="C156" s="75" t="s">
        <v>680</v>
      </c>
      <c r="D156" s="76">
        <f>13236+847-572.6</f>
        <v>13510.4</v>
      </c>
      <c r="E156" s="76">
        <f>13568+1000</f>
        <v>14568</v>
      </c>
      <c r="F156" s="76">
        <f>13968+1550</f>
        <v>15518</v>
      </c>
      <c r="G156" s="184"/>
      <c r="H156" s="184"/>
      <c r="I156" s="184"/>
    </row>
    <row r="157" spans="1:9" s="52" customFormat="1" ht="36" customHeight="1">
      <c r="A157" s="74" t="s">
        <v>1056</v>
      </c>
      <c r="B157" s="98" t="s">
        <v>864</v>
      </c>
      <c r="C157" s="75" t="s">
        <v>682</v>
      </c>
      <c r="D157" s="76">
        <v>470.55599999999998</v>
      </c>
      <c r="E157" s="76">
        <f>'2  '!E98</f>
        <v>0</v>
      </c>
      <c r="F157" s="76">
        <f>'2  '!F98</f>
        <v>0</v>
      </c>
      <c r="G157" s="151"/>
    </row>
    <row r="158" spans="1:9" s="52" customFormat="1" ht="45.75" customHeight="1">
      <c r="A158" s="78" t="s">
        <v>685</v>
      </c>
      <c r="B158" s="128" t="s">
        <v>864</v>
      </c>
      <c r="C158" s="79" t="s">
        <v>1057</v>
      </c>
      <c r="D158" s="80">
        <f>D159+D160</f>
        <v>2021.3856700000001</v>
      </c>
      <c r="E158" s="80">
        <f t="shared" ref="E158:F158" si="36">E159+E160</f>
        <v>0</v>
      </c>
      <c r="F158" s="80">
        <f t="shared" si="36"/>
        <v>0</v>
      </c>
      <c r="G158" s="299"/>
    </row>
    <row r="159" spans="1:9" s="52" customFormat="1" ht="50.25" customHeight="1">
      <c r="A159" s="74" t="s">
        <v>686</v>
      </c>
      <c r="B159" s="98" t="s">
        <v>864</v>
      </c>
      <c r="C159" s="75" t="s">
        <v>687</v>
      </c>
      <c r="D159" s="76">
        <f>'2  '!D56</f>
        <v>2001.1718100000001</v>
      </c>
      <c r="E159" s="76">
        <f>'2  '!E56</f>
        <v>0</v>
      </c>
      <c r="F159" s="76">
        <f>'2  '!F56</f>
        <v>0</v>
      </c>
      <c r="G159" s="151"/>
    </row>
    <row r="160" spans="1:9" s="52" customFormat="1" ht="67.5" customHeight="1">
      <c r="A160" s="74" t="s">
        <v>1058</v>
      </c>
      <c r="B160" s="98" t="s">
        <v>864</v>
      </c>
      <c r="C160" s="75" t="s">
        <v>687</v>
      </c>
      <c r="D160" s="76">
        <v>20.21386</v>
      </c>
      <c r="E160" s="76">
        <f t="shared" ref="E160:F160" si="37">E159/99</f>
        <v>0</v>
      </c>
      <c r="F160" s="76">
        <f t="shared" si="37"/>
        <v>0</v>
      </c>
      <c r="G160" s="151"/>
    </row>
    <row r="161" spans="1:7" s="52" customFormat="1" ht="57" hidden="1" customHeight="1">
      <c r="A161" s="70" t="s">
        <v>683</v>
      </c>
      <c r="B161" s="130" t="s">
        <v>864</v>
      </c>
      <c r="C161" s="75" t="s">
        <v>684</v>
      </c>
      <c r="D161" s="76">
        <f>25-25</f>
        <v>0</v>
      </c>
      <c r="E161" s="72">
        <f>25-25</f>
        <v>0</v>
      </c>
      <c r="F161" s="72">
        <f>25-25</f>
        <v>0</v>
      </c>
      <c r="G161" s="270"/>
    </row>
    <row r="162" spans="1:7" s="52" customFormat="1" ht="31.9" hidden="1" customHeight="1">
      <c r="A162" s="141" t="s">
        <v>720</v>
      </c>
      <c r="B162" s="221" t="s">
        <v>864</v>
      </c>
      <c r="C162" s="105" t="s">
        <v>678</v>
      </c>
      <c r="D162" s="106">
        <f>D163+D164</f>
        <v>0</v>
      </c>
      <c r="E162" s="143">
        <f>E163+E164</f>
        <v>0</v>
      </c>
      <c r="F162" s="143">
        <f>F163+F164</f>
        <v>0</v>
      </c>
      <c r="G162" s="306"/>
    </row>
    <row r="163" spans="1:7" s="52" customFormat="1" ht="32.450000000000003" hidden="1" customHeight="1">
      <c r="A163" s="74" t="s">
        <v>721</v>
      </c>
      <c r="B163" s="98" t="s">
        <v>864</v>
      </c>
      <c r="C163" s="75" t="s">
        <v>704</v>
      </c>
      <c r="D163" s="76">
        <f>'2  '!D66</f>
        <v>0</v>
      </c>
      <c r="E163" s="76">
        <f>'2  '!E66</f>
        <v>0</v>
      </c>
      <c r="F163" s="76">
        <f>'2  '!F66</f>
        <v>0</v>
      </c>
      <c r="G163" s="151"/>
    </row>
    <row r="164" spans="1:7" s="52" customFormat="1" ht="46.15" hidden="1" customHeight="1">
      <c r="A164" s="74" t="s">
        <v>705</v>
      </c>
      <c r="B164" s="98" t="s">
        <v>864</v>
      </c>
      <c r="C164" s="75" t="s">
        <v>706</v>
      </c>
      <c r="D164" s="76"/>
      <c r="E164" s="76">
        <v>0</v>
      </c>
      <c r="F164" s="76">
        <v>0</v>
      </c>
      <c r="G164" s="151"/>
    </row>
    <row r="165" spans="1:7" s="52" customFormat="1" ht="33" hidden="1" customHeight="1">
      <c r="A165" s="141" t="s">
        <v>510</v>
      </c>
      <c r="B165" s="221" t="s">
        <v>864</v>
      </c>
      <c r="C165" s="105" t="s">
        <v>678</v>
      </c>
      <c r="D165" s="106">
        <f>D166+D167</f>
        <v>0</v>
      </c>
      <c r="E165" s="143">
        <f>E166+E167</f>
        <v>0</v>
      </c>
      <c r="F165" s="143">
        <f>F166+F167</f>
        <v>0</v>
      </c>
      <c r="G165" s="306"/>
    </row>
    <row r="166" spans="1:7" s="52" customFormat="1" ht="46.15" hidden="1" customHeight="1">
      <c r="A166" s="70" t="s">
        <v>133</v>
      </c>
      <c r="B166" s="130" t="s">
        <v>864</v>
      </c>
      <c r="C166" s="75" t="s">
        <v>707</v>
      </c>
      <c r="D166" s="76"/>
      <c r="E166" s="72"/>
      <c r="F166" s="72"/>
      <c r="G166" s="270"/>
    </row>
    <row r="167" spans="1:7" s="52" customFormat="1" ht="46.15" hidden="1" customHeight="1">
      <c r="A167" s="70" t="s">
        <v>708</v>
      </c>
      <c r="B167" s="130" t="s">
        <v>864</v>
      </c>
      <c r="C167" s="75" t="s">
        <v>899</v>
      </c>
      <c r="D167" s="76"/>
      <c r="E167" s="72"/>
      <c r="F167" s="72"/>
      <c r="G167" s="270"/>
    </row>
    <row r="168" spans="1:7" s="52" customFormat="1" ht="40.9" hidden="1" customHeight="1">
      <c r="A168" s="141" t="s">
        <v>710</v>
      </c>
      <c r="B168" s="221" t="s">
        <v>864</v>
      </c>
      <c r="C168" s="105" t="s">
        <v>713</v>
      </c>
      <c r="D168" s="106">
        <f>D169+D170</f>
        <v>0</v>
      </c>
      <c r="E168" s="143">
        <f>E169+E170</f>
        <v>0</v>
      </c>
      <c r="F168" s="143">
        <f>F169+F170</f>
        <v>0</v>
      </c>
      <c r="G168" s="306"/>
    </row>
    <row r="169" spans="1:7" s="52" customFormat="1" ht="44.45" hidden="1" customHeight="1">
      <c r="A169" s="70" t="s">
        <v>712</v>
      </c>
      <c r="B169" s="130" t="s">
        <v>864</v>
      </c>
      <c r="C169" s="75" t="s">
        <v>713</v>
      </c>
      <c r="D169" s="76">
        <v>0</v>
      </c>
      <c r="E169" s="76">
        <v>0</v>
      </c>
      <c r="F169" s="76">
        <v>0</v>
      </c>
      <c r="G169" s="270"/>
    </row>
    <row r="170" spans="1:7" s="52" customFormat="1" ht="59.45" hidden="1" customHeight="1">
      <c r="A170" s="70" t="s">
        <v>714</v>
      </c>
      <c r="B170" s="130" t="s">
        <v>864</v>
      </c>
      <c r="C170" s="75" t="s">
        <v>713</v>
      </c>
      <c r="D170" s="76"/>
      <c r="E170" s="72">
        <v>0</v>
      </c>
      <c r="F170" s="72">
        <v>0</v>
      </c>
      <c r="G170" s="270"/>
    </row>
    <row r="171" spans="1:7" s="218" customFormat="1" ht="50.25" hidden="1" customHeight="1">
      <c r="A171" s="141" t="s">
        <v>900</v>
      </c>
      <c r="B171" s="220" t="s">
        <v>864</v>
      </c>
      <c r="C171" s="101" t="s">
        <v>902</v>
      </c>
      <c r="D171" s="102">
        <f>D172+D173</f>
        <v>0</v>
      </c>
      <c r="E171" s="102">
        <f>E172+E173</f>
        <v>0</v>
      </c>
      <c r="F171" s="102">
        <f>F172+F173</f>
        <v>0</v>
      </c>
      <c r="G171" s="252"/>
    </row>
    <row r="172" spans="1:7" s="52" customFormat="1" ht="59.45" hidden="1" customHeight="1">
      <c r="A172" s="70" t="s">
        <v>712</v>
      </c>
      <c r="B172" s="130" t="s">
        <v>864</v>
      </c>
      <c r="C172" s="75" t="s">
        <v>902</v>
      </c>
      <c r="D172" s="76">
        <f>'2  '!D49</f>
        <v>0</v>
      </c>
      <c r="E172" s="72">
        <v>0</v>
      </c>
      <c r="F172" s="72">
        <v>0</v>
      </c>
      <c r="G172" s="270"/>
    </row>
    <row r="173" spans="1:7" s="52" customFormat="1" ht="59.45" hidden="1" customHeight="1">
      <c r="A173" s="70" t="s">
        <v>1059</v>
      </c>
      <c r="B173" s="130" t="s">
        <v>864</v>
      </c>
      <c r="C173" s="75" t="s">
        <v>902</v>
      </c>
      <c r="D173" s="76"/>
      <c r="E173" s="72">
        <v>0</v>
      </c>
      <c r="F173" s="72">
        <v>0</v>
      </c>
      <c r="G173" s="270"/>
    </row>
    <row r="174" spans="1:7" s="52" customFormat="1" ht="52.5" customHeight="1">
      <c r="A174" s="104" t="s">
        <v>689</v>
      </c>
      <c r="B174" s="139" t="s">
        <v>864</v>
      </c>
      <c r="C174" s="105" t="s">
        <v>690</v>
      </c>
      <c r="D174" s="106">
        <f>D175</f>
        <v>6048</v>
      </c>
      <c r="E174" s="106">
        <f t="shared" ref="E174:F174" si="38">E175</f>
        <v>6658</v>
      </c>
      <c r="F174" s="106">
        <f t="shared" si="38"/>
        <v>7807</v>
      </c>
      <c r="G174" s="269"/>
    </row>
    <row r="175" spans="1:7" s="52" customFormat="1" ht="21.75" customHeight="1">
      <c r="A175" s="74" t="s">
        <v>1060</v>
      </c>
      <c r="B175" s="98" t="s">
        <v>864</v>
      </c>
      <c r="C175" s="75" t="s">
        <v>690</v>
      </c>
      <c r="D175" s="76">
        <v>6048</v>
      </c>
      <c r="E175" s="76">
        <f>6158+500</f>
        <v>6658</v>
      </c>
      <c r="F175" s="76">
        <f>6257+1550</f>
        <v>7807</v>
      </c>
      <c r="G175" s="151"/>
    </row>
    <row r="176" spans="1:7" s="52" customFormat="1" ht="60.6" hidden="1" customHeight="1">
      <c r="A176" s="78" t="s">
        <v>1061</v>
      </c>
      <c r="B176" s="128" t="s">
        <v>864</v>
      </c>
      <c r="C176" s="79" t="s">
        <v>697</v>
      </c>
      <c r="D176" s="80">
        <f>D177+D178</f>
        <v>0</v>
      </c>
      <c r="E176" s="80">
        <f>E177+E178</f>
        <v>0</v>
      </c>
      <c r="F176" s="80">
        <f>F177+F178</f>
        <v>0</v>
      </c>
      <c r="G176" s="299"/>
    </row>
    <row r="177" spans="1:7" s="52" customFormat="1" ht="60" hidden="1" customHeight="1">
      <c r="A177" s="74" t="s">
        <v>1062</v>
      </c>
      <c r="B177" s="98" t="s">
        <v>864</v>
      </c>
      <c r="C177" s="75" t="s">
        <v>694</v>
      </c>
      <c r="D177" s="76">
        <f>'2  '!D52</f>
        <v>0</v>
      </c>
      <c r="E177" s="76">
        <v>0</v>
      </c>
      <c r="F177" s="76">
        <v>0</v>
      </c>
      <c r="G177" s="151"/>
    </row>
    <row r="178" spans="1:7" s="52" customFormat="1" ht="78" hidden="1" customHeight="1">
      <c r="A178" s="74" t="s">
        <v>1063</v>
      </c>
      <c r="B178" s="98" t="s">
        <v>864</v>
      </c>
      <c r="C178" s="75" t="s">
        <v>694</v>
      </c>
      <c r="D178" s="76"/>
      <c r="E178" s="76"/>
      <c r="F178" s="76"/>
      <c r="G178" s="151"/>
    </row>
    <row r="179" spans="1:7" s="52" customFormat="1" ht="69" customHeight="1">
      <c r="A179" s="78" t="s">
        <v>1061</v>
      </c>
      <c r="B179" s="128" t="s">
        <v>864</v>
      </c>
      <c r="C179" s="79" t="s">
        <v>697</v>
      </c>
      <c r="D179" s="80">
        <f>D180+D181</f>
        <v>169.70202</v>
      </c>
      <c r="E179" s="80">
        <f t="shared" ref="E179:F179" si="39">E180+E181</f>
        <v>169.70202020202021</v>
      </c>
      <c r="F179" s="80">
        <f t="shared" si="39"/>
        <v>169.70202020202021</v>
      </c>
      <c r="G179" s="299"/>
    </row>
    <row r="180" spans="1:7" s="52" customFormat="1" ht="56.25" customHeight="1">
      <c r="A180" s="74" t="s">
        <v>1064</v>
      </c>
      <c r="B180" s="98" t="s">
        <v>864</v>
      </c>
      <c r="C180" s="75" t="s">
        <v>699</v>
      </c>
      <c r="D180" s="76">
        <f>'2  '!D68</f>
        <v>168.005</v>
      </c>
      <c r="E180" s="76">
        <f>'2  '!E68</f>
        <v>168.005</v>
      </c>
      <c r="F180" s="76">
        <f>'2  '!F68</f>
        <v>168.005</v>
      </c>
      <c r="G180" s="151"/>
    </row>
    <row r="181" spans="1:7" s="52" customFormat="1" ht="65.25" customHeight="1">
      <c r="A181" s="74" t="s">
        <v>1065</v>
      </c>
      <c r="B181" s="98" t="s">
        <v>864</v>
      </c>
      <c r="C181" s="75" t="s">
        <v>701</v>
      </c>
      <c r="D181" s="76">
        <v>1.69702</v>
      </c>
      <c r="E181" s="76">
        <f t="shared" ref="E181:F181" si="40">E180/99</f>
        <v>1.6970202020202019</v>
      </c>
      <c r="F181" s="76">
        <f t="shared" si="40"/>
        <v>1.6970202020202019</v>
      </c>
      <c r="G181" s="151"/>
    </row>
    <row r="182" spans="1:7" s="52" customFormat="1" ht="69.75" customHeight="1">
      <c r="A182" s="104" t="s">
        <v>715</v>
      </c>
      <c r="B182" s="139" t="s">
        <v>864</v>
      </c>
      <c r="C182" s="105" t="s">
        <v>716</v>
      </c>
      <c r="D182" s="106">
        <f>D183</f>
        <v>3050</v>
      </c>
      <c r="E182" s="106">
        <f>E183</f>
        <v>3495</v>
      </c>
      <c r="F182" s="106">
        <f>F183</f>
        <v>4708</v>
      </c>
      <c r="G182" s="269"/>
    </row>
    <row r="183" spans="1:7" s="52" customFormat="1" ht="21.75" customHeight="1">
      <c r="A183" s="74" t="s">
        <v>497</v>
      </c>
      <c r="B183" s="98" t="s">
        <v>864</v>
      </c>
      <c r="C183" s="75" t="s">
        <v>716</v>
      </c>
      <c r="D183" s="76">
        <v>3050</v>
      </c>
      <c r="E183" s="76">
        <f>3095+400</f>
        <v>3495</v>
      </c>
      <c r="F183" s="76">
        <f>3158+1550</f>
        <v>4708</v>
      </c>
      <c r="G183" s="151"/>
    </row>
    <row r="184" spans="1:7" ht="50.25" customHeight="1">
      <c r="A184" s="104" t="s">
        <v>600</v>
      </c>
      <c r="B184" s="139" t="s">
        <v>864</v>
      </c>
      <c r="C184" s="139"/>
      <c r="D184" s="106">
        <f>D185+D186</f>
        <v>1010.10101</v>
      </c>
      <c r="E184" s="106">
        <f t="shared" ref="E184:F184" si="41">E185+E186</f>
        <v>1010.10101010101</v>
      </c>
      <c r="F184" s="106">
        <f t="shared" si="41"/>
        <v>1010.10101010101</v>
      </c>
      <c r="G184" s="269"/>
    </row>
    <row r="185" spans="1:7" ht="65.25" customHeight="1">
      <c r="A185" s="74" t="s">
        <v>1066</v>
      </c>
      <c r="B185" s="98" t="s">
        <v>864</v>
      </c>
      <c r="C185" s="98" t="s">
        <v>602</v>
      </c>
      <c r="D185" s="76">
        <f>'2  '!D67</f>
        <v>1000</v>
      </c>
      <c r="E185" s="76">
        <f>'2  '!E67</f>
        <v>1000</v>
      </c>
      <c r="F185" s="76">
        <f>'2  '!F67</f>
        <v>1000</v>
      </c>
      <c r="G185" s="151"/>
    </row>
    <row r="186" spans="1:7" ht="69.75" customHeight="1">
      <c r="A186" s="74" t="s">
        <v>1067</v>
      </c>
      <c r="B186" s="98" t="s">
        <v>864</v>
      </c>
      <c r="C186" s="98" t="s">
        <v>604</v>
      </c>
      <c r="D186" s="76">
        <v>10.10101</v>
      </c>
      <c r="E186" s="76">
        <f t="shared" ref="E186:F186" si="42">E185/99</f>
        <v>10.1010101010101</v>
      </c>
      <c r="F186" s="76">
        <f t="shared" si="42"/>
        <v>10.1010101010101</v>
      </c>
      <c r="G186" s="151"/>
    </row>
    <row r="187" spans="1:7" s="52" customFormat="1" ht="19.899999999999999" customHeight="1">
      <c r="A187" s="104" t="s">
        <v>1068</v>
      </c>
      <c r="B187" s="139" t="s">
        <v>864</v>
      </c>
      <c r="C187" s="105" t="s">
        <v>1069</v>
      </c>
      <c r="D187" s="106">
        <f>D188+D189</f>
        <v>1041.7</v>
      </c>
      <c r="E187" s="106">
        <f t="shared" ref="E187:F187" si="43">E188+E189</f>
        <v>2845</v>
      </c>
      <c r="F187" s="106">
        <f t="shared" si="43"/>
        <v>2895</v>
      </c>
      <c r="G187" s="269"/>
    </row>
    <row r="188" spans="1:7" s="52" customFormat="1" ht="36" customHeight="1">
      <c r="A188" s="74" t="s">
        <v>1070</v>
      </c>
      <c r="B188" s="98" t="s">
        <v>864</v>
      </c>
      <c r="C188" s="75" t="s">
        <v>719</v>
      </c>
      <c r="D188" s="76">
        <f>2291-1249.3</f>
        <v>1041.7</v>
      </c>
      <c r="E188" s="76">
        <f>2345+500</f>
        <v>2845</v>
      </c>
      <c r="F188" s="76">
        <f>2395+500</f>
        <v>2895</v>
      </c>
      <c r="G188" s="151"/>
    </row>
    <row r="189" spans="1:7" s="52" customFormat="1" ht="45.75" hidden="1" customHeight="1">
      <c r="A189" s="150" t="s">
        <v>737</v>
      </c>
      <c r="B189" s="217" t="s">
        <v>1071</v>
      </c>
      <c r="C189" s="149" t="s">
        <v>738</v>
      </c>
      <c r="D189" s="147"/>
      <c r="E189" s="147"/>
      <c r="F189" s="147"/>
      <c r="G189" s="300"/>
    </row>
    <row r="190" spans="1:7" s="52" customFormat="1" ht="36.75" customHeight="1">
      <c r="A190" s="141" t="s">
        <v>593</v>
      </c>
      <c r="B190" s="221" t="s">
        <v>864</v>
      </c>
      <c r="C190" s="105"/>
      <c r="D190" s="106">
        <f>D191+D193</f>
        <v>25210</v>
      </c>
      <c r="E190" s="106">
        <f t="shared" ref="E190:F190" si="44">E191+E193</f>
        <v>26129.573</v>
      </c>
      <c r="F190" s="106">
        <f t="shared" si="44"/>
        <v>25924.976999999999</v>
      </c>
      <c r="G190" s="269"/>
    </row>
    <row r="191" spans="1:7" s="52" customFormat="1" ht="34.5" customHeight="1">
      <c r="A191" s="104" t="s">
        <v>594</v>
      </c>
      <c r="B191" s="139" t="s">
        <v>864</v>
      </c>
      <c r="C191" s="105" t="s">
        <v>595</v>
      </c>
      <c r="D191" s="106">
        <f>D192</f>
        <v>17820</v>
      </c>
      <c r="E191" s="106">
        <f t="shared" ref="E191:F191" si="45">E192</f>
        <v>17917.303</v>
      </c>
      <c r="F191" s="106">
        <f t="shared" si="45"/>
        <v>17141.844000000001</v>
      </c>
      <c r="G191" s="269"/>
    </row>
    <row r="192" spans="1:7" s="52" customFormat="1" ht="24.75" customHeight="1">
      <c r="A192" s="74" t="s">
        <v>1072</v>
      </c>
      <c r="B192" s="128" t="s">
        <v>864</v>
      </c>
      <c r="C192" s="79" t="s">
        <v>595</v>
      </c>
      <c r="D192" s="76">
        <v>17820</v>
      </c>
      <c r="E192" s="76">
        <f>15917.303+2000</f>
        <v>17917.303</v>
      </c>
      <c r="F192" s="76">
        <v>17141.844000000001</v>
      </c>
      <c r="G192" s="151"/>
    </row>
    <row r="193" spans="1:7" s="52" customFormat="1" ht="32.25" customHeight="1">
      <c r="A193" s="104" t="s">
        <v>596</v>
      </c>
      <c r="B193" s="139" t="s">
        <v>864</v>
      </c>
      <c r="C193" s="105" t="s">
        <v>597</v>
      </c>
      <c r="D193" s="106">
        <f>D194</f>
        <v>7390</v>
      </c>
      <c r="E193" s="106">
        <f t="shared" ref="E193:F193" si="46">E194</f>
        <v>8212.27</v>
      </c>
      <c r="F193" s="106">
        <f t="shared" si="46"/>
        <v>8783.1329999999998</v>
      </c>
      <c r="G193" s="269"/>
    </row>
    <row r="194" spans="1:7" s="52" customFormat="1" ht="24.75" customHeight="1">
      <c r="A194" s="74" t="s">
        <v>1073</v>
      </c>
      <c r="B194" s="98" t="s">
        <v>864</v>
      </c>
      <c r="C194" s="79" t="s">
        <v>597</v>
      </c>
      <c r="D194" s="76">
        <v>7390</v>
      </c>
      <c r="E194" s="76">
        <v>8212.27</v>
      </c>
      <c r="F194" s="76">
        <v>8783.1329999999998</v>
      </c>
      <c r="G194" s="151"/>
    </row>
    <row r="195" spans="1:7" s="52" customFormat="1" ht="63.75" customHeight="1">
      <c r="A195" s="104" t="s">
        <v>605</v>
      </c>
      <c r="B195" s="139" t="s">
        <v>864</v>
      </c>
      <c r="C195" s="105" t="s">
        <v>606</v>
      </c>
      <c r="D195" s="106">
        <f>D196+D197</f>
        <v>3055.9886099999999</v>
      </c>
      <c r="E195" s="106">
        <f t="shared" ref="E195:F195" si="47">E196+E197</f>
        <v>0</v>
      </c>
      <c r="F195" s="106">
        <f t="shared" si="47"/>
        <v>6179.8876565656565</v>
      </c>
      <c r="G195" s="253"/>
    </row>
    <row r="196" spans="1:7" s="52" customFormat="1" ht="63.75" customHeight="1">
      <c r="A196" s="74" t="s">
        <v>607</v>
      </c>
      <c r="B196" s="98" t="s">
        <v>864</v>
      </c>
      <c r="C196" s="75" t="s">
        <v>608</v>
      </c>
      <c r="D196" s="76">
        <f>'2  '!D48</f>
        <v>3025.4287199999999</v>
      </c>
      <c r="E196" s="76">
        <f>'2  '!E48</f>
        <v>0</v>
      </c>
      <c r="F196" s="76">
        <f>'2  '!F48</f>
        <v>6118.08878</v>
      </c>
      <c r="G196" s="270"/>
    </row>
    <row r="197" spans="1:7" s="52" customFormat="1" ht="66" customHeight="1">
      <c r="A197" s="74" t="s">
        <v>610</v>
      </c>
      <c r="B197" s="98" t="s">
        <v>864</v>
      </c>
      <c r="C197" s="75" t="s">
        <v>608</v>
      </c>
      <c r="D197" s="76">
        <v>30.559889999999999</v>
      </c>
      <c r="E197" s="76">
        <f t="shared" ref="E197:F197" si="48">E196/99</f>
        <v>0</v>
      </c>
      <c r="F197" s="76">
        <f t="shared" si="48"/>
        <v>61.798876565656563</v>
      </c>
      <c r="G197" s="270"/>
    </row>
    <row r="198" spans="1:7" s="218" customFormat="1" ht="33.75" customHeight="1">
      <c r="A198" s="152" t="s">
        <v>574</v>
      </c>
      <c r="B198" s="220" t="s">
        <v>864</v>
      </c>
      <c r="C198" s="101" t="s">
        <v>598</v>
      </c>
      <c r="D198" s="102">
        <f>D199</f>
        <v>40</v>
      </c>
      <c r="E198" s="154">
        <f>E199</f>
        <v>0</v>
      </c>
      <c r="F198" s="154">
        <f>F199</f>
        <v>0</v>
      </c>
      <c r="G198" s="253"/>
    </row>
    <row r="199" spans="1:7" s="52" customFormat="1" ht="31.5" customHeight="1">
      <c r="A199" s="70" t="s">
        <v>599</v>
      </c>
      <c r="B199" s="130" t="s">
        <v>864</v>
      </c>
      <c r="C199" s="75" t="s">
        <v>598</v>
      </c>
      <c r="D199" s="76">
        <f>20+20</f>
        <v>40</v>
      </c>
      <c r="E199" s="72">
        <v>0</v>
      </c>
      <c r="F199" s="72">
        <v>0</v>
      </c>
      <c r="G199" s="270"/>
    </row>
    <row r="200" spans="1:7" s="52" customFormat="1" ht="12" hidden="1" customHeight="1">
      <c r="A200" s="70"/>
      <c r="B200" s="130"/>
      <c r="C200" s="75"/>
      <c r="D200" s="76"/>
      <c r="E200" s="72"/>
      <c r="F200" s="72"/>
      <c r="G200" s="270"/>
    </row>
    <row r="201" spans="1:7" s="211" customFormat="1" ht="52.5" hidden="1" customHeight="1">
      <c r="A201" s="141" t="s">
        <v>722</v>
      </c>
      <c r="B201" s="221" t="s">
        <v>864</v>
      </c>
      <c r="C201" s="105" t="s">
        <v>1074</v>
      </c>
      <c r="D201" s="106">
        <f>D202+D203</f>
        <v>0</v>
      </c>
      <c r="E201" s="143">
        <f>E202+E203</f>
        <v>0</v>
      </c>
      <c r="F201" s="143">
        <f>F202+F203</f>
        <v>0</v>
      </c>
      <c r="G201" s="306"/>
    </row>
    <row r="202" spans="1:7" s="52" customFormat="1" ht="63.75" hidden="1" customHeight="1">
      <c r="A202" s="70" t="s">
        <v>724</v>
      </c>
      <c r="B202" s="130" t="s">
        <v>864</v>
      </c>
      <c r="C202" s="75" t="s">
        <v>725</v>
      </c>
      <c r="D202" s="76"/>
      <c r="E202" s="72"/>
      <c r="F202" s="72"/>
      <c r="G202" s="270"/>
    </row>
    <row r="203" spans="1:7" s="52" customFormat="1" ht="66.75" hidden="1" customHeight="1">
      <c r="A203" s="70" t="s">
        <v>726</v>
      </c>
      <c r="B203" s="130" t="s">
        <v>864</v>
      </c>
      <c r="C203" s="75" t="s">
        <v>727</v>
      </c>
      <c r="D203" s="76"/>
      <c r="E203" s="72"/>
      <c r="F203" s="72"/>
      <c r="G203" s="270"/>
    </row>
    <row r="204" spans="1:7" s="52" customFormat="1" ht="50.25" customHeight="1">
      <c r="A204" s="261" t="s">
        <v>1075</v>
      </c>
      <c r="B204" s="262" t="s">
        <v>206</v>
      </c>
      <c r="C204" s="262" t="s">
        <v>428</v>
      </c>
      <c r="D204" s="263">
        <f>D207+D208+D205+D206</f>
        <v>200</v>
      </c>
      <c r="E204" s="263">
        <f t="shared" ref="E204:F204" si="49">E207+E208+E205+E206</f>
        <v>200</v>
      </c>
      <c r="F204" s="263">
        <f t="shared" si="49"/>
        <v>200</v>
      </c>
      <c r="G204" s="264"/>
    </row>
    <row r="205" spans="1:7" s="52" customFormat="1" ht="45.6" hidden="1" customHeight="1">
      <c r="A205" s="70"/>
      <c r="B205" s="308"/>
      <c r="C205" s="98"/>
      <c r="D205" s="36"/>
      <c r="E205" s="36"/>
      <c r="F205" s="36"/>
      <c r="G205" s="21"/>
    </row>
    <row r="206" spans="1:7" s="52" customFormat="1" ht="45.6" hidden="1" customHeight="1">
      <c r="A206" s="70"/>
      <c r="B206" s="308"/>
      <c r="C206" s="98"/>
      <c r="D206" s="36"/>
      <c r="E206" s="36"/>
      <c r="F206" s="36"/>
      <c r="G206" s="21"/>
    </row>
    <row r="207" spans="1:7" s="52" customFormat="1" ht="35.25" customHeight="1">
      <c r="A207" s="70" t="s">
        <v>395</v>
      </c>
      <c r="B207" s="130" t="s">
        <v>864</v>
      </c>
      <c r="C207" s="75" t="s">
        <v>430</v>
      </c>
      <c r="D207" s="76">
        <v>197</v>
      </c>
      <c r="E207" s="76">
        <v>197</v>
      </c>
      <c r="F207" s="76">
        <v>197</v>
      </c>
      <c r="G207" s="151"/>
    </row>
    <row r="208" spans="1:7" s="52" customFormat="1" ht="33.75" customHeight="1">
      <c r="A208" s="74" t="s">
        <v>1076</v>
      </c>
      <c r="B208" s="98" t="s">
        <v>864</v>
      </c>
      <c r="C208" s="75" t="s">
        <v>430</v>
      </c>
      <c r="D208" s="76">
        <v>3</v>
      </c>
      <c r="E208" s="76">
        <v>3</v>
      </c>
      <c r="F208" s="76">
        <v>3</v>
      </c>
      <c r="G208" s="151"/>
    </row>
    <row r="209" spans="1:7" s="52" customFormat="1" ht="70.5" customHeight="1">
      <c r="A209" s="261" t="s">
        <v>405</v>
      </c>
      <c r="B209" s="262" t="s">
        <v>206</v>
      </c>
      <c r="C209" s="262" t="s">
        <v>406</v>
      </c>
      <c r="D209" s="263">
        <f>SUM(D210:D217)</f>
        <v>32250.397700000001</v>
      </c>
      <c r="E209" s="263">
        <f t="shared" ref="E209:F209" si="50">SUM(E210:E217)</f>
        <v>24647</v>
      </c>
      <c r="F209" s="263">
        <f t="shared" si="50"/>
        <v>33140</v>
      </c>
      <c r="G209" s="264"/>
    </row>
    <row r="210" spans="1:7" s="52" customFormat="1" ht="48.75" hidden="1" customHeight="1">
      <c r="A210" s="70" t="s">
        <v>1077</v>
      </c>
      <c r="B210" s="130" t="s">
        <v>864</v>
      </c>
      <c r="C210" s="75" t="s">
        <v>394</v>
      </c>
      <c r="D210" s="76"/>
      <c r="E210" s="72"/>
      <c r="F210" s="72"/>
      <c r="G210" s="270"/>
    </row>
    <row r="211" spans="1:7" s="52" customFormat="1" ht="21.75" customHeight="1">
      <c r="A211" s="70" t="s">
        <v>407</v>
      </c>
      <c r="B211" s="130" t="s">
        <v>864</v>
      </c>
      <c r="C211" s="75" t="s">
        <v>408</v>
      </c>
      <c r="D211" s="76">
        <f>23547-D212+8703.3977-11000</f>
        <v>4733.8756999999987</v>
      </c>
      <c r="E211" s="72">
        <f>24647-E212</f>
        <v>7358.9079999999994</v>
      </c>
      <c r="F211" s="72">
        <f>33140-F212</f>
        <v>9894.6810000000005</v>
      </c>
      <c r="G211" s="270"/>
    </row>
    <row r="212" spans="1:7" s="52" customFormat="1" ht="19.5" customHeight="1">
      <c r="A212" s="70" t="s">
        <v>410</v>
      </c>
      <c r="B212" s="130" t="s">
        <v>864</v>
      </c>
      <c r="C212" s="75" t="s">
        <v>409</v>
      </c>
      <c r="D212" s="76">
        <v>16516.522000000001</v>
      </c>
      <c r="E212" s="72">
        <v>17288.092000000001</v>
      </c>
      <c r="F212" s="72">
        <v>23245.319</v>
      </c>
      <c r="G212" s="270"/>
    </row>
    <row r="213" spans="1:7" s="52" customFormat="1" ht="45.75" hidden="1" customHeight="1">
      <c r="A213" s="70" t="s">
        <v>412</v>
      </c>
      <c r="B213" s="130" t="s">
        <v>864</v>
      </c>
      <c r="C213" s="75" t="s">
        <v>413</v>
      </c>
      <c r="D213" s="76"/>
      <c r="E213" s="72"/>
      <c r="F213" s="72"/>
      <c r="G213" s="270"/>
    </row>
    <row r="214" spans="1:7" s="52" customFormat="1" ht="60" hidden="1" customHeight="1">
      <c r="A214" s="70" t="s">
        <v>414</v>
      </c>
      <c r="B214" s="130" t="s">
        <v>1078</v>
      </c>
      <c r="C214" s="75" t="s">
        <v>415</v>
      </c>
      <c r="D214" s="76"/>
      <c r="E214" s="72"/>
      <c r="F214" s="72"/>
      <c r="G214" s="270"/>
    </row>
    <row r="215" spans="1:7" s="52" customFormat="1" ht="52.5" hidden="1" customHeight="1">
      <c r="A215" s="70" t="s">
        <v>1079</v>
      </c>
      <c r="B215" s="130" t="s">
        <v>864</v>
      </c>
      <c r="C215" s="75" t="s">
        <v>1080</v>
      </c>
      <c r="D215" s="76"/>
      <c r="E215" s="72"/>
      <c r="F215" s="72"/>
      <c r="G215" s="270"/>
    </row>
    <row r="216" spans="1:7" s="52" customFormat="1" ht="66.75" hidden="1" customHeight="1">
      <c r="A216" s="70" t="s">
        <v>1081</v>
      </c>
      <c r="B216" s="130" t="s">
        <v>864</v>
      </c>
      <c r="C216" s="75" t="s">
        <v>1082</v>
      </c>
      <c r="D216" s="76"/>
      <c r="E216" s="72"/>
      <c r="F216" s="72"/>
      <c r="G216" s="270"/>
    </row>
    <row r="217" spans="1:7" s="52" customFormat="1" ht="19.5" customHeight="1">
      <c r="A217" s="70" t="s">
        <v>422</v>
      </c>
      <c r="B217" s="130" t="s">
        <v>864</v>
      </c>
      <c r="C217" s="75" t="s">
        <v>418</v>
      </c>
      <c r="D217" s="76">
        <v>11000</v>
      </c>
      <c r="E217" s="72">
        <v>0</v>
      </c>
      <c r="F217" s="72">
        <v>0</v>
      </c>
      <c r="G217" s="270"/>
    </row>
    <row r="218" spans="1:7" s="52" customFormat="1" ht="51" customHeight="1">
      <c r="A218" s="261" t="s">
        <v>892</v>
      </c>
      <c r="B218" s="262" t="s">
        <v>206</v>
      </c>
      <c r="C218" s="262" t="s">
        <v>468</v>
      </c>
      <c r="D218" s="263">
        <f>SUM(D219:D223)</f>
        <v>590</v>
      </c>
      <c r="E218" s="263">
        <f t="shared" ref="E218:F218" si="51">SUM(E219:E223)</f>
        <v>590</v>
      </c>
      <c r="F218" s="263">
        <f t="shared" si="51"/>
        <v>0</v>
      </c>
      <c r="G218" s="264"/>
    </row>
    <row r="219" spans="1:7" s="52" customFormat="1" ht="25.5" customHeight="1">
      <c r="A219" s="70" t="s">
        <v>1083</v>
      </c>
      <c r="B219" s="130" t="s">
        <v>928</v>
      </c>
      <c r="C219" s="75" t="s">
        <v>662</v>
      </c>
      <c r="D219" s="76">
        <v>550</v>
      </c>
      <c r="E219" s="76">
        <v>550</v>
      </c>
      <c r="F219" s="76">
        <v>0</v>
      </c>
      <c r="G219" s="151"/>
    </row>
    <row r="220" spans="1:7" s="52" customFormat="1" ht="32.25" customHeight="1">
      <c r="A220" s="70" t="s">
        <v>1084</v>
      </c>
      <c r="B220" s="130" t="s">
        <v>864</v>
      </c>
      <c r="C220" s="75" t="s">
        <v>469</v>
      </c>
      <c r="D220" s="76">
        <v>20</v>
      </c>
      <c r="E220" s="76">
        <v>20</v>
      </c>
      <c r="F220" s="76">
        <v>0</v>
      </c>
      <c r="G220" s="151"/>
    </row>
    <row r="221" spans="1:7" s="52" customFormat="1" ht="22.5" customHeight="1">
      <c r="A221" s="70" t="s">
        <v>1085</v>
      </c>
      <c r="B221" s="130" t="s">
        <v>864</v>
      </c>
      <c r="C221" s="75" t="s">
        <v>735</v>
      </c>
      <c r="D221" s="76">
        <v>20</v>
      </c>
      <c r="E221" s="76">
        <v>20</v>
      </c>
      <c r="F221" s="76">
        <v>0</v>
      </c>
      <c r="G221" s="151"/>
    </row>
    <row r="222" spans="1:7" s="52" customFormat="1" ht="32.25" hidden="1" customHeight="1">
      <c r="A222" s="70" t="s">
        <v>1086</v>
      </c>
      <c r="B222" s="130" t="s">
        <v>928</v>
      </c>
      <c r="C222" s="75" t="s">
        <v>661</v>
      </c>
      <c r="D222" s="76">
        <v>0</v>
      </c>
      <c r="E222" s="76">
        <v>0</v>
      </c>
      <c r="F222" s="76">
        <v>0</v>
      </c>
      <c r="G222" s="151"/>
    </row>
    <row r="223" spans="1:7" s="52" customFormat="1" ht="29.45" hidden="1" customHeight="1">
      <c r="A223" s="74" t="s">
        <v>1087</v>
      </c>
      <c r="B223" s="98" t="s">
        <v>864</v>
      </c>
      <c r="C223" s="75" t="s">
        <v>893</v>
      </c>
      <c r="D223" s="76">
        <v>0</v>
      </c>
      <c r="E223" s="76">
        <v>0</v>
      </c>
      <c r="F223" s="76">
        <v>0</v>
      </c>
      <c r="G223" s="151"/>
    </row>
    <row r="224" spans="1:7" s="52" customFormat="1" ht="50.25" customHeight="1">
      <c r="A224" s="261" t="s">
        <v>824</v>
      </c>
      <c r="B224" s="262" t="s">
        <v>206</v>
      </c>
      <c r="C224" s="262" t="s">
        <v>345</v>
      </c>
      <c r="D224" s="263">
        <f>SUM(D225:D231)</f>
        <v>19929.803999999996</v>
      </c>
      <c r="E224" s="263">
        <f t="shared" ref="E224:F224" si="52">SUM(E225:E231)</f>
        <v>11550.454</v>
      </c>
      <c r="F224" s="263">
        <f t="shared" si="52"/>
        <v>11450.454</v>
      </c>
      <c r="G224" s="264"/>
    </row>
    <row r="225" spans="1:7" s="52" customFormat="1" ht="33" hidden="1" customHeight="1">
      <c r="A225" s="70" t="s">
        <v>1088</v>
      </c>
      <c r="B225" s="130" t="s">
        <v>1089</v>
      </c>
      <c r="C225" s="75" t="s">
        <v>347</v>
      </c>
      <c r="D225" s="76">
        <v>0</v>
      </c>
      <c r="E225" s="72">
        <v>0</v>
      </c>
      <c r="F225" s="72">
        <v>0</v>
      </c>
      <c r="G225" s="270"/>
    </row>
    <row r="226" spans="1:7" s="52" customFormat="1" ht="22.5" customHeight="1">
      <c r="A226" s="74" t="s">
        <v>830</v>
      </c>
      <c r="B226" s="98" t="s">
        <v>864</v>
      </c>
      <c r="C226" s="75" t="s">
        <v>826</v>
      </c>
      <c r="D226" s="76">
        <v>10</v>
      </c>
      <c r="E226" s="76">
        <v>10</v>
      </c>
      <c r="F226" s="76">
        <v>10</v>
      </c>
      <c r="G226" s="151"/>
    </row>
    <row r="227" spans="1:7" s="52" customFormat="1" ht="69" customHeight="1">
      <c r="A227" s="74" t="s">
        <v>1090</v>
      </c>
      <c r="B227" s="98" t="s">
        <v>924</v>
      </c>
      <c r="C227" s="75" t="s">
        <v>837</v>
      </c>
      <c r="D227" s="76">
        <f>'2  '!D81</f>
        <v>10840.454</v>
      </c>
      <c r="E227" s="76">
        <f>'2  '!E81</f>
        <v>10840.454</v>
      </c>
      <c r="F227" s="76">
        <f>'2  '!F81</f>
        <v>10840.454</v>
      </c>
      <c r="G227" s="151"/>
    </row>
    <row r="228" spans="1:7" s="52" customFormat="1" ht="33.75" customHeight="1">
      <c r="A228" s="74" t="s">
        <v>841</v>
      </c>
      <c r="B228" s="98" t="s">
        <v>924</v>
      </c>
      <c r="C228" s="75" t="s">
        <v>842</v>
      </c>
      <c r="D228" s="76">
        <v>7899</v>
      </c>
      <c r="E228" s="76">
        <v>650</v>
      </c>
      <c r="F228" s="76">
        <v>600</v>
      </c>
      <c r="G228" s="151"/>
    </row>
    <row r="229" spans="1:7" s="52" customFormat="1" ht="29.65" hidden="1" customHeight="1">
      <c r="A229" s="74" t="s">
        <v>1091</v>
      </c>
      <c r="B229" s="98" t="s">
        <v>924</v>
      </c>
      <c r="C229" s="75" t="s">
        <v>845</v>
      </c>
      <c r="D229" s="76">
        <v>0</v>
      </c>
      <c r="E229" s="76">
        <v>0</v>
      </c>
      <c r="F229" s="76">
        <v>0</v>
      </c>
      <c r="G229" s="151"/>
    </row>
    <row r="230" spans="1:7" s="52" customFormat="1" ht="43.15" hidden="1" customHeight="1">
      <c r="A230" s="74" t="s">
        <v>1091</v>
      </c>
      <c r="B230" s="98" t="s">
        <v>924</v>
      </c>
      <c r="C230" s="75" t="s">
        <v>845</v>
      </c>
      <c r="D230" s="76"/>
      <c r="E230" s="76"/>
      <c r="F230" s="76"/>
      <c r="G230" s="151"/>
    </row>
    <row r="231" spans="1:7" s="52" customFormat="1" ht="34.5" customHeight="1">
      <c r="A231" s="74" t="s">
        <v>1092</v>
      </c>
      <c r="B231" s="98" t="s">
        <v>924</v>
      </c>
      <c r="C231" s="75" t="s">
        <v>845</v>
      </c>
      <c r="D231" s="76">
        <f>1093.9+86.45</f>
        <v>1180.3500000000001</v>
      </c>
      <c r="E231" s="76">
        <v>50</v>
      </c>
      <c r="F231" s="76">
        <v>0</v>
      </c>
      <c r="G231" s="151"/>
    </row>
    <row r="232" spans="1:7" s="52" customFormat="1" ht="51.75" customHeight="1">
      <c r="A232" s="261" t="s">
        <v>336</v>
      </c>
      <c r="B232" s="262" t="s">
        <v>206</v>
      </c>
      <c r="C232" s="307" t="s">
        <v>337</v>
      </c>
      <c r="D232" s="263">
        <f t="shared" ref="D232:F233" si="53">D233</f>
        <v>20</v>
      </c>
      <c r="E232" s="263">
        <f t="shared" ref="E232:F232" si="54">E233</f>
        <v>0</v>
      </c>
      <c r="F232" s="263">
        <f t="shared" si="54"/>
        <v>0</v>
      </c>
      <c r="G232" s="264"/>
    </row>
    <row r="233" spans="1:7" s="52" customFormat="1" ht="38.25" customHeight="1">
      <c r="A233" s="70" t="s">
        <v>338</v>
      </c>
      <c r="B233" s="130" t="s">
        <v>864</v>
      </c>
      <c r="C233" s="75" t="s">
        <v>339</v>
      </c>
      <c r="D233" s="76">
        <f t="shared" si="53"/>
        <v>20</v>
      </c>
      <c r="E233" s="72">
        <f t="shared" si="53"/>
        <v>0</v>
      </c>
      <c r="F233" s="72">
        <f t="shared" si="53"/>
        <v>0</v>
      </c>
      <c r="G233" s="270"/>
    </row>
    <row r="234" spans="1:7" s="52" customFormat="1" ht="20.25" customHeight="1">
      <c r="A234" s="70" t="s">
        <v>1093</v>
      </c>
      <c r="B234" s="130" t="s">
        <v>864</v>
      </c>
      <c r="C234" s="75" t="s">
        <v>341</v>
      </c>
      <c r="D234" s="76">
        <v>20</v>
      </c>
      <c r="E234" s="76">
        <v>0</v>
      </c>
      <c r="F234" s="76">
        <v>0</v>
      </c>
      <c r="G234" s="151"/>
    </row>
    <row r="235" spans="1:7" s="52" customFormat="1" ht="54.75" customHeight="1">
      <c r="A235" s="261" t="s">
        <v>458</v>
      </c>
      <c r="B235" s="262" t="s">
        <v>206</v>
      </c>
      <c r="C235" s="262" t="s">
        <v>459</v>
      </c>
      <c r="D235" s="263">
        <f>D236+D237</f>
        <v>1471.52585</v>
      </c>
      <c r="E235" s="263">
        <f t="shared" ref="E235:F235" si="55">E236+E237</f>
        <v>0</v>
      </c>
      <c r="F235" s="263">
        <f t="shared" si="55"/>
        <v>0</v>
      </c>
      <c r="G235" s="264"/>
    </row>
    <row r="236" spans="1:7" s="52" customFormat="1" ht="53.25" customHeight="1">
      <c r="A236" s="74" t="s">
        <v>1094</v>
      </c>
      <c r="B236" s="98" t="s">
        <v>864</v>
      </c>
      <c r="C236" s="75" t="s">
        <v>462</v>
      </c>
      <c r="D236" s="76">
        <f>'2  '!D69</f>
        <v>1456.81059</v>
      </c>
      <c r="E236" s="76">
        <f>'2  '!E69</f>
        <v>0</v>
      </c>
      <c r="F236" s="76">
        <f>'2  '!F69</f>
        <v>0</v>
      </c>
      <c r="G236" s="151"/>
    </row>
    <row r="237" spans="1:7" s="52" customFormat="1" ht="51" customHeight="1">
      <c r="A237" s="74" t="s">
        <v>1095</v>
      </c>
      <c r="B237" s="98" t="s">
        <v>864</v>
      </c>
      <c r="C237" s="75" t="s">
        <v>464</v>
      </c>
      <c r="D237" s="76">
        <v>14.715260000000001</v>
      </c>
      <c r="E237" s="76">
        <f>E236/99</f>
        <v>0</v>
      </c>
      <c r="F237" s="76">
        <f>F236/99</f>
        <v>0</v>
      </c>
      <c r="G237" s="151"/>
    </row>
    <row r="238" spans="1:7" s="52" customFormat="1" ht="84.75" customHeight="1">
      <c r="A238" s="261" t="s">
        <v>764</v>
      </c>
      <c r="B238" s="262" t="s">
        <v>206</v>
      </c>
      <c r="C238" s="262" t="s">
        <v>765</v>
      </c>
      <c r="D238" s="263">
        <f>SUM(D239:D243)</f>
        <v>39971.467229999995</v>
      </c>
      <c r="E238" s="263">
        <f t="shared" ref="E238:F238" si="56">SUM(E239:E243)</f>
        <v>0</v>
      </c>
      <c r="F238" s="263">
        <f t="shared" si="56"/>
        <v>0</v>
      </c>
      <c r="G238" s="264"/>
    </row>
    <row r="239" spans="1:7" s="52" customFormat="1" ht="52.5" customHeight="1">
      <c r="A239" s="74" t="s">
        <v>159</v>
      </c>
      <c r="B239" s="98" t="s">
        <v>864</v>
      </c>
      <c r="C239" s="75" t="s">
        <v>771</v>
      </c>
      <c r="D239" s="76">
        <f>'2  '!D85</f>
        <v>22636.36923</v>
      </c>
      <c r="E239" s="76">
        <v>0</v>
      </c>
      <c r="F239" s="76">
        <v>0</v>
      </c>
      <c r="G239" s="151"/>
    </row>
    <row r="240" spans="1:7" s="52" customFormat="1" ht="33" hidden="1" customHeight="1">
      <c r="A240" s="74" t="s">
        <v>1096</v>
      </c>
      <c r="B240" s="98" t="s">
        <v>864</v>
      </c>
      <c r="C240" s="75" t="s">
        <v>773</v>
      </c>
      <c r="D240" s="76"/>
      <c r="E240" s="76"/>
      <c r="F240" s="76"/>
      <c r="G240" s="151"/>
    </row>
    <row r="241" spans="1:9" s="52" customFormat="1" ht="69" customHeight="1">
      <c r="A241" s="74" t="s">
        <v>766</v>
      </c>
      <c r="B241" s="98" t="s">
        <v>864</v>
      </c>
      <c r="C241" s="75" t="s">
        <v>767</v>
      </c>
      <c r="D241" s="76">
        <f>'2  '!D84-D330</f>
        <v>17335.097999999994</v>
      </c>
      <c r="E241" s="76">
        <v>0</v>
      </c>
      <c r="F241" s="76">
        <v>0</v>
      </c>
      <c r="G241" s="151"/>
    </row>
    <row r="242" spans="1:9" s="52" customFormat="1" ht="44.65" hidden="1" customHeight="1">
      <c r="A242" s="70" t="s">
        <v>1097</v>
      </c>
      <c r="B242" s="130" t="s">
        <v>864</v>
      </c>
      <c r="C242" s="75" t="s">
        <v>767</v>
      </c>
      <c r="D242" s="76"/>
      <c r="E242" s="76"/>
      <c r="F242" s="76"/>
      <c r="G242" s="151"/>
    </row>
    <row r="243" spans="1:9" s="52" customFormat="1" ht="44.65" hidden="1" customHeight="1">
      <c r="A243" s="70" t="s">
        <v>1098</v>
      </c>
      <c r="B243" s="130" t="s">
        <v>864</v>
      </c>
      <c r="C243" s="75" t="s">
        <v>769</v>
      </c>
      <c r="D243" s="76">
        <f>'2  '!D88</f>
        <v>0</v>
      </c>
      <c r="E243" s="76">
        <f>'2  '!E88</f>
        <v>0</v>
      </c>
      <c r="F243" s="76">
        <f>'2  '!F88</f>
        <v>0</v>
      </c>
      <c r="G243" s="151"/>
    </row>
    <row r="244" spans="1:9" s="52" customFormat="1" ht="33" hidden="1" customHeight="1">
      <c r="A244" s="261" t="s">
        <v>667</v>
      </c>
      <c r="B244" s="262" t="s">
        <v>206</v>
      </c>
      <c r="C244" s="309">
        <v>1600000000</v>
      </c>
      <c r="D244" s="263">
        <f>D245</f>
        <v>0</v>
      </c>
      <c r="E244" s="263">
        <f>E245</f>
        <v>0</v>
      </c>
      <c r="F244" s="263">
        <f>F245</f>
        <v>0</v>
      </c>
      <c r="G244" s="264"/>
    </row>
    <row r="245" spans="1:9" s="52" customFormat="1" ht="16.149999999999999" hidden="1" customHeight="1">
      <c r="A245" s="70" t="s">
        <v>1099</v>
      </c>
      <c r="B245" s="130" t="s">
        <v>864</v>
      </c>
      <c r="C245" s="75" t="s">
        <v>669</v>
      </c>
      <c r="D245" s="76"/>
      <c r="E245" s="76"/>
      <c r="F245" s="76"/>
      <c r="G245" s="151"/>
    </row>
    <row r="246" spans="1:9" s="52" customFormat="1" ht="44.65" hidden="1" customHeight="1">
      <c r="A246" s="70"/>
      <c r="B246" s="130"/>
      <c r="C246" s="75"/>
      <c r="D246" s="76"/>
      <c r="E246" s="72"/>
      <c r="F246" s="72"/>
      <c r="G246" s="270"/>
    </row>
    <row r="247" spans="1:9" s="52" customFormat="1" ht="48" customHeight="1">
      <c r="A247" s="261" t="s">
        <v>362</v>
      </c>
      <c r="B247" s="262" t="s">
        <v>206</v>
      </c>
      <c r="C247" s="309">
        <v>1700000000</v>
      </c>
      <c r="D247" s="263">
        <f>D248</f>
        <v>20</v>
      </c>
      <c r="E247" s="263">
        <f>E248</f>
        <v>0</v>
      </c>
      <c r="F247" s="263">
        <f>F248</f>
        <v>0</v>
      </c>
      <c r="G247" s="264"/>
    </row>
    <row r="248" spans="1:9" s="52" customFormat="1" ht="34.5" customHeight="1">
      <c r="A248" s="74" t="s">
        <v>1100</v>
      </c>
      <c r="B248" s="98" t="s">
        <v>864</v>
      </c>
      <c r="C248" s="75" t="s">
        <v>364</v>
      </c>
      <c r="D248" s="76">
        <v>20</v>
      </c>
      <c r="E248" s="76">
        <v>0</v>
      </c>
      <c r="F248" s="76">
        <v>0</v>
      </c>
      <c r="G248" s="151"/>
    </row>
    <row r="249" spans="1:9" s="52" customFormat="1" ht="34.5" customHeight="1">
      <c r="A249" s="261" t="s">
        <v>774</v>
      </c>
      <c r="B249" s="262" t="s">
        <v>864</v>
      </c>
      <c r="C249" s="307" t="s">
        <v>775</v>
      </c>
      <c r="D249" s="263">
        <f t="shared" ref="D249:F249" si="57">D251+D250</f>
        <v>2039.3089499999999</v>
      </c>
      <c r="E249" s="263">
        <f t="shared" si="57"/>
        <v>1652.9814337095372</v>
      </c>
      <c r="F249" s="263">
        <f t="shared" si="57"/>
        <v>2206.234999379883</v>
      </c>
      <c r="G249" s="264"/>
    </row>
    <row r="250" spans="1:9" s="52" customFormat="1" ht="50.25" customHeight="1">
      <c r="A250" s="103" t="s">
        <v>913</v>
      </c>
      <c r="B250" s="98" t="s">
        <v>864</v>
      </c>
      <c r="C250" s="75" t="s">
        <v>777</v>
      </c>
      <c r="D250" s="76">
        <f>'2  '!D51</f>
        <v>1018.1385399999999</v>
      </c>
      <c r="E250" s="76">
        <f>'2  '!E51</f>
        <v>1332.7989299999999</v>
      </c>
      <c r="F250" s="76">
        <f>'2  '!F51</f>
        <v>1778.8872799999997</v>
      </c>
      <c r="G250" s="310"/>
      <c r="H250" s="311"/>
      <c r="I250" s="311"/>
    </row>
    <row r="251" spans="1:9" s="52" customFormat="1" ht="68.25" customHeight="1">
      <c r="A251" s="312" t="s">
        <v>1101</v>
      </c>
      <c r="B251" s="98" t="s">
        <v>864</v>
      </c>
      <c r="C251" s="75" t="s">
        <v>777</v>
      </c>
      <c r="D251" s="36">
        <v>1021.1704099999999</v>
      </c>
      <c r="E251" s="36">
        <f>E250*19.37/80.63</f>
        <v>320.1825037095374</v>
      </c>
      <c r="F251" s="36">
        <f>F250*19.37/80.63</f>
        <v>427.34771937988342</v>
      </c>
      <c r="G251" s="151"/>
      <c r="H251" s="313"/>
      <c r="I251" s="311"/>
    </row>
    <row r="252" spans="1:9" s="52" customFormat="1" ht="83.25" customHeight="1">
      <c r="A252" s="261" t="s">
        <v>1102</v>
      </c>
      <c r="B252" s="262" t="s">
        <v>864</v>
      </c>
      <c r="C252" s="307" t="s">
        <v>391</v>
      </c>
      <c r="D252" s="263">
        <f t="shared" ref="D252:F252" si="58">D254+D253+D255</f>
        <v>10508.46831</v>
      </c>
      <c r="E252" s="263">
        <f t="shared" si="58"/>
        <v>3.3870800000000001</v>
      </c>
      <c r="F252" s="263">
        <f t="shared" si="58"/>
        <v>0</v>
      </c>
      <c r="G252" s="264"/>
    </row>
    <row r="253" spans="1:9" s="52" customFormat="1" ht="55.5" customHeight="1">
      <c r="A253" s="74" t="s">
        <v>1103</v>
      </c>
      <c r="B253" s="98" t="s">
        <v>864</v>
      </c>
      <c r="C253" s="98" t="s">
        <v>397</v>
      </c>
      <c r="D253" s="36">
        <f>'2  '!D64</f>
        <v>8404.0649799999992</v>
      </c>
      <c r="E253" s="36">
        <f>'2  '!E64</f>
        <v>0</v>
      </c>
      <c r="F253" s="36">
        <f>'2  '!F64</f>
        <v>0</v>
      </c>
      <c r="G253" s="21"/>
    </row>
    <row r="254" spans="1:9" s="52" customFormat="1" ht="69.75" customHeight="1">
      <c r="A254" s="74" t="s">
        <v>1104</v>
      </c>
      <c r="B254" s="98" t="s">
        <v>864</v>
      </c>
      <c r="C254" s="98" t="s">
        <v>399</v>
      </c>
      <c r="D254" s="36">
        <v>2101.0162500000001</v>
      </c>
      <c r="E254" s="36">
        <f t="shared" ref="E254:F254" si="59">E253*20/100</f>
        <v>0</v>
      </c>
      <c r="F254" s="36">
        <f t="shared" si="59"/>
        <v>0</v>
      </c>
      <c r="G254" s="21"/>
    </row>
    <row r="255" spans="1:9" s="52" customFormat="1" ht="85.5" customHeight="1">
      <c r="A255" s="74" t="s">
        <v>160</v>
      </c>
      <c r="B255" s="98" t="s">
        <v>864</v>
      </c>
      <c r="C255" s="98" t="s">
        <v>400</v>
      </c>
      <c r="D255" s="36">
        <f>'2  '!D86</f>
        <v>3.3870800000000001</v>
      </c>
      <c r="E255" s="36">
        <f>'2  '!E86</f>
        <v>3.3870800000000001</v>
      </c>
      <c r="F255" s="36">
        <v>0</v>
      </c>
      <c r="G255" s="21"/>
    </row>
    <row r="256" spans="1:9" s="211" customFormat="1" ht="34.5" customHeight="1">
      <c r="A256" s="261" t="s">
        <v>432</v>
      </c>
      <c r="B256" s="314" t="s">
        <v>864</v>
      </c>
      <c r="C256" s="315" t="s">
        <v>1105</v>
      </c>
      <c r="D256" s="316">
        <f>D259+D260+D257+D258+D261+D262</f>
        <v>1638.3173400000001</v>
      </c>
      <c r="E256" s="316">
        <f t="shared" ref="E256:F256" si="60">E259+E260+E257+E258+E261+E262</f>
        <v>0</v>
      </c>
      <c r="F256" s="316">
        <f t="shared" si="60"/>
        <v>0</v>
      </c>
      <c r="G256" s="317"/>
    </row>
    <row r="257" spans="1:8" s="211" customFormat="1" ht="95.25" hidden="1" customHeight="1">
      <c r="A257" s="74" t="s">
        <v>442</v>
      </c>
      <c r="B257" s="98" t="s">
        <v>864</v>
      </c>
      <c r="C257" s="75" t="s">
        <v>443</v>
      </c>
      <c r="D257" s="36">
        <f>'2  '!D59</f>
        <v>0</v>
      </c>
      <c r="E257" s="36">
        <f>'2  '!E50</f>
        <v>0</v>
      </c>
      <c r="F257" s="36">
        <f>'2  '!F50</f>
        <v>0</v>
      </c>
      <c r="G257" s="21"/>
    </row>
    <row r="258" spans="1:8" s="211" customFormat="1" ht="104.25" hidden="1" customHeight="1">
      <c r="A258" s="74" t="s">
        <v>878</v>
      </c>
      <c r="B258" s="98" t="s">
        <v>864</v>
      </c>
      <c r="C258" s="75" t="s">
        <v>443</v>
      </c>
      <c r="D258" s="36"/>
      <c r="E258" s="36"/>
      <c r="F258" s="36"/>
      <c r="G258" s="21"/>
    </row>
    <row r="259" spans="1:8" s="52" customFormat="1" ht="43.5" hidden="1" customHeight="1">
      <c r="A259" s="74" t="s">
        <v>1106</v>
      </c>
      <c r="B259" s="33">
        <v>951</v>
      </c>
      <c r="C259" s="98" t="s">
        <v>437</v>
      </c>
      <c r="D259" s="36">
        <f>'2  '!D63</f>
        <v>0</v>
      </c>
      <c r="E259" s="36">
        <f>'2  '!E118</f>
        <v>0</v>
      </c>
      <c r="F259" s="36">
        <f>'2  '!F118</f>
        <v>0</v>
      </c>
      <c r="G259" s="21"/>
    </row>
    <row r="260" spans="1:8" s="52" customFormat="1" ht="78.75" hidden="1" customHeight="1">
      <c r="A260" s="74" t="s">
        <v>1107</v>
      </c>
      <c r="B260" s="33">
        <v>951</v>
      </c>
      <c r="C260" s="98" t="s">
        <v>439</v>
      </c>
      <c r="D260" s="36"/>
      <c r="E260" s="36"/>
      <c r="F260" s="36"/>
      <c r="G260" s="21"/>
    </row>
    <row r="261" spans="1:8" s="52" customFormat="1" ht="35.25" customHeight="1">
      <c r="A261" s="74" t="s">
        <v>1108</v>
      </c>
      <c r="B261" s="33">
        <v>951</v>
      </c>
      <c r="C261" s="98" t="s">
        <v>446</v>
      </c>
      <c r="D261" s="36">
        <f>1923+15+145-612.06266</f>
        <v>1470.9373399999999</v>
      </c>
      <c r="E261" s="36">
        <v>0</v>
      </c>
      <c r="F261" s="36">
        <v>0</v>
      </c>
      <c r="G261" s="21"/>
      <c r="H261" s="184"/>
    </row>
    <row r="262" spans="1:8" s="52" customFormat="1" ht="36.75" customHeight="1">
      <c r="A262" s="74" t="s">
        <v>1109</v>
      </c>
      <c r="B262" s="33">
        <v>951</v>
      </c>
      <c r="C262" s="98" t="s">
        <v>448</v>
      </c>
      <c r="D262" s="36">
        <v>167.38</v>
      </c>
      <c r="E262" s="36">
        <v>0</v>
      </c>
      <c r="F262" s="36">
        <v>0</v>
      </c>
      <c r="G262" s="21"/>
      <c r="H262" s="184"/>
    </row>
    <row r="263" spans="1:8" s="52" customFormat="1" ht="63.75" customHeight="1">
      <c r="A263" s="318" t="s">
        <v>1110</v>
      </c>
      <c r="B263" s="319">
        <v>951</v>
      </c>
      <c r="C263" s="320" t="s">
        <v>384</v>
      </c>
      <c r="D263" s="321">
        <f>D264</f>
        <v>6004.1562500000009</v>
      </c>
      <c r="E263" s="321">
        <f t="shared" ref="E263:F263" si="61">E264</f>
        <v>0</v>
      </c>
      <c r="F263" s="321">
        <f t="shared" si="61"/>
        <v>0</v>
      </c>
      <c r="G263" s="322"/>
    </row>
    <row r="264" spans="1:8" s="52" customFormat="1" ht="33" customHeight="1">
      <c r="A264" s="74" t="s">
        <v>1111</v>
      </c>
      <c r="B264" s="98" t="s">
        <v>864</v>
      </c>
      <c r="C264" s="98" t="s">
        <v>385</v>
      </c>
      <c r="D264" s="36">
        <f>'2  '!D57</f>
        <v>6004.1562500000009</v>
      </c>
      <c r="E264" s="36">
        <f>'2  '!E57</f>
        <v>0</v>
      </c>
      <c r="F264" s="36">
        <v>0</v>
      </c>
      <c r="G264" s="21"/>
    </row>
    <row r="265" spans="1:8" s="218" customFormat="1" ht="18" customHeight="1">
      <c r="A265" s="234" t="s">
        <v>1112</v>
      </c>
      <c r="B265" s="323"/>
      <c r="C265" s="324"/>
      <c r="D265" s="237">
        <f>D153+D151+D129+D122+D119+D112+D12+D204+D209+D218+D224+D232+D235+D238+D244+D247+D249+D252+D256+D263</f>
        <v>949323.97336515144</v>
      </c>
      <c r="E265" s="237">
        <f>E153+E151+E129+E122+E119+E112+E12+E204+E209+E218+E224+E232+E235+E238+E244+E247+E249+E252+E256+E263</f>
        <v>780898.33144401282</v>
      </c>
      <c r="F265" s="237">
        <f>F153+F151+F129+F122+F119+F112+F12+F204+F209+F218+F224+F232+F235+F238+F244+F247+F249+F252+F256+F263</f>
        <v>832856.04759124864</v>
      </c>
      <c r="G265" s="325"/>
    </row>
    <row r="266" spans="1:8" ht="18" customHeight="1">
      <c r="A266" s="379" t="s">
        <v>240</v>
      </c>
      <c r="B266" s="380"/>
      <c r="C266" s="380"/>
      <c r="D266" s="380"/>
      <c r="E266" s="381"/>
      <c r="F266" s="381"/>
      <c r="G266" s="165"/>
    </row>
    <row r="267" spans="1:8" ht="30" hidden="1" customHeight="1">
      <c r="A267" s="70" t="s">
        <v>211</v>
      </c>
      <c r="B267" s="326"/>
      <c r="C267" s="327" t="s">
        <v>210</v>
      </c>
      <c r="D267" s="328"/>
      <c r="E267" s="329"/>
      <c r="F267" s="329"/>
      <c r="G267" s="330"/>
    </row>
    <row r="268" spans="1:8" hidden="1">
      <c r="A268" s="70" t="s">
        <v>1113</v>
      </c>
      <c r="B268" s="326"/>
      <c r="C268" s="327" t="s">
        <v>212</v>
      </c>
      <c r="D268" s="328"/>
      <c r="E268" s="329"/>
      <c r="F268" s="329"/>
      <c r="G268" s="330"/>
    </row>
    <row r="269" spans="1:8" ht="21.75" customHeight="1">
      <c r="A269" s="70" t="s">
        <v>213</v>
      </c>
      <c r="B269" s="130" t="s">
        <v>864</v>
      </c>
      <c r="C269" s="98" t="s">
        <v>214</v>
      </c>
      <c r="D269" s="36">
        <v>3270.7910000000002</v>
      </c>
      <c r="E269" s="36">
        <v>3433.2802999999999</v>
      </c>
      <c r="F269" s="36">
        <v>3603.8943800000002</v>
      </c>
      <c r="G269" s="21"/>
    </row>
    <row r="270" spans="1:8" ht="21.75" customHeight="1">
      <c r="A270" s="70" t="s">
        <v>1114</v>
      </c>
      <c r="B270" s="130" t="s">
        <v>922</v>
      </c>
      <c r="C270" s="98" t="s">
        <v>222</v>
      </c>
      <c r="D270" s="36">
        <f>3125.5+15</f>
        <v>3140.5</v>
      </c>
      <c r="E270" s="36">
        <v>3250.5</v>
      </c>
      <c r="F270" s="36">
        <f>3380</f>
        <v>3380</v>
      </c>
      <c r="G270" s="21"/>
    </row>
    <row r="271" spans="1:8" ht="34.5" customHeight="1">
      <c r="A271" s="70" t="s">
        <v>227</v>
      </c>
      <c r="B271" s="130"/>
      <c r="C271" s="98" t="s">
        <v>228</v>
      </c>
      <c r="D271" s="36">
        <f>70474.313+120+813.6+381</f>
        <v>71788.913</v>
      </c>
      <c r="E271" s="36">
        <f>72158.046+0.00264</f>
        <v>72158.048640000008</v>
      </c>
      <c r="F271" s="36">
        <f>68374.07913-316.068-248.29927</f>
        <v>67809.711859999996</v>
      </c>
      <c r="G271" s="21"/>
      <c r="H271" s="331"/>
    </row>
    <row r="272" spans="1:8" ht="37.5" customHeight="1">
      <c r="A272" s="332" t="s">
        <v>622</v>
      </c>
      <c r="B272" s="333"/>
      <c r="C272" s="333" t="s">
        <v>623</v>
      </c>
      <c r="D272" s="334">
        <f>33+50+2+80</f>
        <v>165</v>
      </c>
      <c r="E272" s="334">
        <f t="shared" ref="E272:F272" si="62">33+50</f>
        <v>83</v>
      </c>
      <c r="F272" s="334">
        <f t="shared" si="62"/>
        <v>83</v>
      </c>
      <c r="G272" s="335"/>
    </row>
    <row r="273" spans="1:8" ht="22.5" customHeight="1">
      <c r="A273" s="70" t="s">
        <v>1115</v>
      </c>
      <c r="B273" s="130" t="s">
        <v>952</v>
      </c>
      <c r="C273" s="98" t="s">
        <v>248</v>
      </c>
      <c r="D273" s="36">
        <v>2787.7</v>
      </c>
      <c r="E273" s="36">
        <v>2847.2080000000001</v>
      </c>
      <c r="F273" s="36">
        <v>2961.096</v>
      </c>
      <c r="G273" s="21"/>
      <c r="H273" s="73"/>
    </row>
    <row r="274" spans="1:8" ht="15" hidden="1" customHeight="1">
      <c r="A274" s="70" t="s">
        <v>1116</v>
      </c>
      <c r="B274" s="130"/>
      <c r="C274" s="98" t="s">
        <v>293</v>
      </c>
      <c r="D274" s="36"/>
      <c r="E274" s="156"/>
      <c r="F274" s="156"/>
      <c r="G274" s="336"/>
    </row>
    <row r="275" spans="1:8" ht="15" hidden="1" customHeight="1">
      <c r="A275" s="74" t="s">
        <v>295</v>
      </c>
      <c r="B275" s="98" t="s">
        <v>924</v>
      </c>
      <c r="C275" s="98" t="s">
        <v>1117</v>
      </c>
      <c r="D275" s="36"/>
      <c r="E275" s="36"/>
      <c r="F275" s="36"/>
      <c r="G275" s="21"/>
    </row>
    <row r="276" spans="1:8" ht="21.75" customHeight="1">
      <c r="A276" s="70" t="s">
        <v>1118</v>
      </c>
      <c r="B276" s="130" t="s">
        <v>864</v>
      </c>
      <c r="C276" s="98" t="s">
        <v>297</v>
      </c>
      <c r="D276" s="36">
        <f>100+400</f>
        <v>500</v>
      </c>
      <c r="E276" s="36">
        <v>50</v>
      </c>
      <c r="F276" s="36">
        <v>50</v>
      </c>
      <c r="G276" s="21"/>
    </row>
    <row r="277" spans="1:8" ht="35.25" customHeight="1">
      <c r="A277" s="70" t="s">
        <v>352</v>
      </c>
      <c r="B277" s="130" t="s">
        <v>864</v>
      </c>
      <c r="C277" s="98" t="s">
        <v>354</v>
      </c>
      <c r="D277" s="36">
        <v>200</v>
      </c>
      <c r="E277" s="36">
        <v>50</v>
      </c>
      <c r="F277" s="36">
        <v>50</v>
      </c>
      <c r="G277" s="21"/>
      <c r="H277" s="73"/>
    </row>
    <row r="278" spans="1:8" ht="33.75" customHeight="1">
      <c r="A278" s="70" t="s">
        <v>870</v>
      </c>
      <c r="B278" s="130" t="s">
        <v>864</v>
      </c>
      <c r="C278" s="98" t="s">
        <v>368</v>
      </c>
      <c r="D278" s="36">
        <v>8314.35</v>
      </c>
      <c r="E278" s="36">
        <v>0</v>
      </c>
      <c r="F278" s="36">
        <v>0</v>
      </c>
      <c r="G278" s="21"/>
    </row>
    <row r="279" spans="1:8" ht="28.15" hidden="1" customHeight="1">
      <c r="A279" s="70"/>
      <c r="B279" s="130"/>
      <c r="C279" s="98"/>
      <c r="D279" s="36"/>
      <c r="E279" s="36"/>
      <c r="F279" s="36"/>
      <c r="G279" s="21"/>
    </row>
    <row r="280" spans="1:8" ht="36" hidden="1" customHeight="1">
      <c r="A280" s="74" t="s">
        <v>393</v>
      </c>
      <c r="B280" s="33">
        <v>951</v>
      </c>
      <c r="C280" s="98" t="s">
        <v>403</v>
      </c>
      <c r="D280" s="36"/>
      <c r="E280" s="36"/>
      <c r="F280" s="36"/>
      <c r="G280" s="21"/>
    </row>
    <row r="281" spans="1:8" ht="17.25" hidden="1" customHeight="1">
      <c r="A281" s="70" t="s">
        <v>407</v>
      </c>
      <c r="B281" s="308"/>
      <c r="C281" s="98" t="s">
        <v>1119</v>
      </c>
      <c r="D281" s="36"/>
      <c r="E281" s="156"/>
      <c r="F281" s="156"/>
      <c r="G281" s="336"/>
    </row>
    <row r="282" spans="1:8" ht="16.149999999999999" hidden="1" customHeight="1">
      <c r="A282" s="70" t="s">
        <v>453</v>
      </c>
      <c r="B282" s="130" t="s">
        <v>864</v>
      </c>
      <c r="C282" s="98" t="s">
        <v>452</v>
      </c>
      <c r="D282" s="36"/>
      <c r="E282" s="156"/>
      <c r="F282" s="156"/>
      <c r="G282" s="336"/>
    </row>
    <row r="283" spans="1:8" ht="18.75" customHeight="1">
      <c r="A283" s="70" t="s">
        <v>471</v>
      </c>
      <c r="B283" s="130" t="s">
        <v>864</v>
      </c>
      <c r="C283" s="98" t="s">
        <v>472</v>
      </c>
      <c r="D283" s="36">
        <f>90</f>
        <v>90</v>
      </c>
      <c r="E283" s="156">
        <v>50</v>
      </c>
      <c r="F283" s="156">
        <v>50</v>
      </c>
      <c r="G283" s="336"/>
    </row>
    <row r="284" spans="1:8" ht="66" hidden="1" customHeight="1">
      <c r="A284" s="70" t="s">
        <v>477</v>
      </c>
      <c r="B284" s="130" t="s">
        <v>864</v>
      </c>
      <c r="C284" s="98" t="s">
        <v>478</v>
      </c>
      <c r="D284" s="36"/>
      <c r="E284" s="156"/>
      <c r="F284" s="156"/>
      <c r="G284" s="336"/>
    </row>
    <row r="285" spans="1:8" ht="62.25" hidden="1" customHeight="1">
      <c r="A285" s="70" t="s">
        <v>1120</v>
      </c>
      <c r="B285" s="130" t="s">
        <v>864</v>
      </c>
      <c r="C285" s="98" t="s">
        <v>480</v>
      </c>
      <c r="D285" s="36"/>
      <c r="E285" s="156"/>
      <c r="F285" s="156"/>
      <c r="G285" s="336"/>
    </row>
    <row r="286" spans="1:8" ht="62.25" customHeight="1">
      <c r="A286" s="70" t="s">
        <v>473</v>
      </c>
      <c r="B286" s="130" t="s">
        <v>864</v>
      </c>
      <c r="C286" s="98" t="s">
        <v>474</v>
      </c>
      <c r="D286" s="36">
        <f>612.06266+285.11534</f>
        <v>897.17800000000011</v>
      </c>
      <c r="E286" s="156">
        <v>0</v>
      </c>
      <c r="F286" s="156">
        <v>0</v>
      </c>
      <c r="G286" s="336"/>
    </row>
    <row r="287" spans="1:8" ht="18.75" customHeight="1">
      <c r="A287" s="70" t="s">
        <v>456</v>
      </c>
      <c r="B287" s="130" t="s">
        <v>864</v>
      </c>
      <c r="C287" s="98" t="s">
        <v>457</v>
      </c>
      <c r="D287" s="36">
        <v>350</v>
      </c>
      <c r="E287" s="36">
        <v>50</v>
      </c>
      <c r="F287" s="36">
        <v>50</v>
      </c>
      <c r="G287" s="21"/>
    </row>
    <row r="288" spans="1:8" ht="21.75" customHeight="1">
      <c r="A288" s="70" t="s">
        <v>1121</v>
      </c>
      <c r="B288" s="130" t="s">
        <v>864</v>
      </c>
      <c r="C288" s="98" t="s">
        <v>746</v>
      </c>
      <c r="D288" s="36">
        <f>1200+972</f>
        <v>2172</v>
      </c>
      <c r="E288" s="36">
        <f>1200+897.79735</f>
        <v>2097.7973499999998</v>
      </c>
      <c r="F288" s="36">
        <f>1200+220.81121</f>
        <v>1420.8112100000001</v>
      </c>
      <c r="G288" s="21"/>
    </row>
    <row r="289" spans="1:7" ht="15.75" hidden="1" customHeight="1">
      <c r="A289" s="70" t="s">
        <v>828</v>
      </c>
      <c r="B289" s="130" t="s">
        <v>864</v>
      </c>
      <c r="C289" s="98" t="s">
        <v>1122</v>
      </c>
      <c r="D289" s="36"/>
      <c r="E289" s="156"/>
      <c r="F289" s="156"/>
      <c r="G289" s="336"/>
    </row>
    <row r="290" spans="1:7" ht="19.5" customHeight="1">
      <c r="A290" s="74" t="s">
        <v>454</v>
      </c>
      <c r="B290" s="98" t="s">
        <v>864</v>
      </c>
      <c r="C290" s="98" t="s">
        <v>455</v>
      </c>
      <c r="D290" s="36">
        <v>1285</v>
      </c>
      <c r="E290" s="36">
        <v>85</v>
      </c>
      <c r="F290" s="36">
        <v>85</v>
      </c>
      <c r="G290" s="21"/>
    </row>
    <row r="291" spans="1:7" ht="30" hidden="1" customHeight="1">
      <c r="A291" s="74" t="s">
        <v>841</v>
      </c>
      <c r="B291" s="98" t="s">
        <v>864</v>
      </c>
      <c r="C291" s="98" t="s">
        <v>1123</v>
      </c>
      <c r="D291" s="36"/>
      <c r="E291" s="36"/>
      <c r="F291" s="36"/>
      <c r="G291" s="21"/>
    </row>
    <row r="292" spans="1:7" ht="17.25" hidden="1" customHeight="1">
      <c r="A292" s="74" t="s">
        <v>844</v>
      </c>
      <c r="B292" s="98" t="s">
        <v>864</v>
      </c>
      <c r="C292" s="98" t="s">
        <v>1124</v>
      </c>
      <c r="D292" s="36"/>
      <c r="E292" s="36"/>
      <c r="F292" s="36"/>
      <c r="G292" s="21"/>
    </row>
    <row r="293" spans="1:7" ht="79.5" hidden="1" customHeight="1">
      <c r="A293" s="74" t="s">
        <v>846</v>
      </c>
      <c r="B293" s="98" t="s">
        <v>864</v>
      </c>
      <c r="C293" s="98" t="s">
        <v>926</v>
      </c>
      <c r="D293" s="36"/>
      <c r="E293" s="36"/>
      <c r="F293" s="36"/>
      <c r="G293" s="21"/>
    </row>
    <row r="294" spans="1:7" ht="36" customHeight="1">
      <c r="A294" s="74" t="s">
        <v>259</v>
      </c>
      <c r="B294" s="98" t="s">
        <v>864</v>
      </c>
      <c r="C294" s="98" t="s">
        <v>260</v>
      </c>
      <c r="D294" s="36">
        <v>3721.68</v>
      </c>
      <c r="E294" s="36">
        <v>0</v>
      </c>
      <c r="F294" s="36">
        <v>0</v>
      </c>
      <c r="G294" s="21"/>
    </row>
    <row r="295" spans="1:7" ht="17.25" customHeight="1">
      <c r="A295" s="74" t="s">
        <v>298</v>
      </c>
      <c r="B295" s="98" t="s">
        <v>864</v>
      </c>
      <c r="C295" s="98" t="s">
        <v>299</v>
      </c>
      <c r="D295" s="36">
        <f>2260-167.38+55.42</f>
        <v>2148.04</v>
      </c>
      <c r="E295" s="36">
        <v>60</v>
      </c>
      <c r="F295" s="36">
        <v>60</v>
      </c>
      <c r="G295" s="21"/>
    </row>
    <row r="296" spans="1:7" ht="23.25" hidden="1" customHeight="1">
      <c r="A296" s="74" t="s">
        <v>838</v>
      </c>
      <c r="B296" s="98" t="s">
        <v>864</v>
      </c>
      <c r="C296" s="98" t="s">
        <v>849</v>
      </c>
      <c r="D296" s="36"/>
      <c r="E296" s="36"/>
      <c r="F296" s="36"/>
      <c r="G296" s="21"/>
    </row>
    <row r="297" spans="1:7" ht="23.25" hidden="1" customHeight="1">
      <c r="A297" s="74" t="s">
        <v>910</v>
      </c>
      <c r="B297" s="98" t="s">
        <v>864</v>
      </c>
      <c r="C297" s="98" t="s">
        <v>302</v>
      </c>
      <c r="D297" s="36"/>
      <c r="E297" s="36"/>
      <c r="F297" s="36"/>
      <c r="G297" s="21"/>
    </row>
    <row r="298" spans="1:7" ht="1.5" hidden="1" customHeight="1">
      <c r="A298" s="74" t="s">
        <v>513</v>
      </c>
      <c r="B298" s="98" t="s">
        <v>864</v>
      </c>
      <c r="C298" s="98" t="s">
        <v>507</v>
      </c>
      <c r="D298" s="36"/>
      <c r="E298" s="36"/>
      <c r="F298" s="36"/>
      <c r="G298" s="21"/>
    </row>
    <row r="299" spans="1:7" ht="21" customHeight="1">
      <c r="A299" s="74" t="s">
        <v>263</v>
      </c>
      <c r="B299" s="98" t="s">
        <v>864</v>
      </c>
      <c r="C299" s="98" t="s">
        <v>264</v>
      </c>
      <c r="D299" s="36">
        <f>3000+7000-61.516-140-70-4.5-3-22-140-70-10.92+2000-16.8-70</f>
        <v>11391.264000000001</v>
      </c>
      <c r="E299" s="36">
        <v>3000</v>
      </c>
      <c r="F299" s="36">
        <v>3000</v>
      </c>
      <c r="G299" s="21"/>
    </row>
    <row r="300" spans="1:7" ht="38.25" hidden="1" customHeight="1">
      <c r="A300" s="74" t="s">
        <v>307</v>
      </c>
      <c r="B300" s="98" t="s">
        <v>864</v>
      </c>
      <c r="C300" s="98" t="s">
        <v>308</v>
      </c>
      <c r="D300" s="36"/>
      <c r="E300" s="36"/>
      <c r="F300" s="36"/>
      <c r="G300" s="21"/>
    </row>
    <row r="301" spans="1:7" ht="69" hidden="1" customHeight="1">
      <c r="A301" s="74" t="s">
        <v>372</v>
      </c>
      <c r="B301" s="98" t="s">
        <v>864</v>
      </c>
      <c r="C301" s="98" t="s">
        <v>1125</v>
      </c>
      <c r="D301" s="36"/>
      <c r="E301" s="36"/>
      <c r="F301" s="36"/>
      <c r="G301" s="21"/>
    </row>
    <row r="302" spans="1:7" ht="54.75" customHeight="1">
      <c r="A302" s="74" t="s">
        <v>757</v>
      </c>
      <c r="B302" s="98" t="s">
        <v>864</v>
      </c>
      <c r="C302" s="98" t="s">
        <v>758</v>
      </c>
      <c r="D302" s="36">
        <f>70+140+140+70+70</f>
        <v>490</v>
      </c>
      <c r="E302" s="36">
        <v>0</v>
      </c>
      <c r="F302" s="36">
        <v>0</v>
      </c>
      <c r="G302" s="21"/>
    </row>
    <row r="303" spans="1:7" ht="50.25" hidden="1" customHeight="1">
      <c r="A303" s="74" t="s">
        <v>381</v>
      </c>
      <c r="B303" s="98" t="s">
        <v>864</v>
      </c>
      <c r="C303" s="98" t="s">
        <v>382</v>
      </c>
      <c r="D303" s="36"/>
      <c r="E303" s="36"/>
      <c r="F303" s="36"/>
      <c r="G303" s="21"/>
    </row>
    <row r="304" spans="1:7" ht="53.25" customHeight="1">
      <c r="A304" s="74" t="s">
        <v>300</v>
      </c>
      <c r="B304" s="98" t="s">
        <v>864</v>
      </c>
      <c r="C304" s="98" t="s">
        <v>301</v>
      </c>
      <c r="D304" s="36">
        <f>61.516+4.5+3+22+16.8</f>
        <v>107.81599999999999</v>
      </c>
      <c r="E304" s="36">
        <v>0</v>
      </c>
      <c r="F304" s="36">
        <v>0</v>
      </c>
      <c r="G304" s="21"/>
    </row>
    <row r="305" spans="1:7" ht="53.25" customHeight="1">
      <c r="A305" s="74" t="s">
        <v>376</v>
      </c>
      <c r="B305" s="98" t="s">
        <v>864</v>
      </c>
      <c r="C305" s="98" t="s">
        <v>375</v>
      </c>
      <c r="D305" s="36">
        <v>10.92</v>
      </c>
      <c r="E305" s="36">
        <v>0</v>
      </c>
      <c r="F305" s="36">
        <v>0</v>
      </c>
      <c r="G305" s="21"/>
    </row>
    <row r="306" spans="1:7" ht="20.25" customHeight="1">
      <c r="A306" s="74" t="s">
        <v>423</v>
      </c>
      <c r="B306" s="98" t="s">
        <v>864</v>
      </c>
      <c r="C306" s="98" t="s">
        <v>424</v>
      </c>
      <c r="D306" s="36">
        <v>144.62</v>
      </c>
      <c r="E306" s="36">
        <v>80.319999999999993</v>
      </c>
      <c r="F306" s="36">
        <v>80.319999999999993</v>
      </c>
      <c r="G306" s="21"/>
    </row>
    <row r="307" spans="1:7" ht="69.75" customHeight="1">
      <c r="A307" s="74" t="s">
        <v>465</v>
      </c>
      <c r="B307" s="98" t="s">
        <v>864</v>
      </c>
      <c r="C307" s="98" t="s">
        <v>466</v>
      </c>
      <c r="D307" s="36">
        <v>120</v>
      </c>
      <c r="E307" s="36">
        <v>20</v>
      </c>
      <c r="F307" s="36">
        <v>20</v>
      </c>
      <c r="G307" s="21"/>
    </row>
    <row r="308" spans="1:7" s="337" customFormat="1" ht="16.899999999999999" hidden="1" customHeight="1">
      <c r="A308" s="74" t="s">
        <v>670</v>
      </c>
      <c r="B308" s="98" t="s">
        <v>928</v>
      </c>
      <c r="C308" s="98" t="s">
        <v>671</v>
      </c>
      <c r="D308" s="36"/>
      <c r="E308" s="36"/>
      <c r="F308" s="36"/>
      <c r="G308" s="21"/>
    </row>
    <row r="309" spans="1:7" ht="16.899999999999999" hidden="1" customHeight="1">
      <c r="A309" s="74" t="s">
        <v>309</v>
      </c>
      <c r="B309" s="98" t="s">
        <v>864</v>
      </c>
      <c r="C309" s="98" t="s">
        <v>310</v>
      </c>
      <c r="D309" s="36"/>
      <c r="E309" s="36"/>
      <c r="F309" s="36"/>
      <c r="G309" s="21"/>
    </row>
    <row r="310" spans="1:7" ht="33.75" customHeight="1">
      <c r="A310" s="74" t="s">
        <v>311</v>
      </c>
      <c r="B310" s="98" t="s">
        <v>864</v>
      </c>
      <c r="C310" s="98" t="s">
        <v>312</v>
      </c>
      <c r="D310" s="36">
        <f>580</f>
        <v>580</v>
      </c>
      <c r="E310" s="36">
        <v>80</v>
      </c>
      <c r="F310" s="36">
        <v>80</v>
      </c>
      <c r="G310" s="21"/>
    </row>
    <row r="311" spans="1:7" ht="35.25" customHeight="1">
      <c r="A311" s="74" t="s">
        <v>475</v>
      </c>
      <c r="B311" s="98" t="s">
        <v>864</v>
      </c>
      <c r="C311" s="98" t="s">
        <v>476</v>
      </c>
      <c r="D311" s="36">
        <v>4610</v>
      </c>
      <c r="E311" s="36">
        <v>0</v>
      </c>
      <c r="F311" s="36">
        <v>0</v>
      </c>
      <c r="G311" s="21"/>
    </row>
    <row r="312" spans="1:7" ht="30.6" hidden="1" customHeight="1">
      <c r="A312" s="74" t="s">
        <v>313</v>
      </c>
      <c r="B312" s="98" t="s">
        <v>864</v>
      </c>
      <c r="C312" s="98" t="s">
        <v>314</v>
      </c>
      <c r="D312" s="36"/>
      <c r="E312" s="36"/>
      <c r="F312" s="36"/>
      <c r="G312" s="21"/>
    </row>
    <row r="313" spans="1:7" s="338" customFormat="1" ht="21" hidden="1" customHeight="1">
      <c r="A313" s="74" t="s">
        <v>488</v>
      </c>
      <c r="B313" s="98" t="s">
        <v>864</v>
      </c>
      <c r="C313" s="98" t="s">
        <v>489</v>
      </c>
      <c r="D313" s="36">
        <f>'2  '!D30</f>
        <v>830</v>
      </c>
      <c r="E313" s="36">
        <f>'2  '!E30</f>
        <v>830</v>
      </c>
      <c r="F313" s="36">
        <f>'2  '!F30</f>
        <v>830</v>
      </c>
      <c r="G313" s="21"/>
    </row>
    <row r="314" spans="1:7" s="338" customFormat="1" ht="34.5" customHeight="1">
      <c r="A314" s="74" t="s">
        <v>313</v>
      </c>
      <c r="B314" s="98" t="s">
        <v>864</v>
      </c>
      <c r="C314" s="98" t="s">
        <v>314</v>
      </c>
      <c r="D314" s="36">
        <v>400</v>
      </c>
      <c r="E314" s="36">
        <v>0</v>
      </c>
      <c r="F314" s="36">
        <v>0</v>
      </c>
      <c r="G314" s="21"/>
    </row>
    <row r="315" spans="1:7" ht="74.25" customHeight="1">
      <c r="A315" s="74" t="s">
        <v>1126</v>
      </c>
      <c r="B315" s="98" t="s">
        <v>864</v>
      </c>
      <c r="C315" s="33">
        <v>9999959300</v>
      </c>
      <c r="D315" s="36">
        <f>'2  '!D91</f>
        <v>2693.587</v>
      </c>
      <c r="E315" s="36">
        <f>'2  '!E91</f>
        <v>2693.587</v>
      </c>
      <c r="F315" s="36">
        <f>'2  '!F91</f>
        <v>2693.587</v>
      </c>
      <c r="G315" s="21"/>
    </row>
    <row r="316" spans="1:7" ht="33" hidden="1" customHeight="1">
      <c r="A316" s="74" t="s">
        <v>289</v>
      </c>
      <c r="B316" s="98" t="s">
        <v>864</v>
      </c>
      <c r="C316" s="33" t="s">
        <v>290</v>
      </c>
      <c r="D316" s="36"/>
      <c r="E316" s="36"/>
      <c r="F316" s="36"/>
      <c r="G316" s="21"/>
    </row>
    <row r="317" spans="1:7" ht="51" customHeight="1">
      <c r="A317" s="74" t="s">
        <v>1127</v>
      </c>
      <c r="B317" s="98" t="s">
        <v>864</v>
      </c>
      <c r="C317" s="33">
        <v>9999993180</v>
      </c>
      <c r="D317" s="36">
        <f>'2  '!D96</f>
        <v>461.44499999999999</v>
      </c>
      <c r="E317" s="36">
        <f>'2  '!E96</f>
        <v>481.61</v>
      </c>
      <c r="F317" s="36">
        <f>'2  '!F96</f>
        <v>500.87399999999997</v>
      </c>
      <c r="G317" s="21"/>
    </row>
    <row r="318" spans="1:7" ht="20.25" customHeight="1">
      <c r="A318" s="100" t="s">
        <v>1128</v>
      </c>
      <c r="B318" s="98" t="s">
        <v>864</v>
      </c>
      <c r="C318" s="133" t="s">
        <v>271</v>
      </c>
      <c r="D318" s="37">
        <f>'2  '!D92</f>
        <v>2899.625</v>
      </c>
      <c r="E318" s="37">
        <f>'2  '!E92</f>
        <v>3025.78</v>
      </c>
      <c r="F318" s="37">
        <f>'2  '!F92</f>
        <v>3146.8129999999996</v>
      </c>
      <c r="G318" s="49"/>
    </row>
    <row r="319" spans="1:7" ht="31.5" customHeight="1">
      <c r="A319" s="74" t="s">
        <v>1129</v>
      </c>
      <c r="B319" s="98" t="s">
        <v>864</v>
      </c>
      <c r="C319" s="98" t="s">
        <v>271</v>
      </c>
      <c r="D319" s="36">
        <f>'2  '!D94</f>
        <v>1702.3340000000001</v>
      </c>
      <c r="E319" s="36">
        <f>'2  '!E94</f>
        <v>1769.2260000000001</v>
      </c>
      <c r="F319" s="36">
        <f>'2  '!F94</f>
        <v>1830.0200000000002</v>
      </c>
      <c r="G319" s="21"/>
    </row>
    <row r="320" spans="1:7" ht="24" customHeight="1">
      <c r="A320" s="74" t="s">
        <v>1130</v>
      </c>
      <c r="B320" s="98" t="s">
        <v>864</v>
      </c>
      <c r="C320" s="98" t="s">
        <v>271</v>
      </c>
      <c r="D320" s="36">
        <f>'2  '!D93</f>
        <v>1197.2910000000002</v>
      </c>
      <c r="E320" s="36">
        <f>'2  '!E93</f>
        <v>1256.5540000000001</v>
      </c>
      <c r="F320" s="36">
        <f>'2  '!F93</f>
        <v>1316.7930000000001</v>
      </c>
      <c r="G320" s="21"/>
    </row>
    <row r="321" spans="1:7" ht="44.25" customHeight="1">
      <c r="A321" s="74" t="s">
        <v>1131</v>
      </c>
      <c r="B321" s="98" t="s">
        <v>864</v>
      </c>
      <c r="C321" s="98" t="s">
        <v>380</v>
      </c>
      <c r="D321" s="36">
        <f>'2  '!D83</f>
        <v>1485.3911900000001</v>
      </c>
      <c r="E321" s="36">
        <f>'2  '!E83</f>
        <v>1485.3911900000001</v>
      </c>
      <c r="F321" s="36">
        <f>'2  '!F83</f>
        <v>1485.3911900000001</v>
      </c>
      <c r="G321" s="21"/>
    </row>
    <row r="322" spans="1:7" ht="24" customHeight="1">
      <c r="A322" s="74" t="s">
        <v>1132</v>
      </c>
      <c r="B322" s="98" t="s">
        <v>864</v>
      </c>
      <c r="C322" s="98" t="s">
        <v>269</v>
      </c>
      <c r="D322" s="36">
        <f>'2  '!D78</f>
        <v>1112.9279999999999</v>
      </c>
      <c r="E322" s="36">
        <f>'2  '!E78</f>
        <v>1158.722</v>
      </c>
      <c r="F322" s="36">
        <f>'2  '!F78</f>
        <v>1202.471</v>
      </c>
      <c r="G322" s="21"/>
    </row>
    <row r="323" spans="1:7" ht="35.25" customHeight="1">
      <c r="A323" s="74" t="s">
        <v>1133</v>
      </c>
      <c r="B323" s="98" t="s">
        <v>864</v>
      </c>
      <c r="C323" s="98" t="s">
        <v>673</v>
      </c>
      <c r="D323" s="36">
        <f>'2  '!D79</f>
        <v>2610.29</v>
      </c>
      <c r="E323" s="36">
        <f>'2  '!E79</f>
        <v>2717.473</v>
      </c>
      <c r="F323" s="36">
        <f>'2  '!F79</f>
        <v>2819.8679999999999</v>
      </c>
      <c r="G323" s="21"/>
    </row>
    <row r="324" spans="1:7" ht="48" customHeight="1">
      <c r="A324" s="74" t="s">
        <v>159</v>
      </c>
      <c r="B324" s="98" t="s">
        <v>864</v>
      </c>
      <c r="C324" s="98" t="s">
        <v>781</v>
      </c>
      <c r="D324" s="36">
        <v>0</v>
      </c>
      <c r="E324" s="36">
        <f>'2  '!E85</f>
        <v>25656.022649999999</v>
      </c>
      <c r="F324" s="36">
        <f>'2  '!F85</f>
        <v>28460.76485</v>
      </c>
      <c r="G324" s="21"/>
    </row>
    <row r="325" spans="1:7" ht="45.75" customHeight="1">
      <c r="A325" s="74" t="s">
        <v>304</v>
      </c>
      <c r="B325" s="98" t="s">
        <v>864</v>
      </c>
      <c r="C325" s="75" t="s">
        <v>305</v>
      </c>
      <c r="D325" s="36">
        <v>0</v>
      </c>
      <c r="E325" s="36">
        <f>'2  '!E84</f>
        <v>20890.3344</v>
      </c>
      <c r="F325" s="36">
        <f>'2  '!F84</f>
        <v>20890.3344</v>
      </c>
      <c r="G325" s="21"/>
    </row>
    <row r="326" spans="1:7" ht="45.75" customHeight="1">
      <c r="A326" s="74" t="s">
        <v>1134</v>
      </c>
      <c r="B326" s="98" t="s">
        <v>864</v>
      </c>
      <c r="C326" s="98" t="s">
        <v>484</v>
      </c>
      <c r="D326" s="36">
        <f>'2  '!D82</f>
        <v>2.4188999999999998</v>
      </c>
      <c r="E326" s="36">
        <f>'2  '!E82</f>
        <v>2.5156499999999999</v>
      </c>
      <c r="F326" s="36">
        <f>'2  '!F82</f>
        <v>2.6162699999999997</v>
      </c>
      <c r="G326" s="21"/>
    </row>
    <row r="327" spans="1:7" ht="36.75" customHeight="1">
      <c r="A327" s="74" t="s">
        <v>235</v>
      </c>
      <c r="B327" s="98" t="s">
        <v>864</v>
      </c>
      <c r="C327" s="98" t="s">
        <v>237</v>
      </c>
      <c r="D327" s="36">
        <f>'2  '!D89</f>
        <v>13.552</v>
      </c>
      <c r="E327" s="36">
        <f>'2  '!E89</f>
        <v>109.01200000000001</v>
      </c>
      <c r="F327" s="36">
        <f>'2  '!F89</f>
        <v>17.384</v>
      </c>
      <c r="G327" s="21"/>
    </row>
    <row r="328" spans="1:7" ht="32.450000000000003" hidden="1" customHeight="1">
      <c r="A328" s="74" t="s">
        <v>1111</v>
      </c>
      <c r="B328" s="98" t="s">
        <v>864</v>
      </c>
      <c r="C328" s="98" t="s">
        <v>387</v>
      </c>
      <c r="D328" s="36">
        <f>'2  '!D118</f>
        <v>0</v>
      </c>
      <c r="E328" s="36">
        <f>'2  '!E118</f>
        <v>0</v>
      </c>
      <c r="F328" s="36">
        <f>'2  '!F57</f>
        <v>0</v>
      </c>
      <c r="G328" s="21"/>
    </row>
    <row r="329" spans="1:7" ht="63" customHeight="1">
      <c r="A329" s="74" t="s">
        <v>1135</v>
      </c>
      <c r="B329" s="98" t="s">
        <v>864</v>
      </c>
      <c r="C329" s="98" t="s">
        <v>402</v>
      </c>
      <c r="D329" s="36">
        <v>0</v>
      </c>
      <c r="E329" s="36">
        <v>0</v>
      </c>
      <c r="F329" s="36">
        <f>'2  '!F86</f>
        <v>3.3870800000000001</v>
      </c>
      <c r="G329" s="21"/>
    </row>
    <row r="330" spans="1:7" ht="50.25" customHeight="1">
      <c r="A330" s="74" t="s">
        <v>1136</v>
      </c>
      <c r="B330" s="98" t="s">
        <v>864</v>
      </c>
      <c r="C330" s="98" t="s">
        <v>305</v>
      </c>
      <c r="D330" s="36">
        <v>1101.204</v>
      </c>
      <c r="E330" s="36">
        <v>0</v>
      </c>
      <c r="F330" s="36">
        <v>0</v>
      </c>
      <c r="G330" s="21"/>
    </row>
    <row r="331" spans="1:7" ht="46.5" hidden="1" customHeight="1">
      <c r="A331" s="70" t="s">
        <v>1137</v>
      </c>
      <c r="B331" s="130" t="s">
        <v>864</v>
      </c>
      <c r="C331" s="98" t="s">
        <v>306</v>
      </c>
      <c r="D331" s="36"/>
      <c r="E331" s="36"/>
      <c r="F331" s="36"/>
      <c r="G331" s="21"/>
    </row>
    <row r="332" spans="1:7" ht="87.6" hidden="1" customHeight="1">
      <c r="A332" s="70" t="s">
        <v>1138</v>
      </c>
      <c r="B332" s="130" t="s">
        <v>864</v>
      </c>
      <c r="C332" s="98" t="s">
        <v>755</v>
      </c>
      <c r="D332" s="36"/>
      <c r="E332" s="156"/>
      <c r="F332" s="156"/>
      <c r="G332" s="336"/>
    </row>
    <row r="333" spans="1:7" ht="43.5" hidden="1" customHeight="1">
      <c r="A333" s="70" t="s">
        <v>277</v>
      </c>
      <c r="B333" s="308"/>
      <c r="C333" s="98" t="s">
        <v>278</v>
      </c>
      <c r="D333" s="36"/>
      <c r="E333" s="156"/>
      <c r="F333" s="156"/>
      <c r="G333" s="336"/>
    </row>
    <row r="334" spans="1:7" ht="43.5" hidden="1" customHeight="1">
      <c r="A334" s="70" t="s">
        <v>360</v>
      </c>
      <c r="B334" s="308"/>
      <c r="C334" s="98" t="s">
        <v>361</v>
      </c>
      <c r="D334" s="36"/>
      <c r="E334" s="156"/>
      <c r="F334" s="156"/>
      <c r="G334" s="336"/>
    </row>
    <row r="335" spans="1:7" ht="43.5" hidden="1" customHeight="1">
      <c r="A335" s="70" t="s">
        <v>1139</v>
      </c>
      <c r="B335" s="308"/>
      <c r="C335" s="98"/>
      <c r="D335" s="36"/>
      <c r="E335" s="156"/>
      <c r="F335" s="156"/>
      <c r="G335" s="336"/>
    </row>
    <row r="336" spans="1:7" ht="24" hidden="1" customHeight="1">
      <c r="A336" s="70"/>
      <c r="B336" s="308"/>
      <c r="C336" s="98"/>
      <c r="D336" s="36"/>
      <c r="E336" s="156"/>
      <c r="F336" s="156"/>
      <c r="G336" s="336"/>
    </row>
    <row r="337" spans="1:8" ht="15.75" hidden="1" customHeight="1">
      <c r="A337" s="70" t="s">
        <v>830</v>
      </c>
      <c r="B337" s="308">
        <v>951</v>
      </c>
      <c r="C337" s="75" t="s">
        <v>832</v>
      </c>
      <c r="D337" s="36"/>
      <c r="E337" s="156"/>
      <c r="F337" s="72"/>
      <c r="G337" s="270"/>
    </row>
    <row r="338" spans="1:8" ht="65.25" hidden="1" customHeight="1">
      <c r="A338" s="70" t="s">
        <v>1090</v>
      </c>
      <c r="B338" s="130" t="s">
        <v>924</v>
      </c>
      <c r="C338" s="75" t="s">
        <v>849</v>
      </c>
      <c r="D338" s="36"/>
      <c r="E338" s="156"/>
      <c r="F338" s="156"/>
      <c r="G338" s="336"/>
    </row>
    <row r="339" spans="1:8" ht="28.15" hidden="1" customHeight="1">
      <c r="A339" s="70" t="s">
        <v>841</v>
      </c>
      <c r="B339" s="130" t="s">
        <v>924</v>
      </c>
      <c r="C339" s="75" t="s">
        <v>850</v>
      </c>
      <c r="D339" s="36"/>
      <c r="E339" s="156"/>
      <c r="F339" s="72"/>
      <c r="G339" s="270"/>
    </row>
    <row r="340" spans="1:8" ht="6.75" hidden="1" customHeight="1">
      <c r="A340" s="70" t="s">
        <v>1140</v>
      </c>
      <c r="B340" s="130" t="s">
        <v>924</v>
      </c>
      <c r="C340" s="75" t="s">
        <v>851</v>
      </c>
      <c r="D340" s="36"/>
      <c r="E340" s="156"/>
      <c r="F340" s="72"/>
      <c r="G340" s="270"/>
    </row>
    <row r="341" spans="1:8" ht="15.75" customHeight="1">
      <c r="A341" s="261" t="s">
        <v>852</v>
      </c>
      <c r="B341" s="339"/>
      <c r="C341" s="340"/>
      <c r="D341" s="341">
        <v>0</v>
      </c>
      <c r="E341" s="342">
        <f>('2  '!E103-'2  '!E41+'2  '!E43)*2.5%</f>
        <v>10733.266275000002</v>
      </c>
      <c r="F341" s="343">
        <f>('2  '!F103-'2  '!F41+'2  '!F43)*5%</f>
        <v>22757.532550000004</v>
      </c>
      <c r="G341" s="344"/>
    </row>
    <row r="342" spans="1:8" ht="15.75" customHeight="1">
      <c r="A342" s="345" t="s">
        <v>1141</v>
      </c>
      <c r="B342" s="346"/>
      <c r="C342" s="347"/>
      <c r="D342" s="348">
        <f>SUM(D269:D318)+SUM(D321:D340)</f>
        <v>131896.21308999998</v>
      </c>
      <c r="E342" s="348">
        <f>SUM(E269:E318)+SUM(E321:E341)</f>
        <v>157178.86845500002</v>
      </c>
      <c r="F342" s="348">
        <f>SUM(F269:F318)+SUM(F321:F341)</f>
        <v>167594.85678999999</v>
      </c>
      <c r="G342" s="349"/>
      <c r="H342" s="73"/>
    </row>
    <row r="343" spans="1:8" s="99" customFormat="1" ht="18.75" customHeight="1">
      <c r="A343" s="234" t="s">
        <v>1142</v>
      </c>
      <c r="B343" s="323"/>
      <c r="C343" s="324"/>
      <c r="D343" s="350">
        <f>D342+D265</f>
        <v>1081220.1864551515</v>
      </c>
      <c r="E343" s="350">
        <f>E342+E265</f>
        <v>938077.1998990128</v>
      </c>
      <c r="F343" s="350">
        <f>F342+F265</f>
        <v>1000450.9043812486</v>
      </c>
      <c r="G343" s="351"/>
      <c r="H343" s="73"/>
    </row>
    <row r="344" spans="1:8">
      <c r="C344" s="352"/>
      <c r="D344" s="22"/>
      <c r="E344" s="22"/>
      <c r="F344" s="22"/>
      <c r="G344" s="22"/>
    </row>
    <row r="345" spans="1:8">
      <c r="C345" s="352"/>
      <c r="D345" s="22"/>
      <c r="E345" s="248"/>
      <c r="F345" s="248"/>
      <c r="G345" s="131"/>
    </row>
    <row r="346" spans="1:8">
      <c r="B346" s="73"/>
      <c r="C346" s="352"/>
    </row>
    <row r="347" spans="1:8">
      <c r="C347" s="352"/>
    </row>
    <row r="348" spans="1:8">
      <c r="C348" s="353"/>
      <c r="D348" s="21"/>
      <c r="E348" s="21"/>
      <c r="F348" s="21"/>
      <c r="G348" s="354"/>
    </row>
    <row r="349" spans="1:8">
      <c r="E349" s="248"/>
      <c r="F349" s="248"/>
    </row>
    <row r="350" spans="1:8">
      <c r="D350" s="246"/>
    </row>
    <row r="351" spans="1:8">
      <c r="E351" s="248"/>
      <c r="F351" s="248"/>
    </row>
  </sheetData>
  <autoFilter ref="A9:F108"/>
  <mergeCells count="7">
    <mergeCell ref="A11:D11"/>
    <mergeCell ref="A266:F266"/>
    <mergeCell ref="A1:F1"/>
    <mergeCell ref="A2:F2"/>
    <mergeCell ref="A3:F3"/>
    <mergeCell ref="A4:F4"/>
    <mergeCell ref="A6:F6"/>
  </mergeCells>
  <pageMargins left="0.25" right="0.25" top="0.75" bottom="0.75" header="0.3" footer="0.3"/>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1</vt:lpstr>
      <vt:lpstr>2  </vt:lpstr>
      <vt:lpstr>3</vt:lpstr>
      <vt:lpstr>4</vt:lpstr>
      <vt:lpstr>5</vt:lpstr>
      <vt:lpstr>'1'!Область_печати</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revision>1</cp:revision>
  <dcterms:created xsi:type="dcterms:W3CDTF">2008-10-27T01:25:53Z</dcterms:created>
  <dcterms:modified xsi:type="dcterms:W3CDTF">2025-04-01T04:53:28Z</dcterms:modified>
</cp:coreProperties>
</file>